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firat\PycharmProjects\firatkiziltepe.github.io\gemini-literature-screening\"/>
    </mc:Choice>
  </mc:AlternateContent>
  <xr:revisionPtr revIDLastSave="0" documentId="8_{026E4F3B-8DB9-409D-8C49-19FC47B6BC4B}" xr6:coauthVersionLast="47" xr6:coauthVersionMax="47" xr10:uidLastSave="{00000000-0000-0000-0000-000000000000}"/>
  <bookViews>
    <workbookView xWindow="2232" yWindow="2232" windowWidth="17280" windowHeight="8880" xr2:uid="{4514D153-54AC-4B29-8143-D3C8DE3F5538}"/>
  </bookViews>
  <sheets>
    <sheet name="savedrec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F2" i="1" l="1"/>
  <c r="BT2" i="1"/>
  <c r="BF3" i="1"/>
  <c r="BT3" i="1"/>
  <c r="BF4" i="1"/>
  <c r="BT4" i="1"/>
  <c r="BF5" i="1"/>
  <c r="BT5" i="1"/>
  <c r="BF6" i="1"/>
  <c r="BT6" i="1"/>
  <c r="BF7" i="1"/>
  <c r="BT7" i="1"/>
  <c r="BF8" i="1"/>
  <c r="BT8" i="1"/>
  <c r="BF9" i="1"/>
  <c r="BT9" i="1"/>
  <c r="BF10" i="1"/>
  <c r="BT10" i="1"/>
  <c r="BF11" i="1"/>
  <c r="BT11" i="1"/>
  <c r="BF12" i="1"/>
  <c r="BT12" i="1"/>
  <c r="BF13" i="1"/>
  <c r="BT13" i="1"/>
  <c r="BF14" i="1"/>
  <c r="BT14" i="1"/>
  <c r="BF15" i="1"/>
  <c r="BT15" i="1"/>
  <c r="BF16" i="1"/>
  <c r="BT16" i="1"/>
  <c r="BF17" i="1"/>
  <c r="BT17" i="1"/>
  <c r="BF18" i="1"/>
  <c r="BT18" i="1"/>
  <c r="BT19" i="1"/>
  <c r="BF20" i="1"/>
  <c r="BT20" i="1"/>
  <c r="BT21" i="1"/>
  <c r="BF22" i="1"/>
  <c r="BT22" i="1"/>
  <c r="BF23" i="1"/>
  <c r="BT23" i="1"/>
  <c r="BF24" i="1"/>
  <c r="BT24" i="1"/>
  <c r="BF25" i="1"/>
  <c r="BT25" i="1"/>
  <c r="BF26" i="1"/>
  <c r="BT26" i="1"/>
  <c r="BT27" i="1"/>
  <c r="BF28" i="1"/>
  <c r="BT28" i="1"/>
  <c r="BF29" i="1"/>
  <c r="BT29" i="1"/>
  <c r="BF30" i="1"/>
  <c r="BT30" i="1"/>
  <c r="BF31" i="1"/>
  <c r="BT31" i="1"/>
  <c r="BF32" i="1"/>
  <c r="BT32" i="1"/>
  <c r="BF33" i="1"/>
  <c r="BT33" i="1"/>
  <c r="BT34" i="1"/>
  <c r="BF35" i="1"/>
  <c r="BT35" i="1"/>
  <c r="BF36" i="1"/>
  <c r="BT36" i="1"/>
  <c r="BF37" i="1"/>
  <c r="BT37" i="1"/>
  <c r="BT38" i="1"/>
  <c r="BF39" i="1"/>
  <c r="BT39" i="1"/>
  <c r="BF40" i="1"/>
  <c r="BT40" i="1"/>
  <c r="BF41" i="1"/>
  <c r="BT41" i="1"/>
  <c r="BF42" i="1"/>
  <c r="BT42" i="1"/>
  <c r="BF43" i="1"/>
  <c r="BT43" i="1"/>
  <c r="BF44" i="1"/>
  <c r="BT44" i="1"/>
  <c r="BF45" i="1"/>
  <c r="BT45" i="1"/>
  <c r="BF46" i="1"/>
  <c r="BT46" i="1"/>
  <c r="BT47" i="1"/>
  <c r="BF48" i="1"/>
  <c r="BT48" i="1"/>
  <c r="BT49" i="1"/>
  <c r="BT50" i="1"/>
  <c r="BF51" i="1"/>
  <c r="BT51" i="1"/>
  <c r="BF52" i="1"/>
  <c r="BT52" i="1"/>
  <c r="BF53" i="1"/>
  <c r="BT53" i="1"/>
  <c r="BF54" i="1"/>
  <c r="BT54" i="1"/>
  <c r="BF55" i="1"/>
  <c r="BT55" i="1"/>
  <c r="BF56" i="1"/>
  <c r="BT56" i="1"/>
  <c r="BF57" i="1"/>
  <c r="BT57" i="1"/>
  <c r="BF58" i="1"/>
  <c r="BT58" i="1"/>
  <c r="BF59" i="1"/>
  <c r="BT59" i="1"/>
  <c r="BT60" i="1"/>
  <c r="BF61" i="1"/>
  <c r="BT61" i="1"/>
  <c r="BF62" i="1"/>
  <c r="BT62" i="1"/>
  <c r="BF63" i="1"/>
  <c r="BT63" i="1"/>
  <c r="BF64" i="1"/>
  <c r="BT64" i="1"/>
  <c r="BF65" i="1"/>
  <c r="BT65" i="1"/>
  <c r="BF66" i="1"/>
  <c r="BT66" i="1"/>
  <c r="BF67" i="1"/>
  <c r="BT67" i="1"/>
  <c r="BF68" i="1"/>
  <c r="BT68" i="1"/>
  <c r="BF69" i="1"/>
  <c r="BT69" i="1"/>
  <c r="BT70" i="1"/>
  <c r="BF71" i="1"/>
  <c r="BT71" i="1"/>
  <c r="BT72" i="1"/>
  <c r="BF73" i="1"/>
  <c r="BT73" i="1"/>
  <c r="BF74" i="1"/>
  <c r="BT74" i="1"/>
  <c r="BF75" i="1"/>
  <c r="BT75" i="1"/>
  <c r="BF76" i="1"/>
  <c r="BT76" i="1"/>
  <c r="BF77" i="1"/>
  <c r="BT77" i="1"/>
  <c r="BT78" i="1"/>
  <c r="BT79" i="1"/>
  <c r="BF80" i="1"/>
  <c r="BT80" i="1"/>
  <c r="BF81" i="1"/>
  <c r="BT81" i="1"/>
  <c r="BF82" i="1"/>
  <c r="BT82" i="1"/>
  <c r="BT83" i="1"/>
  <c r="BF84" i="1"/>
  <c r="BT84" i="1"/>
  <c r="BF85" i="1"/>
  <c r="BT85" i="1"/>
  <c r="BF86" i="1"/>
  <c r="BT86" i="1"/>
  <c r="BF87" i="1"/>
  <c r="BT87" i="1"/>
  <c r="BF88" i="1"/>
  <c r="BT88" i="1"/>
  <c r="BF89" i="1"/>
  <c r="BT89" i="1"/>
  <c r="BF90" i="1"/>
  <c r="BT90" i="1"/>
  <c r="BT91" i="1"/>
  <c r="BF92" i="1"/>
  <c r="BT92" i="1"/>
  <c r="BF93" i="1"/>
  <c r="BT93" i="1"/>
  <c r="BT94" i="1"/>
  <c r="BF95" i="1"/>
  <c r="BT95" i="1"/>
  <c r="BF96" i="1"/>
  <c r="BT96" i="1"/>
  <c r="BF97" i="1"/>
  <c r="BT97" i="1"/>
  <c r="BT98" i="1"/>
  <c r="BT99" i="1"/>
  <c r="BF100" i="1"/>
  <c r="BT100" i="1"/>
  <c r="BT101" i="1"/>
  <c r="BF102" i="1"/>
  <c r="BT102" i="1"/>
  <c r="BF103" i="1"/>
  <c r="BT103" i="1"/>
  <c r="BF104" i="1"/>
  <c r="BT104" i="1"/>
  <c r="BF105" i="1"/>
  <c r="BT105" i="1"/>
  <c r="BT106" i="1"/>
  <c r="BT107" i="1"/>
  <c r="BT108" i="1"/>
  <c r="BF109" i="1"/>
  <c r="BT109" i="1"/>
  <c r="BF110" i="1"/>
  <c r="BT110" i="1"/>
  <c r="BF111" i="1"/>
  <c r="BT111" i="1"/>
  <c r="BF112" i="1"/>
  <c r="BT112" i="1"/>
  <c r="BF113" i="1"/>
  <c r="BT113" i="1"/>
  <c r="BF114" i="1"/>
  <c r="BT114" i="1"/>
  <c r="BF115" i="1"/>
  <c r="BT115" i="1"/>
  <c r="BT116" i="1"/>
  <c r="BF117" i="1"/>
  <c r="BT117" i="1"/>
  <c r="BF118" i="1"/>
  <c r="BT118" i="1"/>
  <c r="BF119" i="1"/>
  <c r="BT119" i="1"/>
  <c r="BF120" i="1"/>
  <c r="BT120" i="1"/>
  <c r="BF121" i="1"/>
  <c r="BT121" i="1"/>
  <c r="BT122" i="1"/>
  <c r="BF123" i="1"/>
  <c r="BT123" i="1"/>
  <c r="BF124" i="1"/>
  <c r="BT124" i="1"/>
  <c r="BT125" i="1"/>
  <c r="BT126" i="1"/>
  <c r="BF127" i="1"/>
  <c r="BT127" i="1"/>
  <c r="BF128" i="1"/>
  <c r="BT128" i="1"/>
  <c r="BF129" i="1"/>
  <c r="BT129" i="1"/>
  <c r="BF130" i="1"/>
  <c r="BT130" i="1"/>
  <c r="BF131" i="1"/>
  <c r="BT131" i="1"/>
  <c r="BF132" i="1"/>
  <c r="BT132" i="1"/>
  <c r="BF133" i="1"/>
  <c r="BT133" i="1"/>
  <c r="BF134" i="1"/>
  <c r="BT134" i="1"/>
  <c r="BF135" i="1"/>
  <c r="BT135" i="1"/>
  <c r="BF136" i="1"/>
  <c r="BT136" i="1"/>
  <c r="BF137" i="1"/>
  <c r="BT137" i="1"/>
  <c r="BT138" i="1"/>
  <c r="BF139" i="1"/>
  <c r="BT139" i="1"/>
  <c r="BF140" i="1"/>
  <c r="BT140" i="1"/>
  <c r="BF141" i="1"/>
  <c r="BT141" i="1"/>
  <c r="BF142" i="1"/>
  <c r="BT142" i="1"/>
  <c r="BT143" i="1"/>
  <c r="BF144" i="1"/>
  <c r="BT144" i="1"/>
  <c r="BF145" i="1"/>
  <c r="BT145" i="1"/>
  <c r="BF146" i="1"/>
  <c r="BT146" i="1"/>
  <c r="BF147" i="1"/>
  <c r="BT147" i="1"/>
  <c r="BF148" i="1"/>
  <c r="BT148" i="1"/>
  <c r="BF149" i="1"/>
  <c r="BT149" i="1"/>
  <c r="BT150" i="1"/>
  <c r="BF151" i="1"/>
  <c r="BT151" i="1"/>
  <c r="BF152" i="1"/>
  <c r="BT152" i="1"/>
  <c r="BT153" i="1"/>
  <c r="BF154" i="1"/>
  <c r="BT154" i="1"/>
  <c r="BF155" i="1"/>
  <c r="BT155" i="1"/>
  <c r="BF156" i="1"/>
  <c r="BT156" i="1"/>
  <c r="BF157" i="1"/>
  <c r="BT157" i="1"/>
  <c r="BF158" i="1"/>
  <c r="BT158" i="1"/>
  <c r="BT159" i="1"/>
  <c r="BF160" i="1"/>
  <c r="BT160" i="1"/>
  <c r="BF161" i="1"/>
  <c r="BT161" i="1"/>
  <c r="BT162" i="1"/>
  <c r="BT163" i="1"/>
  <c r="BF164" i="1"/>
  <c r="BT164" i="1"/>
  <c r="BF165" i="1"/>
  <c r="BT165" i="1"/>
  <c r="BF166" i="1"/>
  <c r="BT166" i="1"/>
  <c r="BF167" i="1"/>
  <c r="BT167" i="1"/>
  <c r="BF168" i="1"/>
  <c r="BT168" i="1"/>
  <c r="BF169" i="1"/>
  <c r="BT169" i="1"/>
  <c r="BF170" i="1"/>
  <c r="BT170" i="1"/>
  <c r="BT171" i="1"/>
  <c r="BF172" i="1"/>
  <c r="BT172" i="1"/>
  <c r="BF173" i="1"/>
  <c r="BT173" i="1"/>
  <c r="BF174" i="1"/>
  <c r="BT174" i="1"/>
  <c r="BF175" i="1"/>
  <c r="BT175" i="1"/>
  <c r="BT176" i="1"/>
  <c r="BF177" i="1"/>
  <c r="BT177" i="1"/>
  <c r="BT178" i="1"/>
  <c r="BF179" i="1"/>
  <c r="BT179" i="1"/>
  <c r="BF180" i="1"/>
  <c r="BT180" i="1"/>
  <c r="BF181" i="1"/>
  <c r="BT181" i="1"/>
  <c r="BF182" i="1"/>
  <c r="BT182" i="1"/>
  <c r="BF183" i="1"/>
  <c r="BT183" i="1"/>
  <c r="BF184" i="1"/>
  <c r="BT184" i="1"/>
  <c r="BF185" i="1"/>
  <c r="BT185" i="1"/>
  <c r="BF186" i="1"/>
  <c r="BT186" i="1"/>
  <c r="BF187" i="1"/>
  <c r="BT187" i="1"/>
  <c r="BF188" i="1"/>
  <c r="BT188" i="1"/>
  <c r="BT189" i="1"/>
  <c r="BF190" i="1"/>
  <c r="BT190" i="1"/>
  <c r="BF191" i="1"/>
  <c r="BT191" i="1"/>
  <c r="BF192" i="1"/>
  <c r="BT192" i="1"/>
  <c r="BF193" i="1"/>
  <c r="BT193" i="1"/>
  <c r="BF194" i="1"/>
  <c r="BT194" i="1"/>
  <c r="BT195" i="1"/>
  <c r="BF196" i="1"/>
  <c r="BT196" i="1"/>
  <c r="BF197" i="1"/>
  <c r="BT197" i="1"/>
  <c r="BF198" i="1"/>
  <c r="BT198" i="1"/>
  <c r="BF199" i="1"/>
  <c r="BT199" i="1"/>
  <c r="BF200" i="1"/>
  <c r="BT200" i="1"/>
  <c r="BF201" i="1"/>
  <c r="BT201" i="1"/>
  <c r="BF202" i="1"/>
  <c r="BT202" i="1"/>
  <c r="BF203" i="1"/>
  <c r="BT203" i="1"/>
  <c r="BF204" i="1"/>
  <c r="BT204" i="1"/>
  <c r="BF205" i="1"/>
  <c r="BT205" i="1"/>
  <c r="BF206" i="1"/>
  <c r="BT206" i="1"/>
  <c r="BT207" i="1"/>
  <c r="BF208" i="1"/>
  <c r="BT208" i="1"/>
  <c r="BF209" i="1"/>
  <c r="BT209" i="1"/>
  <c r="BF210" i="1"/>
  <c r="BT210" i="1"/>
  <c r="BF211" i="1"/>
  <c r="BT211" i="1"/>
  <c r="BF212" i="1"/>
  <c r="BT212" i="1"/>
  <c r="BF213" i="1"/>
  <c r="BT213" i="1"/>
  <c r="BF214" i="1"/>
  <c r="BT214" i="1"/>
  <c r="BT215" i="1"/>
  <c r="BF216" i="1"/>
  <c r="BT216" i="1"/>
  <c r="BF217" i="1"/>
  <c r="BT217" i="1"/>
  <c r="BF218" i="1"/>
  <c r="BT218" i="1"/>
  <c r="BF219" i="1"/>
  <c r="BT219" i="1"/>
  <c r="BF220" i="1"/>
  <c r="BT220" i="1"/>
  <c r="BF221" i="1"/>
  <c r="BT221" i="1"/>
  <c r="BF222" i="1"/>
  <c r="BT222" i="1"/>
  <c r="BF223" i="1"/>
  <c r="BT223" i="1"/>
  <c r="BF224" i="1"/>
  <c r="BT224" i="1"/>
  <c r="BF225" i="1"/>
  <c r="BT225" i="1"/>
  <c r="BF226" i="1"/>
  <c r="BT226" i="1"/>
  <c r="BT227" i="1"/>
  <c r="BT228" i="1"/>
  <c r="BT229" i="1"/>
  <c r="BF230" i="1"/>
  <c r="BT230" i="1"/>
  <c r="BF231" i="1"/>
  <c r="BT231" i="1"/>
  <c r="BF232" i="1"/>
  <c r="BT232" i="1"/>
  <c r="BT233" i="1"/>
  <c r="BF234" i="1"/>
  <c r="BT234" i="1"/>
  <c r="BF235" i="1"/>
  <c r="BT235" i="1"/>
  <c r="BF236" i="1"/>
  <c r="BT236" i="1"/>
  <c r="BF237" i="1"/>
  <c r="BT237" i="1"/>
  <c r="BT238" i="1"/>
  <c r="BF239" i="1"/>
  <c r="BT239" i="1"/>
  <c r="BF240" i="1"/>
  <c r="BT240" i="1"/>
  <c r="BF241" i="1"/>
  <c r="BT241" i="1"/>
  <c r="BF242" i="1"/>
  <c r="BT242" i="1"/>
  <c r="BF243" i="1"/>
  <c r="BT243" i="1"/>
  <c r="BF244" i="1"/>
  <c r="BT244" i="1"/>
  <c r="BF245" i="1"/>
  <c r="BT245" i="1"/>
  <c r="BF246" i="1"/>
  <c r="BT246" i="1"/>
  <c r="BF247" i="1"/>
  <c r="BT247" i="1"/>
  <c r="BF248" i="1"/>
  <c r="BT248" i="1"/>
  <c r="BT249" i="1"/>
  <c r="BT250" i="1"/>
  <c r="BT251" i="1"/>
  <c r="BF252" i="1"/>
  <c r="BT252" i="1"/>
  <c r="BF253" i="1"/>
  <c r="BT253" i="1"/>
  <c r="BF254" i="1"/>
  <c r="BT254" i="1"/>
  <c r="BF255" i="1"/>
  <c r="BT255" i="1"/>
  <c r="BT256" i="1"/>
  <c r="BF257" i="1"/>
  <c r="BT257" i="1"/>
  <c r="BF258" i="1"/>
  <c r="BT258" i="1"/>
  <c r="BT259" i="1"/>
  <c r="BF260" i="1"/>
  <c r="BT260" i="1"/>
  <c r="BF261" i="1"/>
  <c r="BT261" i="1"/>
  <c r="BF262" i="1"/>
  <c r="BT262" i="1"/>
  <c r="BF263" i="1"/>
  <c r="BT263" i="1"/>
  <c r="BT264" i="1"/>
  <c r="BF265" i="1"/>
  <c r="BT265" i="1"/>
  <c r="BF266" i="1"/>
  <c r="BT266" i="1"/>
  <c r="BF267" i="1"/>
  <c r="BT267" i="1"/>
  <c r="BT268" i="1"/>
  <c r="BF269" i="1"/>
  <c r="BT269" i="1"/>
  <c r="BT270" i="1"/>
  <c r="BF271" i="1"/>
  <c r="BT271" i="1"/>
  <c r="BF272" i="1"/>
  <c r="BT272" i="1"/>
  <c r="BF273" i="1"/>
  <c r="BT273" i="1"/>
  <c r="BF274" i="1"/>
  <c r="BT274" i="1"/>
  <c r="BF275" i="1"/>
  <c r="BT275" i="1"/>
  <c r="BF276" i="1"/>
  <c r="BT276" i="1"/>
  <c r="BF277" i="1"/>
  <c r="BT277" i="1"/>
  <c r="BT278" i="1"/>
  <c r="BF279" i="1"/>
  <c r="BT279" i="1"/>
  <c r="BF280" i="1"/>
  <c r="BT280" i="1"/>
  <c r="BF281" i="1"/>
  <c r="BT281" i="1"/>
  <c r="BF282" i="1"/>
  <c r="BT282" i="1"/>
  <c r="BF283" i="1"/>
  <c r="BT283" i="1"/>
  <c r="BF284" i="1"/>
  <c r="BT284" i="1"/>
  <c r="BF285" i="1"/>
  <c r="BT285" i="1"/>
  <c r="BT286" i="1"/>
  <c r="BF287" i="1"/>
  <c r="BT287" i="1"/>
  <c r="BF288" i="1"/>
  <c r="BT288" i="1"/>
  <c r="BT289" i="1"/>
  <c r="BT290" i="1"/>
  <c r="BT291" i="1"/>
  <c r="BF292" i="1"/>
  <c r="BT292" i="1"/>
  <c r="BF293" i="1"/>
  <c r="BT293" i="1"/>
  <c r="BF294" i="1"/>
  <c r="BT294" i="1"/>
  <c r="BF295" i="1"/>
  <c r="BT295" i="1"/>
  <c r="BT296" i="1"/>
  <c r="BT297" i="1"/>
  <c r="BF298" i="1"/>
  <c r="BT298" i="1"/>
  <c r="BF299" i="1"/>
  <c r="BT299" i="1"/>
  <c r="BF300" i="1"/>
  <c r="BT300" i="1"/>
  <c r="BT301" i="1"/>
  <c r="BF302" i="1"/>
  <c r="BT302" i="1"/>
  <c r="BF303" i="1"/>
  <c r="BT303" i="1"/>
  <c r="BF304" i="1"/>
  <c r="BT304" i="1"/>
  <c r="BT305" i="1"/>
  <c r="BF306" i="1"/>
  <c r="BT306" i="1"/>
  <c r="BT307" i="1"/>
  <c r="BF308" i="1"/>
  <c r="BT308" i="1"/>
  <c r="BF309" i="1"/>
  <c r="BT309" i="1"/>
  <c r="BF310" i="1"/>
  <c r="BT310" i="1"/>
  <c r="BF311" i="1"/>
  <c r="BT311" i="1"/>
  <c r="BF312" i="1"/>
  <c r="BT312" i="1"/>
  <c r="BF313" i="1"/>
  <c r="BT313" i="1"/>
  <c r="BF314" i="1"/>
  <c r="BT314" i="1"/>
  <c r="BF315" i="1"/>
  <c r="BT315" i="1"/>
  <c r="BT316" i="1"/>
  <c r="BF317" i="1"/>
  <c r="BT317" i="1"/>
  <c r="BF318" i="1"/>
  <c r="BT318" i="1"/>
  <c r="BF319" i="1"/>
  <c r="BT319" i="1"/>
  <c r="BT320" i="1"/>
  <c r="BT321" i="1"/>
  <c r="BF322" i="1"/>
  <c r="BT322" i="1"/>
  <c r="BF323" i="1"/>
  <c r="BT323" i="1"/>
  <c r="BF324" i="1"/>
  <c r="BT324" i="1"/>
  <c r="BF325" i="1"/>
  <c r="BT325" i="1"/>
  <c r="BT326" i="1"/>
  <c r="BF327" i="1"/>
  <c r="BT327" i="1"/>
  <c r="BT328" i="1"/>
  <c r="BF329" i="1"/>
  <c r="BT329" i="1"/>
  <c r="BF330" i="1"/>
  <c r="BT330" i="1"/>
  <c r="BF331" i="1"/>
  <c r="BT331" i="1"/>
  <c r="BT332" i="1"/>
  <c r="BF333" i="1"/>
  <c r="BT333" i="1"/>
  <c r="BF334" i="1"/>
  <c r="BT334" i="1"/>
  <c r="BF335" i="1"/>
  <c r="BT335" i="1"/>
  <c r="BF336" i="1"/>
  <c r="BT336" i="1"/>
  <c r="BF337" i="1"/>
  <c r="BT337" i="1"/>
  <c r="BF338" i="1"/>
  <c r="BT338" i="1"/>
  <c r="BT339" i="1"/>
  <c r="BF340" i="1"/>
  <c r="BT340" i="1"/>
  <c r="BF341" i="1"/>
  <c r="BT341" i="1"/>
  <c r="BF342" i="1"/>
  <c r="BT342" i="1"/>
  <c r="BT343" i="1"/>
  <c r="BT344" i="1"/>
  <c r="BF345" i="1"/>
  <c r="BT345" i="1"/>
  <c r="BF346" i="1"/>
  <c r="BT346" i="1"/>
  <c r="BF347" i="1"/>
  <c r="BT347" i="1"/>
  <c r="BF348" i="1"/>
  <c r="BT348" i="1"/>
  <c r="BF349" i="1"/>
  <c r="BT349" i="1"/>
  <c r="BF350" i="1"/>
  <c r="BT350" i="1"/>
  <c r="BF351" i="1"/>
  <c r="BT351" i="1"/>
  <c r="BT352" i="1"/>
  <c r="BF353" i="1"/>
  <c r="BT353" i="1"/>
  <c r="BF354" i="1"/>
  <c r="BT354" i="1"/>
  <c r="BF355" i="1"/>
  <c r="BT355" i="1"/>
  <c r="BF356" i="1"/>
  <c r="BT356" i="1"/>
  <c r="BF357" i="1"/>
  <c r="BT357" i="1"/>
  <c r="BF358" i="1"/>
  <c r="BT358" i="1"/>
  <c r="BF359" i="1"/>
  <c r="BT359" i="1"/>
  <c r="BF360" i="1"/>
  <c r="BT360" i="1"/>
  <c r="BT361" i="1"/>
  <c r="BF362" i="1"/>
  <c r="BT362" i="1"/>
  <c r="BT363" i="1"/>
  <c r="BF364" i="1"/>
  <c r="BT364" i="1"/>
  <c r="BF365" i="1"/>
  <c r="BT365" i="1"/>
  <c r="BT366" i="1"/>
  <c r="BF367" i="1"/>
  <c r="BT367" i="1"/>
  <c r="BT368" i="1"/>
  <c r="BF369" i="1"/>
  <c r="BT369" i="1"/>
  <c r="BT370" i="1"/>
  <c r="BF371" i="1"/>
  <c r="BT371" i="1"/>
  <c r="BF372" i="1"/>
  <c r="BT372" i="1"/>
  <c r="BF373" i="1"/>
  <c r="BT373" i="1"/>
  <c r="BF374" i="1"/>
  <c r="BT374" i="1"/>
  <c r="BF375" i="1"/>
  <c r="BT375" i="1"/>
  <c r="BF376" i="1"/>
  <c r="BT376" i="1"/>
  <c r="BT377" i="1"/>
  <c r="BF378" i="1"/>
  <c r="BT378" i="1"/>
  <c r="BF379" i="1"/>
  <c r="BT379" i="1"/>
  <c r="BF380" i="1"/>
  <c r="BT380" i="1"/>
  <c r="BF381" i="1"/>
  <c r="BT381" i="1"/>
  <c r="BT382" i="1"/>
  <c r="BF383" i="1"/>
  <c r="BT383" i="1"/>
  <c r="BF384" i="1"/>
  <c r="BT384" i="1"/>
  <c r="BF385" i="1"/>
  <c r="BT385" i="1"/>
  <c r="BF386" i="1"/>
  <c r="BT386" i="1"/>
  <c r="BF387" i="1"/>
  <c r="BT387" i="1"/>
  <c r="BT388" i="1"/>
  <c r="BF389" i="1"/>
  <c r="BT389" i="1"/>
  <c r="BF390" i="1"/>
  <c r="BT390" i="1"/>
  <c r="BF391" i="1"/>
  <c r="BT391" i="1"/>
  <c r="BF392" i="1"/>
  <c r="BT392" i="1"/>
  <c r="BF393" i="1"/>
  <c r="BT393" i="1"/>
  <c r="BF394" i="1"/>
  <c r="BT394" i="1"/>
  <c r="BF395" i="1"/>
  <c r="BT395" i="1"/>
  <c r="BF396" i="1"/>
  <c r="BT396" i="1"/>
  <c r="BF397" i="1"/>
  <c r="BT397" i="1"/>
  <c r="BF398" i="1"/>
  <c r="BT398" i="1"/>
  <c r="BF399" i="1"/>
  <c r="BT399" i="1"/>
  <c r="BF400" i="1"/>
  <c r="BT400" i="1"/>
  <c r="BT401" i="1"/>
  <c r="BT402" i="1"/>
  <c r="BF403" i="1"/>
  <c r="BT403" i="1"/>
  <c r="BF404" i="1"/>
  <c r="BT404" i="1"/>
  <c r="BF405" i="1"/>
  <c r="BT405" i="1"/>
  <c r="BF406" i="1"/>
  <c r="BT406" i="1"/>
  <c r="BF407" i="1"/>
  <c r="BT407" i="1"/>
  <c r="BF408" i="1"/>
  <c r="BT408" i="1"/>
  <c r="BF409" i="1"/>
  <c r="BT409" i="1"/>
  <c r="BF410" i="1"/>
  <c r="BT410" i="1"/>
  <c r="BF411" i="1"/>
  <c r="BT411" i="1"/>
  <c r="BF412" i="1"/>
  <c r="BT412" i="1"/>
  <c r="BF413" i="1"/>
  <c r="BT413" i="1"/>
  <c r="BF414" i="1"/>
  <c r="BT414" i="1"/>
  <c r="BF415" i="1"/>
  <c r="BT415" i="1"/>
  <c r="BF416" i="1"/>
  <c r="BT416" i="1"/>
  <c r="BF417" i="1"/>
  <c r="BT417" i="1"/>
  <c r="BF418" i="1"/>
  <c r="BT418" i="1"/>
  <c r="BF419" i="1"/>
  <c r="BT419" i="1"/>
  <c r="BF420" i="1"/>
  <c r="BT420" i="1"/>
  <c r="BF421" i="1"/>
  <c r="BT421" i="1"/>
  <c r="BF422" i="1"/>
  <c r="BT422" i="1"/>
  <c r="BF423" i="1"/>
  <c r="BT423" i="1"/>
  <c r="BF424" i="1"/>
  <c r="BT424" i="1"/>
  <c r="BF425" i="1"/>
  <c r="BT425" i="1"/>
  <c r="BF426" i="1"/>
  <c r="BT426" i="1"/>
  <c r="BF427" i="1"/>
  <c r="BT427" i="1"/>
  <c r="BF428" i="1"/>
  <c r="BT428" i="1"/>
  <c r="BF429" i="1"/>
  <c r="BT429" i="1"/>
  <c r="BF430" i="1"/>
  <c r="BT430" i="1"/>
  <c r="BF431" i="1"/>
  <c r="BT431" i="1"/>
  <c r="BF432" i="1"/>
  <c r="BT432" i="1"/>
  <c r="BT433" i="1"/>
  <c r="BT434" i="1"/>
  <c r="BT435" i="1"/>
  <c r="BF436" i="1"/>
  <c r="BT436" i="1"/>
  <c r="BF437" i="1"/>
  <c r="BT437" i="1"/>
  <c r="BF438" i="1"/>
  <c r="BT438" i="1"/>
  <c r="BF439" i="1"/>
  <c r="BT439" i="1"/>
  <c r="BF440" i="1"/>
  <c r="BT440" i="1"/>
  <c r="BF441" i="1"/>
  <c r="BT441" i="1"/>
  <c r="BT442" i="1"/>
  <c r="BT443" i="1"/>
  <c r="BF444" i="1"/>
  <c r="BT444" i="1"/>
  <c r="BT445" i="1"/>
  <c r="BF446" i="1"/>
  <c r="BT446" i="1"/>
  <c r="BF447" i="1"/>
  <c r="BT447" i="1"/>
  <c r="BF448" i="1"/>
  <c r="BT448" i="1"/>
  <c r="BF449" i="1"/>
  <c r="BT449" i="1"/>
  <c r="BF450" i="1"/>
  <c r="BT450" i="1"/>
  <c r="BF451" i="1"/>
  <c r="BT451" i="1"/>
  <c r="BF452" i="1"/>
  <c r="BT452" i="1"/>
  <c r="BF453" i="1"/>
  <c r="BT453" i="1"/>
  <c r="BF454" i="1"/>
  <c r="BT454" i="1"/>
  <c r="BF455" i="1"/>
  <c r="BT455" i="1"/>
  <c r="BF456" i="1"/>
  <c r="BT456" i="1"/>
  <c r="BF457" i="1"/>
  <c r="BT457" i="1"/>
  <c r="BT458" i="1"/>
  <c r="BT459" i="1"/>
  <c r="BT460" i="1"/>
  <c r="BT461" i="1"/>
  <c r="BF462" i="1"/>
  <c r="BT462" i="1"/>
  <c r="BF463" i="1"/>
  <c r="BT463" i="1"/>
  <c r="BF464" i="1"/>
  <c r="BT464" i="1"/>
  <c r="BF465" i="1"/>
  <c r="BT465" i="1"/>
  <c r="BF466" i="1"/>
  <c r="BT466" i="1"/>
  <c r="BF467" i="1"/>
  <c r="BT467" i="1"/>
  <c r="BF468" i="1"/>
  <c r="BT468" i="1"/>
  <c r="BT469" i="1"/>
  <c r="BF470" i="1"/>
  <c r="BT470" i="1"/>
  <c r="BF471" i="1"/>
  <c r="BT471" i="1"/>
  <c r="BT472" i="1"/>
  <c r="BF473" i="1"/>
  <c r="BT473" i="1"/>
  <c r="BF474" i="1"/>
  <c r="BT474" i="1"/>
  <c r="BF475" i="1"/>
  <c r="BT475" i="1"/>
  <c r="BF476" i="1"/>
  <c r="BT476" i="1"/>
  <c r="BT477" i="1"/>
  <c r="BF478" i="1"/>
  <c r="BT478" i="1"/>
  <c r="BF479" i="1"/>
  <c r="BT479" i="1"/>
  <c r="BF480" i="1"/>
  <c r="BT480" i="1"/>
  <c r="BF481" i="1"/>
  <c r="BT481" i="1"/>
  <c r="BF482" i="1"/>
  <c r="BT482" i="1"/>
  <c r="BF483" i="1"/>
  <c r="BT483" i="1"/>
  <c r="BF484" i="1"/>
  <c r="BT484" i="1"/>
  <c r="BT485" i="1"/>
  <c r="BF486" i="1"/>
  <c r="BT486" i="1"/>
  <c r="BF487" i="1"/>
  <c r="BT487" i="1"/>
  <c r="BF488" i="1"/>
  <c r="BT488" i="1"/>
  <c r="BF489" i="1"/>
  <c r="BT489" i="1"/>
  <c r="BT490" i="1"/>
  <c r="BF491" i="1"/>
  <c r="BT491" i="1"/>
  <c r="BF492" i="1"/>
  <c r="BT492" i="1"/>
  <c r="BF493" i="1"/>
  <c r="BT493" i="1"/>
  <c r="BF494" i="1"/>
  <c r="BT494" i="1"/>
  <c r="BF495" i="1"/>
  <c r="BT495" i="1"/>
  <c r="BF496" i="1"/>
  <c r="BT496" i="1"/>
  <c r="BF497" i="1"/>
  <c r="BT497" i="1"/>
  <c r="BF498" i="1"/>
  <c r="BT498" i="1"/>
  <c r="BF499" i="1"/>
  <c r="BT499" i="1"/>
  <c r="BF500" i="1"/>
  <c r="BT500" i="1"/>
  <c r="BT501" i="1"/>
  <c r="BT502" i="1"/>
  <c r="BT503" i="1"/>
  <c r="BF504" i="1"/>
  <c r="BT504" i="1"/>
  <c r="BT505" i="1"/>
  <c r="BT506" i="1"/>
  <c r="BF507" i="1"/>
  <c r="BT507" i="1"/>
  <c r="BF508" i="1"/>
  <c r="BT508" i="1"/>
  <c r="BF509" i="1"/>
  <c r="BT509" i="1"/>
  <c r="BF510" i="1"/>
  <c r="BT510" i="1"/>
  <c r="BT511" i="1"/>
  <c r="BF512" i="1"/>
  <c r="BT512" i="1"/>
  <c r="BF513" i="1"/>
  <c r="BT513" i="1"/>
  <c r="BF514" i="1"/>
  <c r="BT514" i="1"/>
  <c r="BF515" i="1"/>
  <c r="BT515" i="1"/>
  <c r="BF516" i="1"/>
  <c r="BT516" i="1"/>
  <c r="BF517" i="1"/>
  <c r="BT517" i="1"/>
  <c r="BF518" i="1"/>
  <c r="BT518" i="1"/>
  <c r="BF519" i="1"/>
  <c r="BT519" i="1"/>
  <c r="BF520" i="1"/>
  <c r="BT520" i="1"/>
  <c r="BF521" i="1"/>
  <c r="BT521" i="1"/>
  <c r="BF522" i="1"/>
  <c r="BT522" i="1"/>
  <c r="BF523" i="1"/>
  <c r="BT523" i="1"/>
  <c r="BF524" i="1"/>
  <c r="BT524" i="1"/>
  <c r="BF525" i="1"/>
  <c r="BT525" i="1"/>
  <c r="BT526" i="1"/>
  <c r="BF527" i="1"/>
  <c r="BT527" i="1"/>
  <c r="BF528" i="1"/>
  <c r="BT528" i="1"/>
  <c r="BF529" i="1"/>
  <c r="BT529" i="1"/>
  <c r="BF530" i="1"/>
  <c r="BT530" i="1"/>
  <c r="BF531" i="1"/>
  <c r="BT531" i="1"/>
  <c r="BF532" i="1"/>
  <c r="BT532" i="1"/>
  <c r="BF533" i="1"/>
  <c r="BT533" i="1"/>
  <c r="BF534" i="1"/>
  <c r="BT534" i="1"/>
  <c r="BF535" i="1"/>
  <c r="BT535" i="1"/>
  <c r="BF536" i="1"/>
  <c r="BT536" i="1"/>
  <c r="BF537" i="1"/>
  <c r="BT537" i="1"/>
  <c r="BF538" i="1"/>
  <c r="BT538" i="1"/>
  <c r="BF539" i="1"/>
  <c r="BT539" i="1"/>
  <c r="BF540" i="1"/>
  <c r="BT540" i="1"/>
  <c r="BF541" i="1"/>
  <c r="BT541" i="1"/>
  <c r="BT542" i="1"/>
  <c r="BT543" i="1"/>
  <c r="BT544" i="1"/>
  <c r="BT545" i="1"/>
  <c r="BF546" i="1"/>
  <c r="BT546" i="1"/>
  <c r="BF547" i="1"/>
  <c r="BT547" i="1"/>
  <c r="BF548" i="1"/>
  <c r="BT548" i="1"/>
  <c r="BF549" i="1"/>
  <c r="BT549" i="1"/>
  <c r="BF550" i="1"/>
  <c r="BT550" i="1"/>
  <c r="BT551" i="1"/>
  <c r="BF552" i="1"/>
  <c r="BT552" i="1"/>
  <c r="BF553" i="1"/>
  <c r="BT553" i="1"/>
  <c r="BF554" i="1"/>
  <c r="BT554" i="1"/>
  <c r="BF555" i="1"/>
  <c r="BT555" i="1"/>
  <c r="BT556" i="1"/>
  <c r="BF557" i="1"/>
  <c r="BT557" i="1"/>
  <c r="BF558" i="1"/>
  <c r="BT558" i="1"/>
  <c r="BF559" i="1"/>
  <c r="BT559" i="1"/>
  <c r="BF560" i="1"/>
  <c r="BT560" i="1"/>
  <c r="BF561" i="1"/>
  <c r="BT561" i="1"/>
  <c r="BF562" i="1"/>
  <c r="BT562" i="1"/>
  <c r="BF563" i="1"/>
  <c r="BT563" i="1"/>
  <c r="BF564" i="1"/>
  <c r="BT564" i="1"/>
  <c r="BF565" i="1"/>
  <c r="BT565" i="1"/>
  <c r="BF566" i="1"/>
  <c r="BT566" i="1"/>
  <c r="BF567" i="1"/>
  <c r="BT567" i="1"/>
  <c r="BF568" i="1"/>
  <c r="BT568" i="1"/>
  <c r="BF569" i="1"/>
  <c r="BT569" i="1"/>
  <c r="BF570" i="1"/>
  <c r="BT570" i="1"/>
  <c r="BF571" i="1"/>
  <c r="BT571" i="1"/>
  <c r="BF572" i="1"/>
  <c r="BT572" i="1"/>
  <c r="BF573" i="1"/>
  <c r="BT573" i="1"/>
  <c r="BF574" i="1"/>
  <c r="BT574" i="1"/>
  <c r="BF575" i="1"/>
  <c r="BT575" i="1"/>
  <c r="BF576" i="1"/>
  <c r="BT576" i="1"/>
  <c r="BT577" i="1"/>
  <c r="BT578" i="1"/>
  <c r="BF579" i="1"/>
  <c r="BT579" i="1"/>
  <c r="BF580" i="1"/>
  <c r="BT580" i="1"/>
  <c r="BF581" i="1"/>
  <c r="BT581" i="1"/>
  <c r="BF582" i="1"/>
  <c r="BT582" i="1"/>
  <c r="BF583" i="1"/>
  <c r="BT583" i="1"/>
  <c r="BF584" i="1"/>
  <c r="BT584" i="1"/>
  <c r="BF585" i="1"/>
  <c r="BT585" i="1"/>
  <c r="BF586" i="1"/>
  <c r="BT586" i="1"/>
  <c r="BF587" i="1"/>
  <c r="BT587" i="1"/>
  <c r="BF588" i="1"/>
  <c r="BT588" i="1"/>
  <c r="BF589" i="1"/>
  <c r="BT589" i="1"/>
  <c r="BF590" i="1"/>
  <c r="BT590" i="1"/>
  <c r="BF591" i="1"/>
  <c r="BT591" i="1"/>
  <c r="BT592" i="1"/>
  <c r="BF593" i="1"/>
  <c r="BT593" i="1"/>
  <c r="BF594" i="1"/>
  <c r="BT594" i="1"/>
  <c r="BT595" i="1"/>
  <c r="BF596" i="1"/>
  <c r="BT596" i="1"/>
  <c r="BF597" i="1"/>
  <c r="BT597" i="1"/>
  <c r="BF598" i="1"/>
  <c r="BT598" i="1"/>
  <c r="BF599" i="1"/>
  <c r="BT599" i="1"/>
  <c r="BF600" i="1"/>
  <c r="BT600" i="1"/>
  <c r="BF601" i="1"/>
  <c r="BT601" i="1"/>
  <c r="BF602" i="1"/>
  <c r="BT602" i="1"/>
  <c r="BF603" i="1"/>
  <c r="BT603" i="1"/>
  <c r="BT604" i="1"/>
  <c r="BF605" i="1"/>
  <c r="BT605" i="1"/>
  <c r="BF606" i="1"/>
  <c r="BT606" i="1"/>
  <c r="BT607" i="1"/>
  <c r="BT608" i="1"/>
  <c r="BF609" i="1"/>
  <c r="BT609" i="1"/>
  <c r="BF610" i="1"/>
  <c r="BT610" i="1"/>
  <c r="BT611" i="1"/>
  <c r="BF612" i="1"/>
  <c r="BT612" i="1"/>
  <c r="BF613" i="1"/>
  <c r="BT613" i="1"/>
  <c r="BF614" i="1"/>
  <c r="BT614" i="1"/>
  <c r="BF615" i="1"/>
  <c r="BT615" i="1"/>
  <c r="BF616" i="1"/>
  <c r="BT616" i="1"/>
  <c r="BF617" i="1"/>
  <c r="BT617" i="1"/>
  <c r="BF618" i="1"/>
  <c r="BT618" i="1"/>
  <c r="BF619" i="1"/>
  <c r="BT619" i="1"/>
  <c r="BF620" i="1"/>
  <c r="BT620" i="1"/>
  <c r="BF621" i="1"/>
  <c r="BT621" i="1"/>
  <c r="BF622" i="1"/>
  <c r="BT622" i="1"/>
  <c r="BF623" i="1"/>
  <c r="BT623" i="1"/>
  <c r="BT624" i="1"/>
  <c r="BF625" i="1"/>
  <c r="BT625" i="1"/>
  <c r="BF626" i="1"/>
  <c r="BT626" i="1"/>
  <c r="BF627" i="1"/>
  <c r="BT627" i="1"/>
  <c r="BF628" i="1"/>
  <c r="BT628" i="1"/>
  <c r="BF629" i="1"/>
  <c r="BT629" i="1"/>
  <c r="BF630" i="1"/>
  <c r="BT630" i="1"/>
  <c r="BF631" i="1"/>
  <c r="BT631" i="1"/>
  <c r="BT632" i="1"/>
  <c r="BF633" i="1"/>
  <c r="BT633" i="1"/>
  <c r="BF634" i="1"/>
  <c r="BT634" i="1"/>
  <c r="BT635" i="1"/>
  <c r="BF636" i="1"/>
  <c r="BT636" i="1"/>
  <c r="BT637" i="1"/>
  <c r="BF638" i="1"/>
  <c r="BT638" i="1"/>
  <c r="BF639" i="1"/>
  <c r="BT639" i="1"/>
  <c r="BF640" i="1"/>
  <c r="BT640" i="1"/>
  <c r="BF641" i="1"/>
  <c r="BT641" i="1"/>
  <c r="BT642" i="1"/>
  <c r="BF643" i="1"/>
  <c r="BT643" i="1"/>
  <c r="BF644" i="1"/>
  <c r="BT644" i="1"/>
  <c r="BF645" i="1"/>
  <c r="BT645" i="1"/>
  <c r="BT646" i="1"/>
  <c r="BT647" i="1"/>
  <c r="BT648" i="1"/>
  <c r="BF649" i="1"/>
  <c r="BT649" i="1"/>
  <c r="BF650" i="1"/>
  <c r="BT650" i="1"/>
  <c r="BT651" i="1"/>
  <c r="BF652" i="1"/>
  <c r="BT652" i="1"/>
  <c r="BF653" i="1"/>
  <c r="BT653" i="1"/>
  <c r="BF654" i="1"/>
  <c r="BT654" i="1"/>
  <c r="BF655" i="1"/>
  <c r="BT655" i="1"/>
  <c r="BF656" i="1"/>
  <c r="BT656" i="1"/>
  <c r="BF657" i="1"/>
  <c r="BT657" i="1"/>
  <c r="BF658" i="1"/>
  <c r="BT658" i="1"/>
  <c r="BT659" i="1"/>
  <c r="BF660" i="1"/>
  <c r="BT660" i="1"/>
  <c r="BF661" i="1"/>
  <c r="BT661" i="1"/>
  <c r="BF662" i="1"/>
  <c r="BT662" i="1"/>
  <c r="BF663" i="1"/>
  <c r="BT663" i="1"/>
  <c r="BF664" i="1"/>
  <c r="BT664" i="1"/>
  <c r="BF665" i="1"/>
  <c r="BT665" i="1"/>
  <c r="BF666" i="1"/>
  <c r="BT666" i="1"/>
  <c r="BT667" i="1"/>
  <c r="BT668" i="1"/>
  <c r="BT669" i="1"/>
  <c r="BF670" i="1"/>
  <c r="BT670" i="1"/>
  <c r="BF671" i="1"/>
  <c r="BT671" i="1"/>
  <c r="BF672" i="1"/>
  <c r="BT672" i="1"/>
  <c r="BF673" i="1"/>
  <c r="BT673" i="1"/>
  <c r="BF674" i="1"/>
  <c r="BT674" i="1"/>
  <c r="BF675" i="1"/>
  <c r="BT675" i="1"/>
  <c r="BF676" i="1"/>
  <c r="BT676" i="1"/>
  <c r="BF677" i="1"/>
  <c r="BT677" i="1"/>
  <c r="BF678" i="1"/>
  <c r="BT678" i="1"/>
  <c r="BF679" i="1"/>
  <c r="BT679" i="1"/>
  <c r="BF680" i="1"/>
  <c r="BT680" i="1"/>
  <c r="BF681" i="1"/>
  <c r="BT681" i="1"/>
  <c r="BF682" i="1"/>
  <c r="BT682" i="1"/>
  <c r="BF683" i="1"/>
  <c r="BT683" i="1"/>
  <c r="BT684" i="1"/>
  <c r="BF685" i="1"/>
  <c r="BT685" i="1"/>
  <c r="BF686" i="1"/>
  <c r="BT686" i="1"/>
  <c r="BF687" i="1"/>
  <c r="BT687" i="1"/>
  <c r="BF688" i="1"/>
  <c r="BT688" i="1"/>
  <c r="BT689" i="1"/>
  <c r="BT690" i="1"/>
  <c r="BF691" i="1"/>
  <c r="BT691" i="1"/>
  <c r="BF692" i="1"/>
  <c r="BT692" i="1"/>
  <c r="BF693" i="1"/>
  <c r="BT693" i="1"/>
  <c r="BF694" i="1"/>
  <c r="BT694" i="1"/>
  <c r="BF695" i="1"/>
  <c r="BT695" i="1"/>
  <c r="BF696" i="1"/>
  <c r="BT696" i="1"/>
  <c r="BF697" i="1"/>
  <c r="BT697" i="1"/>
  <c r="BF698" i="1"/>
  <c r="BT698" i="1"/>
  <c r="BF699" i="1"/>
  <c r="BT699" i="1"/>
  <c r="BT700" i="1"/>
  <c r="BF701" i="1"/>
  <c r="BT701" i="1"/>
  <c r="BF702" i="1"/>
  <c r="BT702" i="1"/>
  <c r="BT703" i="1"/>
  <c r="BF704" i="1"/>
  <c r="BT704" i="1"/>
  <c r="BF705" i="1"/>
  <c r="BT705" i="1"/>
  <c r="BF706" i="1"/>
  <c r="BT706" i="1"/>
  <c r="BF707" i="1"/>
  <c r="BT707" i="1"/>
  <c r="BF708" i="1"/>
  <c r="BT708" i="1"/>
  <c r="BF709" i="1"/>
  <c r="BT709" i="1"/>
  <c r="BF710" i="1"/>
  <c r="BT710" i="1"/>
  <c r="BF711" i="1"/>
  <c r="BT711" i="1"/>
  <c r="BF712" i="1"/>
  <c r="BT712" i="1"/>
  <c r="BT713" i="1"/>
  <c r="BF714" i="1"/>
  <c r="BT714" i="1"/>
  <c r="BF715" i="1"/>
  <c r="BT715" i="1"/>
  <c r="BF716" i="1"/>
  <c r="BT716" i="1"/>
  <c r="BF717" i="1"/>
  <c r="BT717" i="1"/>
  <c r="BF718" i="1"/>
  <c r="BT718" i="1"/>
  <c r="BF719" i="1"/>
  <c r="BT719" i="1"/>
  <c r="BF720" i="1"/>
  <c r="BT720" i="1"/>
  <c r="BF721" i="1"/>
  <c r="BT721" i="1"/>
  <c r="BT722" i="1"/>
  <c r="BT723" i="1"/>
  <c r="BT724" i="1"/>
  <c r="BF725" i="1"/>
  <c r="BT725" i="1"/>
  <c r="BT726" i="1"/>
  <c r="BF727" i="1"/>
  <c r="BT727" i="1"/>
  <c r="BF728" i="1"/>
  <c r="BT728" i="1"/>
  <c r="BF729" i="1"/>
  <c r="BT729" i="1"/>
  <c r="BF730" i="1"/>
  <c r="BT730" i="1"/>
  <c r="BF731" i="1"/>
  <c r="BT731" i="1"/>
  <c r="BT732" i="1"/>
  <c r="BF733" i="1"/>
  <c r="BT733" i="1"/>
  <c r="BT734" i="1"/>
  <c r="BF735" i="1"/>
  <c r="BT735" i="1"/>
  <c r="BF736" i="1"/>
  <c r="BT736" i="1"/>
  <c r="BF737" i="1"/>
  <c r="BT737" i="1"/>
  <c r="BT738" i="1"/>
  <c r="BT739" i="1"/>
  <c r="BF740" i="1"/>
  <c r="BT740" i="1"/>
  <c r="BT741" i="1"/>
  <c r="BF742" i="1"/>
  <c r="BT742" i="1"/>
  <c r="BF743" i="1"/>
  <c r="BT743" i="1"/>
  <c r="BT744" i="1"/>
  <c r="BF745" i="1"/>
  <c r="BT745" i="1"/>
  <c r="BF746" i="1"/>
  <c r="BT746" i="1"/>
  <c r="BF747" i="1"/>
  <c r="BT747" i="1"/>
  <c r="BF748" i="1"/>
  <c r="BT748" i="1"/>
  <c r="BF749" i="1"/>
  <c r="BT749" i="1"/>
  <c r="BT750" i="1"/>
  <c r="BF751" i="1"/>
  <c r="BT751" i="1"/>
  <c r="BF752" i="1"/>
  <c r="BT752" i="1"/>
  <c r="BT753" i="1"/>
  <c r="BF754" i="1"/>
  <c r="BT754" i="1"/>
  <c r="BF755" i="1"/>
  <c r="BT755" i="1"/>
  <c r="BF756" i="1"/>
  <c r="BT756" i="1"/>
  <c r="BF757" i="1"/>
  <c r="BT757" i="1"/>
  <c r="BT758" i="1"/>
  <c r="BF759" i="1"/>
  <c r="BT759" i="1"/>
  <c r="BF760" i="1"/>
  <c r="BT760" i="1"/>
  <c r="BF761" i="1"/>
  <c r="BT761" i="1"/>
  <c r="BF762" i="1"/>
  <c r="BT762" i="1"/>
  <c r="BF763" i="1"/>
  <c r="BT763" i="1"/>
  <c r="BF764" i="1"/>
  <c r="BT764" i="1"/>
  <c r="BF765" i="1"/>
  <c r="BT765" i="1"/>
  <c r="BT766" i="1"/>
  <c r="BF767" i="1"/>
  <c r="BT767" i="1"/>
  <c r="BF768" i="1"/>
  <c r="BT768" i="1"/>
  <c r="BF769" i="1"/>
  <c r="BT769" i="1"/>
  <c r="BT770" i="1"/>
  <c r="BF771" i="1"/>
  <c r="BT771" i="1"/>
  <c r="BF772" i="1"/>
  <c r="BT772" i="1"/>
  <c r="BF773" i="1"/>
  <c r="BT773" i="1"/>
  <c r="BF774" i="1"/>
  <c r="BT774" i="1"/>
  <c r="BF775" i="1"/>
  <c r="BT775" i="1"/>
  <c r="BT776" i="1"/>
  <c r="BF777" i="1"/>
  <c r="BT777" i="1"/>
  <c r="BF778" i="1"/>
  <c r="BT778" i="1"/>
  <c r="BT779" i="1"/>
  <c r="BF780" i="1"/>
  <c r="BT780" i="1"/>
  <c r="BT781" i="1"/>
  <c r="BF782" i="1"/>
  <c r="BT782" i="1"/>
  <c r="BF783" i="1"/>
  <c r="BT783" i="1"/>
  <c r="BT784" i="1"/>
  <c r="BF785" i="1"/>
  <c r="BT785" i="1"/>
  <c r="BF786" i="1"/>
  <c r="BT786" i="1"/>
  <c r="BF787" i="1"/>
  <c r="BT787" i="1"/>
  <c r="BF788" i="1"/>
  <c r="BT788" i="1"/>
  <c r="BF789" i="1"/>
  <c r="BT789" i="1"/>
  <c r="BF790" i="1"/>
  <c r="BT790" i="1"/>
  <c r="BF791" i="1"/>
  <c r="BT791" i="1"/>
  <c r="BT792" i="1"/>
  <c r="BF793" i="1"/>
  <c r="BT793" i="1"/>
  <c r="BF794" i="1"/>
  <c r="BT794" i="1"/>
  <c r="BF795" i="1"/>
  <c r="BT795" i="1"/>
  <c r="BT796" i="1"/>
  <c r="BF797" i="1"/>
  <c r="BT797" i="1"/>
  <c r="BF798" i="1"/>
  <c r="BT798" i="1"/>
  <c r="BF799" i="1"/>
  <c r="BT799" i="1"/>
  <c r="BT800" i="1"/>
  <c r="BF801" i="1"/>
  <c r="BT801" i="1"/>
  <c r="BF802" i="1"/>
  <c r="BT802" i="1"/>
  <c r="BF803" i="1"/>
  <c r="BT803" i="1"/>
  <c r="BF804" i="1"/>
  <c r="BT804" i="1"/>
  <c r="BT805" i="1"/>
  <c r="BF806" i="1"/>
  <c r="BT806" i="1"/>
  <c r="BF807" i="1"/>
  <c r="BT807" i="1"/>
  <c r="BF808" i="1"/>
  <c r="BT808" i="1"/>
  <c r="BF809" i="1"/>
  <c r="BT809" i="1"/>
  <c r="BF810" i="1"/>
  <c r="BT810" i="1"/>
  <c r="BF811" i="1"/>
  <c r="BT811" i="1"/>
  <c r="BF812" i="1"/>
  <c r="BT812" i="1"/>
  <c r="BF813" i="1"/>
  <c r="BT813" i="1"/>
  <c r="BF814" i="1"/>
  <c r="BT814" i="1"/>
  <c r="BF815" i="1"/>
  <c r="BT815" i="1"/>
  <c r="BF816" i="1"/>
  <c r="BT816" i="1"/>
  <c r="BF817" i="1"/>
  <c r="BT817" i="1"/>
  <c r="BT818" i="1"/>
  <c r="BF819" i="1"/>
  <c r="BT819" i="1"/>
  <c r="BT820" i="1"/>
  <c r="BF821" i="1"/>
  <c r="BT821" i="1"/>
  <c r="BF822" i="1"/>
  <c r="BT822" i="1"/>
  <c r="BT823" i="1"/>
  <c r="BF824" i="1"/>
  <c r="BT824" i="1"/>
  <c r="BT825" i="1"/>
  <c r="BF826" i="1"/>
  <c r="BT826" i="1"/>
  <c r="BF827" i="1"/>
  <c r="BT827" i="1"/>
  <c r="BF828" i="1"/>
  <c r="BT828" i="1"/>
  <c r="BF829" i="1"/>
  <c r="BT829" i="1"/>
  <c r="BF830" i="1"/>
  <c r="BT830" i="1"/>
  <c r="BF831" i="1"/>
  <c r="BT831" i="1"/>
  <c r="BT832" i="1"/>
  <c r="BF833" i="1"/>
  <c r="BT833" i="1"/>
  <c r="BF834" i="1"/>
  <c r="BT834" i="1"/>
  <c r="BF835" i="1"/>
  <c r="BT835" i="1"/>
  <c r="BT836" i="1"/>
  <c r="BT837" i="1"/>
  <c r="BF838" i="1"/>
  <c r="BT838" i="1"/>
  <c r="BF839" i="1"/>
  <c r="BT839" i="1"/>
  <c r="BF840" i="1"/>
  <c r="BT840" i="1"/>
  <c r="BF841" i="1"/>
  <c r="BT841" i="1"/>
  <c r="BT842" i="1"/>
  <c r="BF843" i="1"/>
  <c r="BT843" i="1"/>
  <c r="BF844" i="1"/>
  <c r="BT844" i="1"/>
  <c r="BF845" i="1"/>
  <c r="BT845" i="1"/>
  <c r="BF846" i="1"/>
  <c r="BT846" i="1"/>
  <c r="BF847" i="1"/>
  <c r="BT847" i="1"/>
  <c r="BF848" i="1"/>
  <c r="BT848" i="1"/>
  <c r="BF849" i="1"/>
  <c r="BT849" i="1"/>
  <c r="BF850" i="1"/>
  <c r="BT850" i="1"/>
  <c r="BF851" i="1"/>
  <c r="BT851" i="1"/>
  <c r="BF852" i="1"/>
  <c r="BT852" i="1"/>
  <c r="BF853" i="1"/>
  <c r="BT853" i="1"/>
  <c r="BT854" i="1"/>
  <c r="BF855" i="1"/>
  <c r="BT855" i="1"/>
  <c r="BF856" i="1"/>
  <c r="BT856" i="1"/>
  <c r="BF857" i="1"/>
  <c r="BT857" i="1"/>
  <c r="BF858" i="1"/>
  <c r="BT858" i="1"/>
  <c r="BF859" i="1"/>
  <c r="BT859" i="1"/>
  <c r="BF860" i="1"/>
  <c r="BT860" i="1"/>
  <c r="BF861" i="1"/>
  <c r="BT861" i="1"/>
  <c r="BT862" i="1"/>
  <c r="BF863" i="1"/>
  <c r="BT863" i="1"/>
  <c r="BF864" i="1"/>
  <c r="BT864" i="1"/>
  <c r="BF865" i="1"/>
  <c r="BT865" i="1"/>
  <c r="BF866" i="1"/>
  <c r="BT866" i="1"/>
  <c r="BT867" i="1"/>
  <c r="BT868" i="1"/>
  <c r="BF869" i="1"/>
  <c r="BT869" i="1"/>
  <c r="BT870" i="1"/>
  <c r="BF871" i="1"/>
  <c r="BT871" i="1"/>
  <c r="BT872" i="1"/>
  <c r="BF873" i="1"/>
  <c r="BT873" i="1"/>
  <c r="BT874" i="1"/>
  <c r="BF875" i="1"/>
  <c r="BT875" i="1"/>
  <c r="BT876" i="1"/>
  <c r="BF877" i="1"/>
  <c r="BT877" i="1"/>
  <c r="BF878" i="1"/>
  <c r="BT878" i="1"/>
  <c r="BT879" i="1"/>
  <c r="BF880" i="1"/>
  <c r="BT880" i="1"/>
  <c r="BF881" i="1"/>
  <c r="BT881" i="1"/>
  <c r="BT882" i="1"/>
  <c r="BF883" i="1"/>
  <c r="BT883" i="1"/>
  <c r="BT884" i="1"/>
  <c r="BT885" i="1"/>
  <c r="BF886" i="1"/>
  <c r="BT886" i="1"/>
  <c r="BF887" i="1"/>
  <c r="BT887" i="1"/>
  <c r="BF888" i="1"/>
  <c r="BT888" i="1"/>
  <c r="BF889" i="1"/>
  <c r="BT889" i="1"/>
  <c r="BT890" i="1"/>
  <c r="BF891" i="1"/>
  <c r="BT891" i="1"/>
  <c r="BF892" i="1"/>
  <c r="BT892" i="1"/>
  <c r="BF893" i="1"/>
  <c r="BT893" i="1"/>
  <c r="BF894" i="1"/>
  <c r="BT894" i="1"/>
  <c r="BT895" i="1"/>
  <c r="BT896" i="1"/>
  <c r="BF897" i="1"/>
  <c r="BT897" i="1"/>
  <c r="BF898" i="1"/>
  <c r="BT898" i="1"/>
  <c r="BF899" i="1"/>
  <c r="BT899" i="1"/>
  <c r="BF900" i="1"/>
  <c r="BT900" i="1"/>
  <c r="BT901" i="1"/>
  <c r="BT902" i="1"/>
  <c r="BF903" i="1"/>
  <c r="BT903" i="1"/>
  <c r="BF904" i="1"/>
  <c r="BT904" i="1"/>
  <c r="BF905" i="1"/>
  <c r="BT905" i="1"/>
  <c r="BF906" i="1"/>
  <c r="BT906" i="1"/>
  <c r="BF907" i="1"/>
  <c r="BT907" i="1"/>
  <c r="BF908" i="1"/>
  <c r="BT908" i="1"/>
  <c r="BF909" i="1"/>
  <c r="BT909" i="1"/>
  <c r="BF910" i="1"/>
  <c r="BT910" i="1"/>
  <c r="BF911" i="1"/>
  <c r="BT911" i="1"/>
  <c r="BT912" i="1"/>
  <c r="BT913" i="1"/>
  <c r="BT914" i="1"/>
  <c r="BT915" i="1"/>
  <c r="BF916" i="1"/>
  <c r="BT916" i="1"/>
  <c r="BF917" i="1"/>
  <c r="BT917" i="1"/>
  <c r="BF918" i="1"/>
  <c r="BT918" i="1"/>
  <c r="BF919" i="1"/>
  <c r="BT919" i="1"/>
  <c r="BF920" i="1"/>
  <c r="BT920" i="1"/>
  <c r="BF921" i="1"/>
  <c r="BT921" i="1"/>
  <c r="BT922" i="1"/>
  <c r="BF923" i="1"/>
  <c r="BT923" i="1"/>
  <c r="BF924" i="1"/>
  <c r="BT924" i="1"/>
  <c r="BF925" i="1"/>
  <c r="BT925" i="1"/>
  <c r="BF926" i="1"/>
  <c r="BT926" i="1"/>
  <c r="BF927" i="1"/>
  <c r="BT927" i="1"/>
  <c r="BF928" i="1"/>
  <c r="BT928" i="1"/>
  <c r="BF929" i="1"/>
  <c r="BT929" i="1"/>
  <c r="BF930" i="1"/>
  <c r="BT930" i="1"/>
  <c r="BF931" i="1"/>
  <c r="BT931" i="1"/>
  <c r="BF932" i="1"/>
  <c r="BT932" i="1"/>
  <c r="BF933" i="1"/>
  <c r="BT933" i="1"/>
  <c r="BF934" i="1"/>
  <c r="BT934" i="1"/>
  <c r="BF935" i="1"/>
  <c r="BT935" i="1"/>
  <c r="BT936" i="1"/>
  <c r="BF937" i="1"/>
  <c r="BT937" i="1"/>
  <c r="BF938" i="1"/>
  <c r="BT938" i="1"/>
  <c r="BF939" i="1"/>
  <c r="BT939" i="1"/>
  <c r="BF940" i="1"/>
  <c r="BT940" i="1"/>
  <c r="BF941" i="1"/>
  <c r="BT941" i="1"/>
  <c r="BT942" i="1"/>
  <c r="BF943" i="1"/>
  <c r="BT943" i="1"/>
  <c r="BF944" i="1"/>
  <c r="BT944" i="1"/>
  <c r="BF945" i="1"/>
  <c r="BT945" i="1"/>
  <c r="BF946" i="1"/>
  <c r="BT946" i="1"/>
  <c r="BF947" i="1"/>
  <c r="BT947" i="1"/>
  <c r="BF948" i="1"/>
  <c r="BT948" i="1"/>
  <c r="BF949" i="1"/>
  <c r="BT949" i="1"/>
  <c r="BT950" i="1"/>
  <c r="BF951" i="1"/>
  <c r="BT951" i="1"/>
  <c r="BF952" i="1"/>
  <c r="BT952" i="1"/>
  <c r="BT953" i="1"/>
  <c r="BF954" i="1"/>
  <c r="BT954" i="1"/>
  <c r="BF955" i="1"/>
  <c r="BT955" i="1"/>
  <c r="BF956" i="1"/>
  <c r="BT956" i="1"/>
  <c r="BF957" i="1"/>
  <c r="BT957" i="1"/>
  <c r="BF958" i="1"/>
  <c r="BT958" i="1"/>
  <c r="BF959" i="1"/>
  <c r="BT959" i="1"/>
  <c r="BF960" i="1"/>
  <c r="BT960" i="1"/>
  <c r="BF961" i="1"/>
  <c r="BT961" i="1"/>
  <c r="BF962" i="1"/>
  <c r="BT962" i="1"/>
  <c r="BF963" i="1"/>
  <c r="BT963" i="1"/>
  <c r="BT964" i="1"/>
  <c r="BT965" i="1"/>
  <c r="BF966" i="1"/>
  <c r="BT966" i="1"/>
  <c r="BT967" i="1"/>
  <c r="BF968" i="1"/>
  <c r="BT968" i="1"/>
  <c r="BF969" i="1"/>
  <c r="BT969" i="1"/>
  <c r="BF970" i="1"/>
  <c r="BT970" i="1"/>
  <c r="BF971" i="1"/>
  <c r="BT971" i="1"/>
  <c r="BT972" i="1"/>
  <c r="BT973" i="1"/>
  <c r="BF974" i="1"/>
  <c r="BT974" i="1"/>
  <c r="BF975" i="1"/>
  <c r="BT975" i="1"/>
  <c r="BF976" i="1"/>
  <c r="BT976" i="1"/>
  <c r="BF977" i="1"/>
  <c r="BT977" i="1"/>
  <c r="BF978" i="1"/>
  <c r="BT978" i="1"/>
  <c r="BT979" i="1"/>
  <c r="BF980" i="1"/>
  <c r="BT980" i="1"/>
  <c r="BF981" i="1"/>
  <c r="BT981" i="1"/>
  <c r="BF982" i="1"/>
  <c r="BT982" i="1"/>
  <c r="BT983" i="1"/>
  <c r="BF984" i="1"/>
  <c r="BT984" i="1"/>
  <c r="BF985" i="1"/>
  <c r="BT985" i="1"/>
  <c r="BF986" i="1"/>
  <c r="BT986" i="1"/>
  <c r="BF987" i="1"/>
  <c r="BT987" i="1"/>
  <c r="BF988" i="1"/>
  <c r="BT988" i="1"/>
  <c r="BF989" i="1"/>
  <c r="BT989" i="1"/>
  <c r="BF990" i="1"/>
  <c r="BT990" i="1"/>
  <c r="BF991" i="1"/>
  <c r="BT991" i="1"/>
  <c r="BF992" i="1"/>
  <c r="BT992" i="1"/>
  <c r="BF993" i="1"/>
  <c r="BT993" i="1"/>
  <c r="BF994" i="1"/>
  <c r="BT994" i="1"/>
  <c r="BF995" i="1"/>
  <c r="BT995" i="1"/>
  <c r="BF996" i="1"/>
  <c r="BT996" i="1"/>
  <c r="BF997" i="1"/>
  <c r="BT997" i="1"/>
  <c r="BF998" i="1"/>
  <c r="BT998" i="1"/>
  <c r="BT999" i="1"/>
  <c r="BF1000" i="1"/>
  <c r="BT1000" i="1"/>
  <c r="BF1001" i="1"/>
  <c r="BT1001" i="1"/>
</calcChain>
</file>

<file path=xl/sharedStrings.xml><?xml version="1.0" encoding="utf-8"?>
<sst xmlns="http://schemas.openxmlformats.org/spreadsheetml/2006/main" count="60504" uniqueCount="19583">
  <si>
    <t>Publication Type</t>
  </si>
  <si>
    <t>Authors</t>
  </si>
  <si>
    <t>Book Authors</t>
  </si>
  <si>
    <t>Book Editors</t>
  </si>
  <si>
    <t>Book Group Authors</t>
  </si>
  <si>
    <t>Author Full Names</t>
  </si>
  <si>
    <t>Book Author Full Names</t>
  </si>
  <si>
    <t>Group Authors</t>
  </si>
  <si>
    <t>Article Title</t>
  </si>
  <si>
    <t>Source Title</t>
  </si>
  <si>
    <t>Book Series Title</t>
  </si>
  <si>
    <t>Book Series Subtitle</t>
  </si>
  <si>
    <t>Language</t>
  </si>
  <si>
    <t>Document Type</t>
  </si>
  <si>
    <t>Conference Title</t>
  </si>
  <si>
    <t>Conference Date</t>
  </si>
  <si>
    <t>Conference Location</t>
  </si>
  <si>
    <t>Conference Sponsor</t>
  </si>
  <si>
    <t>Conference Host</t>
  </si>
  <si>
    <t>Author Keywords</t>
  </si>
  <si>
    <t>Keywords Plus</t>
  </si>
  <si>
    <t>Abstract</t>
  </si>
  <si>
    <t>Addresses</t>
  </si>
  <si>
    <t>Affiliations</t>
  </si>
  <si>
    <t>Reprint Addresses</t>
  </si>
  <si>
    <t>Email Addresses</t>
  </si>
  <si>
    <t>Researcher Ids</t>
  </si>
  <si>
    <t>ORCIDs</t>
  </si>
  <si>
    <t>Funding Orgs</t>
  </si>
  <si>
    <t>Funding Name Preferred</t>
  </si>
  <si>
    <t>Funding Text</t>
  </si>
  <si>
    <t>Cited References</t>
  </si>
  <si>
    <t>Cited Reference Count</t>
  </si>
  <si>
    <t>Times Cited, WoS Core</t>
  </si>
  <si>
    <t>Times Cited, All Databases</t>
  </si>
  <si>
    <t>180 Day Usage Count</t>
  </si>
  <si>
    <t>Since 2013 Usage Count</t>
  </si>
  <si>
    <t>Publisher</t>
  </si>
  <si>
    <t>Publisher City</t>
  </si>
  <si>
    <t>Publisher Address</t>
  </si>
  <si>
    <t>ISSN</t>
  </si>
  <si>
    <t>eISSN</t>
  </si>
  <si>
    <t>ISBN</t>
  </si>
  <si>
    <t>Journal Abbreviation</t>
  </si>
  <si>
    <t>Journal ISO Abbreviation</t>
  </si>
  <si>
    <t>Publication Date</t>
  </si>
  <si>
    <t>Publication Year</t>
  </si>
  <si>
    <t>Volume</t>
  </si>
  <si>
    <t>Issue</t>
  </si>
  <si>
    <t>Part Number</t>
  </si>
  <si>
    <t>Supplement</t>
  </si>
  <si>
    <t>Special Issue</t>
  </si>
  <si>
    <t>Meeting Abstract</t>
  </si>
  <si>
    <t>Start Page</t>
  </si>
  <si>
    <t>End Page</t>
  </si>
  <si>
    <t>Article Number</t>
  </si>
  <si>
    <t>DOI</t>
  </si>
  <si>
    <t>DOI Link</t>
  </si>
  <si>
    <t>Book DOI</t>
  </si>
  <si>
    <t>Early Access Date</t>
  </si>
  <si>
    <t>Number of Pages</t>
  </si>
  <si>
    <t>WoS Categories</t>
  </si>
  <si>
    <t>Web of Science Index</t>
  </si>
  <si>
    <t>Research Areas</t>
  </si>
  <si>
    <t>IDS Number</t>
  </si>
  <si>
    <t>Pubmed Id</t>
  </si>
  <si>
    <t>Open Access Designations</t>
  </si>
  <si>
    <t>Highly Cited Status</t>
  </si>
  <si>
    <t>Hot Paper Status</t>
  </si>
  <si>
    <t>Date of Export</t>
  </si>
  <si>
    <t>UT (Unique WOS ID)</t>
  </si>
  <si>
    <t>Web of Science Record</t>
  </si>
  <si>
    <t>J</t>
  </si>
  <si>
    <t>Reddig, JM; Arora, A; MacLellan, CJ</t>
  </si>
  <si>
    <t/>
  </si>
  <si>
    <t>Reddig, Jennifer M.; Arora, Arav; MacLellan, Christopher J.</t>
  </si>
  <si>
    <t>Generating In-Context, Personalized Feedback for Intelligent Tutors with Large Language Models</t>
  </si>
  <si>
    <t>INTERNATIONAL JOURNAL OF ARTIFICIAL INTELLIGENCE IN EDUCATION</t>
  </si>
  <si>
    <t>English</t>
  </si>
  <si>
    <t>Article</t>
  </si>
  <si>
    <t>Immediate feedback; Generative AI; Large language model; Educational technology</t>
  </si>
  <si>
    <t>SYSTEM; ERRORS</t>
  </si>
  <si>
    <t>This study explores how large language models (LLMs), specifically GPT-4, could be used to generate personalized feedback within an Intelligent Tutoring System (ITS). The research focuses on evaluating the model's ability to (1) diagnose student errors, (2) generate personalized corrective feedback, and (3) assess the accuracy of diagnoses and helpfulness of the feedback. We analyze student errors from the Apprentice Tutor College Algebra ITS and prompt GPT-4 to give targeted feedback on those errors. The findings suggest that while this model can effectively diagnose a range of student errors, its feedback varies in effectiveness based on the complexity of the problem and the type of error. While GPT-4 generates relevant, specific feedback a majority of the time, 35% of the hints were too general, incorrect, or give away the correct answer. The study also explores methods for using an LLM to automatically evaluate the validity of generated feedback, and finds that only 35% of feedback passes automated helpfulness evaluations.</t>
  </si>
  <si>
    <t>[Reddig, Jennifer M.; Arora, Arav; MacLellan, Christopher J.] Georgia Inst Technol, North Ave, Atlanta, GA 30332 USA</t>
  </si>
  <si>
    <t>University System of Georgia; Georgia Institute of Technology</t>
  </si>
  <si>
    <t>Reddig, JM (corresponding author), Georgia Inst Technol, North Ave, Atlanta, GA 30332 USA.</t>
  </si>
  <si>
    <t>jreddig3@gatech.edu; aarora@gatech.edu; cmaclell@gatech.edu</t>
  </si>
  <si>
    <t>Reddig, Jennifer/0009-0000-6731-9401</t>
  </si>
  <si>
    <t>NSF National AI Research Institutes Program [2112532]</t>
  </si>
  <si>
    <t>NSF National AI Research Institutes Program</t>
  </si>
  <si>
    <t>This work was funded by the NSF National AI Research Institutes Program (Award #2112532). The opinions expressed are those of the authors and do not represent the views of the sponsoring agency.</t>
  </si>
  <si>
    <t>ELSEVIER SCIENCE INC</t>
  </si>
  <si>
    <t>NEW YORK</t>
  </si>
  <si>
    <t>101 Park Avenue, 24th Floor, NEW YORK, NY, UNITED STATES</t>
  </si>
  <si>
    <t>1560-4292</t>
  </si>
  <si>
    <t>1560-4306</t>
  </si>
  <si>
    <t>INT J ARTIF INTELL E</t>
  </si>
  <si>
    <t>Int. J. Artif. Intell. Educ.</t>
  </si>
  <si>
    <t>DEC</t>
  </si>
  <si>
    <t>10.1007/s40593-025-00505-6</t>
  </si>
  <si>
    <t>JUL 2025</t>
  </si>
  <si>
    <t>Computer Science, Interdisciplinary Applications</t>
  </si>
  <si>
    <t>Emerging Sources Citation Index (ESCI)</t>
  </si>
  <si>
    <t>Computer Science</t>
  </si>
  <si>
    <t>Z5311</t>
  </si>
  <si>
    <t>hybrid</t>
  </si>
  <si>
    <t>2026-09-19</t>
  </si>
  <si>
    <t>WOS:001536005400001</t>
  </si>
  <si>
    <t>C</t>
  </si>
  <si>
    <t>Li, ZH; Xiao, FW; Lin, JJ; Zou, XH; Zheng, QX; Xiong, JJ</t>
  </si>
  <si>
    <t>Cristea, AI; Lu, Y; Santos, OC; Walker, E; Isotani, S</t>
  </si>
  <si>
    <t>Li, Zhaohui; Xiao, Feiwen; Lin, Jiaju; Zou, Xiaohan; Zheng, Qingxiao; Xiong, Jinjun</t>
  </si>
  <si>
    <t>StoryLab: Empowering Personalized Learning for Children Through Teacher-Guided Multimodal Story Generation</t>
  </si>
  <si>
    <t>ARTIFICIAL INTELLIGENCE IN EDUCATION, AIED 2025, PT V</t>
  </si>
  <si>
    <t>Lecture Notes in Artificial Intelligence</t>
  </si>
  <si>
    <t>Proceedings Paper</t>
  </si>
  <si>
    <t>26th International Conference on Artificial Intelligence in Education-AIED</t>
  </si>
  <si>
    <t>JUL 22-26, 2025</t>
  </si>
  <si>
    <t>Palermo, ITALY</t>
  </si>
  <si>
    <t>Early Literacy; Story Generation; Personalized Learning; Large Language Models; Multimodal Learning Environment</t>
  </si>
  <si>
    <t>Personalized story reading enhances child literacy by aligning content with individual interests, backgrounds, and developmental needs. However, implementing such systems presents challenges, including data privacy concerns, the need for culturally diverse materials, limited resources, and balancing personalization with standardized benchmark objectives. To address these challenges, we introduce StoryLab, a multimodal system designed for K-2 teachers and students. The system leverages advanced generative AI to integrate students' personal interests with teacher-defined learning objectives to generate comprehensive learning materials, including story text, illustrated figures, vocabulary support, and a consistent narrative voice. A teacher-in-the-loop design ensures pedagogical alignment and trust. Evaluations demonstrate StoryLab's effectiveness and usability, positioning it as a promising and scalable tool for personalized literacy instruction.</t>
  </si>
  <si>
    <t>[Li, Zhaohui; Zheng, Qingxiao; Xiong, Jinjun] Univ Buffalo, Buffalo, NY 14068 USA; [Xiao, Feiwen; Lin, Jiaju; Zou, Xiaohan] Penn State Univ, University Pk, PA 16802 USA</t>
  </si>
  <si>
    <t>State University of New York (SUNY) System; University at Buffalo, SUNY; Pennsylvania Commonwealth System of Higher Education (PCSHE); Pennsylvania State University; Pennsylvania State University - University Park</t>
  </si>
  <si>
    <t>Li, ZH (corresponding author), Univ Buffalo, Buffalo, NY 14068 USA.</t>
  </si>
  <si>
    <t>zli253@buffalo.edu; ffx5014@psu.edu; jjl7137@psu.edu; xfz5266@psu.edu; qingxiao@buffalo.edu; jinjun@buffalo.edu</t>
  </si>
  <si>
    <t>Xiao, Feiwen/NHQ-2323-2025</t>
  </si>
  <si>
    <t>National Science Foundation [2229873]; U.S. Department of Education [R305C240046]</t>
  </si>
  <si>
    <t>National Science Foundation(National Science Foundation (NSF)); U.S. Department of Education(US Department of Education)</t>
  </si>
  <si>
    <t>This work is supported, in part, by the National Science Foundation under Grant 2229873 (AI4ExceptionalEd) and U.S. Department of Education under Grant R305C240046 (CELaRAI). Any opinions, findings and conclusions or recommendations expressed in this material are those of the author(s) and do not necessarily reflect the views of the sponsors.</t>
  </si>
  <si>
    <t>SPRINGER INTERNATIONAL PUBLISHING AG</t>
  </si>
  <si>
    <t>CHAM</t>
  </si>
  <si>
    <t>GEWERBESTRASSE 11, CHAM, CH-6330, SWITZERLAND</t>
  </si>
  <si>
    <t>2945-9133</t>
  </si>
  <si>
    <t>1611-3349</t>
  </si>
  <si>
    <t>978-3-031-98461-7; 978-3-031-98462-4</t>
  </si>
  <si>
    <t>LECT NOTES ARTIF INT</t>
  </si>
  <si>
    <t>10.1007/978-3-031-98462-4_36</t>
  </si>
  <si>
    <t>Computer Science, Artificial Intelligence; Computer Science, Interdisciplinary Applications; Education &amp; Educational Research; Education, Scientific Disciplines</t>
  </si>
  <si>
    <t>Conference Proceedings Citation Index - Science (CPCI-S); Conference Proceedings Citation Index - Social Science &amp; Humanities (CPCI-SSH)</t>
  </si>
  <si>
    <t>Computer Science; Education &amp; Educational Research</t>
  </si>
  <si>
    <t>BZ9LE</t>
  </si>
  <si>
    <t>WOS:001655282800036</t>
  </si>
  <si>
    <t>Uglev, V; Sychev, O</t>
  </si>
  <si>
    <t>Frasson, C; Mylonas, P; Troussas, C</t>
  </si>
  <si>
    <t>Uglev, Viktor; Sychev, Oleg</t>
  </si>
  <si>
    <t>Synthesizing Didactic Explanatory Texts in Intelligent Tutoring Systems Based on the Information in Cognitive Maps</t>
  </si>
  <si>
    <t>AUGMENTED INTELLIGENCE AND INTELLIGENT TUTORING SYSTEMS, ITS 2023</t>
  </si>
  <si>
    <t>Lecture Notes in Computer Science</t>
  </si>
  <si>
    <t>19th International Conference on Augmented Intelligence and Intelligent Tutoring Systems (ITS)</t>
  </si>
  <si>
    <t>JUN 02-05, 2023</t>
  </si>
  <si>
    <t>Corfu, GREECE</t>
  </si>
  <si>
    <t>Intelligent Tutoring Systems; cognitive visualization; decision making; explainable AI; explanatory text; Cognitive Maps of Knowledge Diagnosis</t>
  </si>
  <si>
    <t>The paper deals with the problem of synthesizing texts that explain decisions of an Intelligent Tutoring System for the learner. Solving this problem is important for increasing human trust in the ITS decisions by finding effective arguments and synthesizing explanatory texts. We describe an approach to preparing and concentrating raw data that is similar to the process used for mapping. The texts explaining the system's decisions are generated using the method of parametric maps, which are visualized as Cognitive Maps of Knowledge Diagnosis: the transition from particular maps to the combined map and the development of a system of arguments based on these data. We show the structure of an explanatory text and the accompanying visualization of a cognitive map. We demonstrate the explanation synthesis on the example of a graduate student in the course Simulation modeling. The explanation consists of the text and supporting visualization. Preliminary analysis has shown significant student interest in receiving explanations, containing verbal and non-verbal (cognitive maps) components, from the Intelligent Tutoring System about its decisions.</t>
  </si>
  <si>
    <t>[Uglev, Viktor] Siberian Fed Univ, Zheleznogorsk, Russia; [Sychev, Oleg] Volgograd State Tech Univ, Volgograd, Russia</t>
  </si>
  <si>
    <t>Siberian Federal University; Volgograd State Technical University</t>
  </si>
  <si>
    <t>Uglev, V (corresponding author), Siberian Fed Univ, Zheleznogorsk, Russia.</t>
  </si>
  <si>
    <t>vauglev@sfu-kras.ru</t>
  </si>
  <si>
    <t>Sychev, Oleg/M-4897-2015; Uglev, Viktor/AHA-3086-2022</t>
  </si>
  <si>
    <t>Sychev, Oleg/0000-0002-7296-2538; Uglev, Viktor/0000-0003-1205-2652</t>
  </si>
  <si>
    <t>0302-9743</t>
  </si>
  <si>
    <t>978-3-031-32882-4; 978-3-031-32883-1</t>
  </si>
  <si>
    <t>LECT NOTES COMPUT SC</t>
  </si>
  <si>
    <t>10.1007/978-3-031-32883-1_20</t>
  </si>
  <si>
    <t>Computer Science, Artificial Intelligence; Computer Science, Interdisciplinary Applications; Education &amp; Educational Research</t>
  </si>
  <si>
    <t>BX4XV</t>
  </si>
  <si>
    <t>WOS:001296006200020</t>
  </si>
  <si>
    <t>Tasdelen, O; Bodemer, D</t>
  </si>
  <si>
    <t>Tasdelen, Osman; Bodemer, Daniel</t>
  </si>
  <si>
    <t>Generative AI in the Classroom: Effects of Context-Personalized Learning Material and Tasks on Motivation and Performance</t>
  </si>
  <si>
    <t>GAI; LLMs; Motivation; Personalization; Situational interest; Technology-Enhanced Learning</t>
  </si>
  <si>
    <t>INTRINSIC MOTIVATION; ELEMENTARY-SCHOOL; INSTRUCTION; MATHEMATICS; COMPUTER; STUDENTS; ACHIEVEMENT; PROGRAM</t>
  </si>
  <si>
    <t>Maintaining student motivation is a persistent challenge in modern education, as traditional methods often fail to fully address students' individual interests. While personalized approaches show promise, educators face substantial challenges in creating personalized educational content due to the significant resources required, often exceeding practical limitations. Context-personalization through Generative Artificial Intelligence (GAI) enables the real-time creation of diverse learning material and tasks tailored to each student's unique interests, surpassing what educators can provide in practice. This paper reports on the development of such a GAI-based tool and its systematic investigation. A 2x\documentclass[12pt]{minimal} \usepackage{amsmath} \usepackage{wasysym} \usepackage{amsfonts} \usepackage{amssymb} \usepackage{amsbsy} \usepackage{mathrsfs} \usepackage{upgreek} \setlength{\oddsidemargin}{-69pt} \begin{document}$$\times $$\end{document}2 mixed between-subjects design (N = 114) was conducted in primary school classrooms in Germany during regular math classes, with learning material (context-personalized vs. standard) and task type (context-personalized vs. standard) as factors. Results show that learning with context-personalized learning material and tasks led to higher intrinsic motivation, greater interest, and higher learning performance compared to standard learning material and tasks. The findings indicate that interests outside of typical school subjects can trigger situational interest and enhance intrinsic motivation in academic contexts. Furthermore, this paper highlights cutting-edge technologies, showcasing how Large Language Models, such as GPT-4, can place fractal text tasks in meaningful contexts in real time. This capability provides extensive opportunities to create learning material and tasks that foster intrinsic motivation, interest, and improve learning performance, effectively addressing the limitations previously faced by teachers.</t>
  </si>
  <si>
    <t>[Tasdelen, Osman; Bodemer, Daniel] Univ Duisburg Essen, PsychMeth Technol Learning Collaborat, Lotharstr 65, D-47057 Duisburg, North Rhine Wes, Germany</t>
  </si>
  <si>
    <t>University of Duisburg Essen</t>
  </si>
  <si>
    <t>Tasdelen, O (corresponding author), Univ Duisburg Essen, PsychMeth Technol Learning Collaborat, Lotharstr 65, D-47057 Duisburg, North Rhine Wes, Germany.</t>
  </si>
  <si>
    <t>osman.tasdelen@uni-due.de; daniel.bodemer@uni-due.de</t>
  </si>
  <si>
    <t>Bodemer, Daniel/C-6696-2015; Tasdelen, Osman/OEN-3770-2025</t>
  </si>
  <si>
    <t>Bodemer, Daniel/0000-0003-2515-683X; Tasdelen, Osman/0009-0008-2062-3172</t>
  </si>
  <si>
    <t>SPRINGER</t>
  </si>
  <si>
    <t>ONE NEW YORK PLAZA, SUITE 4600, NEW YORK, NY, UNITED STATES</t>
  </si>
  <si>
    <t>10.1007/s40593-025-00491-9</t>
  </si>
  <si>
    <t>Z5306</t>
  </si>
  <si>
    <t>WOS:001527671200001</t>
  </si>
  <si>
    <t>Sinatra, AM</t>
  </si>
  <si>
    <t>Schmorrow, DD; Fidopiastis, CM</t>
  </si>
  <si>
    <t>Sinatra, Anne M.</t>
  </si>
  <si>
    <t>A Personalized GIFT: Recommendations for Authoring Personalization in the Generalized Intelligent Framework for Tutoring</t>
  </si>
  <si>
    <t>FOUNDATIONS OF AUGMENTED COGNITION, AC 2015</t>
  </si>
  <si>
    <t>9th International Conference on Augmented Cognition (AC) Held as Part of 17th International Conference on Human-Computer Interaction (HCI International)</t>
  </si>
  <si>
    <t>AUG 02-07, 2015</t>
  </si>
  <si>
    <t>Los Angeles, CA</t>
  </si>
  <si>
    <t>STUDENT INTERESTS; INSTRUCTION; PERFORMANCE; CONTEXT</t>
  </si>
  <si>
    <t>Personalization of learning content can have a positive impact on learning in a computer based environment. Personalization can occur in a number of different ways, such as including an individual's name or entered content throughout the learning materials, or selecting examples based on self-reported preferences. The Generalized Intelligent Framework for Tutoring (GIFT) is an open-source, domain independent intelligent tutoring system framework. GIFT includes a number of different authoring tools (e.g., GIFT Authoring Tool, Survey Authoring System) that can be used to generate adaptive courses. In its current form, GIFT does not have specific mechanisms to support personalization of materials to the individual user based on pre-entered preferences. The current paper describes ways that personalization research has previously been conducted with GIFT. The paper additionally provides recommendations on new features that could be added to GIFT's authoring tools in order to support personalizing learning materials, guidance, and surveys that are provided to the learner.</t>
  </si>
  <si>
    <t>[Sinatra, Anne M.] US Army Res Lab, Simulat &amp; Training Technol Ctr, Orlando, FL 32826 USA</t>
  </si>
  <si>
    <t>United States Department of Defense; United States Army; US Army Research, Development &amp; Engineering Command (RDECOM); US Army Research Laboratory (ARL)</t>
  </si>
  <si>
    <t>Sinatra, AM (corresponding author), US Army Res Lab, Simulat &amp; Training Technol Ctr, Orlando, FL 32826 USA.</t>
  </si>
  <si>
    <t>anne.m.sinatra.civ@mail.mil</t>
  </si>
  <si>
    <t>SPRINGER-VERLAG BERLIN</t>
  </si>
  <si>
    <t>BERLIN</t>
  </si>
  <si>
    <t>HEIDELBERGER PLATZ 3, D-14197 BERLIN, GERMANY</t>
  </si>
  <si>
    <t>978-3-319-20816-9; 978-3-319-20815-2</t>
  </si>
  <si>
    <t>10.1007/978-3-319-20816-9_64</t>
  </si>
  <si>
    <t>Computer Science, Artificial Intelligence; Computer Science, Information Systems</t>
  </si>
  <si>
    <t>Conference Proceedings Citation Index - Science (CPCI-S)</t>
  </si>
  <si>
    <t>BD9KA</t>
  </si>
  <si>
    <t>Bronze</t>
  </si>
  <si>
    <t>WOS:000364809400064</t>
  </si>
  <si>
    <t>Walkington, C; Bernacki, ML</t>
  </si>
  <si>
    <t>Walkington, Candace; Bernacki, Matthew L.</t>
  </si>
  <si>
    <t>Personalizing Algebra to Students' Individual Interests in an Intelligent Tutoring System: Moderators of Impact</t>
  </si>
  <si>
    <t>Personalization; Personalized learning; Individual interest; Intelligent tutoring systems</t>
  </si>
  <si>
    <t>CONTEXT PERSONALIZATION; SITUATIONAL INTEREST; STORY PROBLEMS; MATHEMATICS; ADOLESCENCE; PERFORMANCE; COMPUTER; GAME</t>
  </si>
  <si>
    <t>Students experience mathematics in their day-to-day lives as they pursue their individual interests in areas like sports or video games. The present study explores how connecting to students' individual interests can be used to personalize learning using an Intelligent Tutoring System (ITS) for algebra. We examine the idea that the effects of personalization may be moderated by students' depth of quantitative engagement with their out-of-school interests. We also examine whether math problems designed to draw upon students' knowledge of their individual interests at a deep level (i.e., actual quantitative experiences) or surface level (i.e., superficial changes to problem topic) have differential effects. Results suggest that connecting math instruction to students' out-of-school interests can be beneficial for learning in an ITS and reduces gaming the system. However, benefits may only be realized when students' degree of quantitative engagement with their out-of-school interests matches the depth at which the personalized problems are written. Students whose quantitative engagement with their interests is minimal may benefit most when problems draw upon superficial aspects of their interest areas. Students who report significant quantitative engagement with their interests may benefit most when individual interests are deeply incorporated into the quantitative structure of math problems. We also find that problems with deeper personalization may spur positive affective states and ward off negative ones for all students. Findings suggest depth is a critical feature of personalized learning with implications for theory and AI instructional design.</t>
  </si>
  <si>
    <t>[Walkington, Candace] Southern Methodist Univ, 3101 Univ Blvd,Ste 345, Dallas, TX 75025 USA; [Bernacki, Matthew L.] Univ Nevada, 4505 S Maryland Pkwy, Las Vegas, NV 89154 USA</t>
  </si>
  <si>
    <t>Southern Methodist University; Nevada System of Higher Education (NSHE); University of Nevada Las Vegas</t>
  </si>
  <si>
    <t>Walkington, C (corresponding author), Southern Methodist Univ, 3101 Univ Blvd,Ste 345, Dallas, TX 75025 USA.</t>
  </si>
  <si>
    <t>cwalkington@smu.edu; matt.bernacki@unlv.edu</t>
  </si>
  <si>
    <t>; Bernacki, Matthew/ABA-6475-2020</t>
  </si>
  <si>
    <t>Walkington, Candace/0000-0002-2338-8760;</t>
  </si>
  <si>
    <t>Pittsburgh Science of Learning Center - National Science Foundation [0836012]; Carnegie Learning; Direct For Social, Behav &amp; Economic Scie; SBE Off Of Multidisciplinary Activities [0836012] Funding Source: National Science Foundation</t>
  </si>
  <si>
    <t>Pittsburgh Science of Learning Center - National Science Foundation(National Science Foundation (NSF)NSF - Office of the Director (OD)); Carnegie Learning; Direct For Social, Behav &amp; Economic Scie; SBE Off Of Multidisciplinary Activities(National Science Foundation (NSF)NSF - Directorate for Social, Behavioral &amp; Economic Sciences (SBE))</t>
  </si>
  <si>
    <t>This work was supported by the Pittsburgh Science of Learning Center, which was supported by the National Science Foundation, Award #0836012. Thank you to Gail Kusbit, Ryan Baker, Steve Ritter, Steve Fancsali, Vincent Aleven, and Timothy Nokes-Malach for their generous assistance with this research. Thank you to Carnegie Learning for their collaboration and support of this project. Thank you to Elizabeth Howell and Alyssa Holland for their assistance with data transcription and coding. And finally, thank you to the classroom teachers involved in this study.</t>
  </si>
  <si>
    <t>233 SPRING ST, NEW YORK, NY 10013 USA</t>
  </si>
  <si>
    <t>MAR</t>
  </si>
  <si>
    <t>10.1007/s40593-018-0168-1</t>
  </si>
  <si>
    <t>HY2MT</t>
  </si>
  <si>
    <t>WOS:000467957100003</t>
  </si>
  <si>
    <t>Walkington, CA</t>
  </si>
  <si>
    <t>Walkington, Candace A.</t>
  </si>
  <si>
    <t>Using Adaptive Learning Technologies to Personalize Instruction to Student Interests: The Impact of Relevant Contexts on Performance and Learning Outcomes</t>
  </si>
  <si>
    <t>JOURNAL OF EDUCATIONAL PSYCHOLOGY</t>
  </si>
  <si>
    <t>intelligent tutoring system; personalization; individual interest; topic interest; algebra</t>
  </si>
  <si>
    <t>SITUATIONAL INTEREST; INDIVIDUAL INTEREST; STORY PROBLEMS; WORD-PROBLEMS; MATHEMATICS; ACHIEVEMENT; SCIENCE; COMPREHENSION; ADOLESCENCE; PRINCIPLES</t>
  </si>
  <si>
    <t>Adaptive learning technologies are emerging in educational settings as a means to customize instruction to learners' background, experiences, and prior knowledge. Here, a technology-based personalization intervention within an intelligent tutoring system (ITS) for secondary mathematics was used to adapt instruction to students' personal interests. We conducted a learning experiment where 145 ninth-grade Algebra I students were randomly assigned to 2 conditions in the Cognitive Tutor Algebra ITS. For 1 instructional unit, half of the students received normal algebra story problems, and half received matched problems personalized to their out-of-school interests in areas such as sports, music, and movies. Results showed that students in the personalization condition solved problems faster and more accurately within the modified unit. The impact of personalization was most pronounced for 1 skill in particular-writing symbolic equations from story scenarios-and for 1 group of students in particular-students who were struggling to learn within the tutoring environment. Once the treatment had been removed, students who had received personalization continued to write symbolic equations for normal story problems with increasingly complex structures more accurately and with greater efficiency. Thus, we provide evidence that interest-based interventions can promote robust learning outcomes-such as transfer and accelerated future learning-in secondary mathematics. These interest-based connections may allow for abstract ideas to become perceptually grounded in students' experiences such that they become easier to grasp. Adaptive learning technologies that utilize interest may be a powerful way to support learners in gaining fluency with abstract representational systems.</t>
  </si>
  <si>
    <t>[Walkington, Candace A.] So Methodist Univ, Dallas, TX 75275 USA</t>
  </si>
  <si>
    <t>Southern Methodist University</t>
  </si>
  <si>
    <t>Walkington, CA (corresponding author), So Methodist Univ, Dept Teaching &amp; Learning, POB 740455, Dallas, TX 75275 USA.</t>
  </si>
  <si>
    <t>cwalkington@smu.edu</t>
  </si>
  <si>
    <t>Walkington, Candace/0000-0002-2338-8760</t>
  </si>
  <si>
    <t>AMER PSYCHOLOGICAL ASSOC</t>
  </si>
  <si>
    <t>WASHINGTON</t>
  </si>
  <si>
    <t>750 FIRST ST NE, WASHINGTON, DC 20002-4242 USA</t>
  </si>
  <si>
    <t>0022-0663</t>
  </si>
  <si>
    <t>1939-2176</t>
  </si>
  <si>
    <t>J EDUC PSYCHOL</t>
  </si>
  <si>
    <t>J. Educ. Psychol.</t>
  </si>
  <si>
    <t>NOV</t>
  </si>
  <si>
    <t>SI</t>
  </si>
  <si>
    <t>10.1037/a0031882</t>
  </si>
  <si>
    <t>Psychology, Educational</t>
  </si>
  <si>
    <t>Social Science Citation Index (SSCI)</t>
  </si>
  <si>
    <t>Psychology</t>
  </si>
  <si>
    <t>242QS</t>
  </si>
  <si>
    <t>WOS:000326257700002</t>
  </si>
  <si>
    <t>Walkington, C; Beauchamp, T; Lan, A; Pruitt-Britton, T</t>
  </si>
  <si>
    <t>Cristea, AI; Walker, E; Lu, Y; Santos, OC; Isotani, S</t>
  </si>
  <si>
    <t>Walkington, Candace; Beauchamp, Theodora; Lan, Andrew; Pruitt-Britton, Tiffini</t>
  </si>
  <si>
    <t>The Efficiency of Teacher-Driven Context Personalization in Mathematics with Large Language Models</t>
  </si>
  <si>
    <t>ARTIFICIAL INTELLIGENCE IN EDUCATION, AIED 2025, PT IV</t>
  </si>
  <si>
    <t>context personalization; generative AI; mathematics education</t>
  </si>
  <si>
    <t>INDIVIDUAL INTERESTS; STORY PROBLEMS; STUDENTS; IMPLEMENTATION; PERFORMANCE; KNOWLEDGE; FUNDS</t>
  </si>
  <si>
    <t>Context personalization, or matching instructional tasks to students' personal interests, has been found to be a beneficial approach within digital learning platforms. Advances in large language models allow for personalized tasks to be generated with increased efficiency. While best practices for using generative AI in K-12 settings accentuate the importance of a human-in-the-loop, little is known about how teachers can use AI to personalize instructional tasks for their students. In the present study, we explore 7th grade teachers using ChatGPT to create personalized versions of mathematics problems, which were subsequently assigned to 348 students in the ASSISTments platform. We found that teachers' efficiency for personalization varied widely, and that they often used prompts to swap out contextual or popular culture references in problems or to correct contextual inaccuracies in the problems ChatGPT posed. Further, we found that students may respond more positively to problems that teachers spent more time personalizing with ChatGPT, and that students were sometimes attuned to different personalized elements of problems than teachers.</t>
  </si>
  <si>
    <t>[Walkington, Candace; Beauchamp, Theodora] Southern Methodist Univ, Dallas, TX 75205 USA; [Lan, Andrew] Univ Massachusetts Amherst, Amherst, MA 01003 USA; [Pruitt-Britton, Tiffini] Amer Inst Res, Arlington, VA 22202 USA</t>
  </si>
  <si>
    <t>Southern Methodist University; University of Massachusetts System; University of Massachusetts Amherst; American Institutes for Research</t>
  </si>
  <si>
    <t>Walkington, C (corresponding author), Southern Methodist Univ, Dallas, TX 75205 USA.</t>
  </si>
  <si>
    <t>National Science Foundation [DRL 2341948]</t>
  </si>
  <si>
    <t>National Science Foundation(National Science Foundation (NSF))</t>
  </si>
  <si>
    <t>This work was supported by the National Science Foundation under Grant DRL 2341948. Any opinions, findings, conclusions, or recommendations expressed in this material are those of the author(s) and do not necessarily reflect the views of the National Science Foundation.</t>
  </si>
  <si>
    <t>978-3-031-98458-7; 978-3-031-98459-4</t>
  </si>
  <si>
    <t>10.1007/978-3-031-98459-4_7</t>
  </si>
  <si>
    <t>BZ9LD</t>
  </si>
  <si>
    <t>WOS:001655279700007</t>
  </si>
  <si>
    <t>Jayarathna, S; Patra, A; Shipman, F</t>
  </si>
  <si>
    <t>Assoc Comp Machinery</t>
  </si>
  <si>
    <t>Jayarathna, Sampath; Patra, Atish; Shipman, Frank</t>
  </si>
  <si>
    <t>Unified Relevance Feedback for Multi-Application User Interest Modeling</t>
  </si>
  <si>
    <t>PROCEEDINGS OF THE 15TH ACM/IEEE-CS JOINT CONFERENCE ON DIGITAL LIBRARIES (JCDL'15)</t>
  </si>
  <si>
    <t>15th ACM/IEEE-CS Joint Conference on Digital Libraries (JCDL)</t>
  </si>
  <si>
    <t>JUN 21-25, 2015</t>
  </si>
  <si>
    <t>Univ Tennessee, Knoxville, TN</t>
  </si>
  <si>
    <t>Assoc Comp Machinery,IEEE,ACM Special Interest Grp Informat Retrieval,ACM SIGWEB,IEEE TCDL,IEEE Comp Soc,Google,Univ Lib</t>
  </si>
  <si>
    <t>Univ Tennessee</t>
  </si>
  <si>
    <t>User interest modeling; implicit and explicit feedback; personalized information delivery</t>
  </si>
  <si>
    <t>A user often interacts with multiple applications while working on a task. User models can be developed individually at each of the individual applications, but there is no easy way to come up with a more complete user model based on the distributed activity of the user. To address this issue, this research studies the importance of combining various implicit and explicit relevance feedback indicators in a multi-application environment. It allows different applications used for different purposes by the user to contribute user activity and its context to mutually support users with unified relevance feedback. Using the data collected by the web browser, Microsoft Word and Microsoft PowerPoint, combinations of implicit relevance feedback with semi-explicit relevance feedback were analyzed and compared with explicit user ratings. Our results are two-fold: first we demonstrate the aggregation of implicit and semi-explicit user interest data across multiple everyday applications using our Interest Profile Manager (IPM) framework. Second, our experimental results show that incorporating implicit feedback with semi-explicit feedback for page-level user interest estimation resulted in a significant improvement over the content-based models.</t>
  </si>
  <si>
    <t>[Jayarathna, Sampath; Patra, Atish; Shipman, Frank] Texas A&amp;M Univ, Comp Sci &amp; Engn, College Stn, TX 77843 USA</t>
  </si>
  <si>
    <t>Texas A&amp;M University System; Texas A&amp;M University College Station</t>
  </si>
  <si>
    <t>Jayarathna, S (corresponding author), Texas A&amp;M Univ, Comp Sci &amp; Engn, College Stn, TX 77843 USA.</t>
  </si>
  <si>
    <t>Sampath@cse.tamu.edu; apatra@cse.tamu.edu; shipman@cse.tamu.edu</t>
  </si>
  <si>
    <t>/W-2686-2019; Jayarathna, Sampath/AAM-6816-2021</t>
  </si>
  <si>
    <t>National Science Foundation [DUE-0938074]</t>
  </si>
  <si>
    <t>This work was supported in part by National Science Foundation grant DUE-0938074.</t>
  </si>
  <si>
    <t>ASSOC COMPUTING MACHINERY</t>
  </si>
  <si>
    <t>1515 BROADWAY, NEW YORK, NY 10036-9998 USA</t>
  </si>
  <si>
    <t>978-1-4503-3594-2</t>
  </si>
  <si>
    <t>10.1145/2756406.2756914</t>
  </si>
  <si>
    <t>Computer Science, Information Systems; Information Science &amp; Library Science</t>
  </si>
  <si>
    <t>Computer Science; Information Science &amp; Library Science</t>
  </si>
  <si>
    <t>BO0SU</t>
  </si>
  <si>
    <t>WOS:000493278900020</t>
  </si>
  <si>
    <t>Clinton, V; Walkington, C</t>
  </si>
  <si>
    <t>Clinton, Virginia; Walkington, Candace</t>
  </si>
  <si>
    <t>Interest-enhancing approaches to mathematics curriculum design: Illustrations and personalization</t>
  </si>
  <si>
    <t>JOURNAL OF EDUCATIONAL RESEARCH</t>
  </si>
  <si>
    <t>Middle school mathematics; word problems; interest; personalization; visual representations</t>
  </si>
  <si>
    <t>INTELLIGENT TUTORING SYSTEM; SEDUCTIVE DETAILS; WORD-PROBLEMS; CONTEXT PERSONALIZATION; READING-COMPREHENSION; DESIRABLE DIFFICULTY; INDIVIDUAL INTERESTS; SITUATIONAL INTEREST; ACHIEVEMENT GOALS; STUDENTS</t>
  </si>
  <si>
    <t>Two common interest-enhancement approaches in mathematics curriculum design are illustrations and personalization of problems to students' interests. The objective of these experiments is to test a variety of illustrations and personalization approaches. In the illustrations experiment, students (n=265) were randomly assigned to lessons with story problems containing decorative illustrations, contextual illustrations, diagrammatic illustrations, misleading illustrations, or no illustrations (only text [control condition]). Students' problem-solving performance and attitudes were not affected by illustration condition, but learning was better in the control compared with contextual illustrations. In the personalization experiment, students (n=223) were randomly assigned to story problems that were either personalized based on: a survey of their interests, their choice of interest topics, a randomly assigned interest topic, or the original nonpersonalized story problem (control). The findings indicated there were benefits for choice personalization both for performance in the problem set as well as on a later learning assessment.</t>
  </si>
  <si>
    <t>[Clinton, Virginia] Univ North Dakota, Educ Hlth &amp; Behav Studies, Grand Forks, ND 58201 USA; [Walkington, Candace] Southern Methodist Univ, Teaching &amp; Learning, Dallas, TX USA</t>
  </si>
  <si>
    <t>University of North Dakota Grand Forks; Southern Methodist University</t>
  </si>
  <si>
    <t>Clinton, V (corresponding author), Univ North Dakota, Educ Hlth &amp; Behav Studies, Grand Forks, ND 58201 USA.</t>
  </si>
  <si>
    <t>virginia.clinton@und.edu</t>
  </si>
  <si>
    <t>ROUTLEDGE JOURNALS, TAYLOR &amp; FRANCIS LTD</t>
  </si>
  <si>
    <t>ABINGDON</t>
  </si>
  <si>
    <t>2-4 PARK SQUARE, MILTON PARK, ABINGDON OX14 4RN, OXON, ENGLAND</t>
  </si>
  <si>
    <t>0022-0671</t>
  </si>
  <si>
    <t>1940-0675</t>
  </si>
  <si>
    <t>J EDUC RES</t>
  </si>
  <si>
    <t>J. Educ. Res.</t>
  </si>
  <si>
    <t>10.1080/00220671.2019.1568958</t>
  </si>
  <si>
    <t>Education &amp; Educational Research</t>
  </si>
  <si>
    <t>IH0ZF</t>
  </si>
  <si>
    <t>WOS:000474220400006</t>
  </si>
  <si>
    <t>Gutierrez, AD; Denny, P; Luxton-Reilly, A</t>
  </si>
  <si>
    <t>ACM</t>
  </si>
  <si>
    <t>Gutierrez, Andre del Carpio; Denny, Paul; Luxton-Reilly, Andrew</t>
  </si>
  <si>
    <t>Automating Personalized Parsons Problems with Customized Contexts and Concepts</t>
  </si>
  <si>
    <t>PROCEEDINGS OF THE 2024 CONFERENCE INNOVATION AND TECHNOLOGY IN COMPUTER SCIENCE EDUCATION, VOL 1, ITICSE 2024</t>
  </si>
  <si>
    <t>29th Annual Conference on Innovation and Technology in Computer Science Education (ITiCSE)</t>
  </si>
  <si>
    <t>JUL 08-10, 2024</t>
  </si>
  <si>
    <t>Univ Milano, Milan, ITALY</t>
  </si>
  <si>
    <t>Assoc Comp Machinery,Assoc Comp Machinery Special Interest Grp Comp Sci Educ,ACM Europe Council,Informat Europe,Github Educ,Univ Milano, Dipartimento Informatica</t>
  </si>
  <si>
    <t>Univ Milano</t>
  </si>
  <si>
    <t>CS1; Large language models; Parsons problems; CS education tools; Personalized learning</t>
  </si>
  <si>
    <t>Parsons problems provide useful scaffolding for introductory programming students learning to write code. However, generating large numbers of high-quality Parsons problems that appeal to the diverse range of interests in a typical introductory course is a significant challenge for educators. Large language models (LLMs) may offer a solution, by allowing students to produce on-demand Parsons problems for topics covering the breadth of the introductory programming curriculum, and targeting thematic contexts that align with their personal interests. In this paper, we introduce PuzzleMakerPy, an educational tool that uses an LLM to generate unlimited contextualized drag-and-drop programming exercises in the form of Parsons Problems, which introductory programmers can use as a supplemental learning resource. We evaluated PuzzleMakerPy by deploying it in a large introductory programming course, and found that the ability to personalize the contextual framing used in problem descriptions was highly engaging for students, and being able to customize the programming topics was reported as being useful for their learning.</t>
  </si>
  <si>
    <t>[Gutierrez, Andre del Carpio; Denny, Paul; Luxton-Reilly, Andrew] Univ Auckland, Auckland, New Zealand</t>
  </si>
  <si>
    <t>University of Auckland</t>
  </si>
  <si>
    <t>Gutierrez, AD (corresponding author), Univ Auckland, Auckland, New Zealand.</t>
  </si>
  <si>
    <t>adel868@aucklanduni.ac.nz; paul@cs.auckland.ac.nz; andrew@cs.auckland.ac.nz</t>
  </si>
  <si>
    <t>Luxton-Reilly, Andrew/ABC-5342-2021</t>
  </si>
  <si>
    <t>Luxton-Reilly, Andrew/0000-0001-8269-2909; del Carpio Gutierrez, Ane/0009-0004-0208-4567</t>
  </si>
  <si>
    <t>[UAHPEC25279]</t>
  </si>
  <si>
    <t>This study was conducted with the ethics approval of University of Auckland Human Participants Ethics Committee (UAHPEC), with reference UAHPEC25279.</t>
  </si>
  <si>
    <t>1601 Broadway, 10th Floor, NEW YORK, NY, UNITED STATES</t>
  </si>
  <si>
    <t>979-8-4007-0600-4</t>
  </si>
  <si>
    <t>10.1145/3649217.3653568</t>
  </si>
  <si>
    <t>Computer Science, Interdisciplinary Applications; Education &amp; Educational Research; Education, Scientific Disciplines</t>
  </si>
  <si>
    <t>BX2PG</t>
  </si>
  <si>
    <t>Green Submitted</t>
  </si>
  <si>
    <t>WOS:001265872600100</t>
  </si>
  <si>
    <t>Thoeni, A; Fryer, LK</t>
  </si>
  <si>
    <t>Thoeni, Andrew; Fryer, Luke K.</t>
  </si>
  <si>
    <t>AI chatbots in higher education: Comparing expectations to evidence</t>
  </si>
  <si>
    <t>COMPUTERS IN HUMAN BEHAVIOR REPORTS</t>
  </si>
  <si>
    <t>Large Language Models (LLMs); Retrieval-Augmented Generation (RAG); AI chatbots; Higher education; Individual interest; Academic achievement; Self-efficacy</t>
  </si>
  <si>
    <t>SELF-EFFICACY; INDIVIDUALIZED-INSTRUCTION; STUDENT SUCCESS; ACHIEVEMENT; ENGAGEMENT; MODEL; EXPERIENCE; ATTITUDES; GENDER; DOMAIN</t>
  </si>
  <si>
    <t>Given the rapid advancements, and notable failures, in large language model generative AI (genAI), there are elevated expectations that retrieval-augmented generation (RAG) AI chatbots will revolutionize higher education by offering individualized, always-available tutoring based on validated content. However, experimental evidence on their effectiveness remains scarce. Using a randomized controlled field experiment, this study examines the effects of a genAI chatbot on key precursors to learning success (i.e., interest, self-efficacy, and engagement) and academic achievement for approximate to 500 undergraduate students across two modalities (in-person and asynchronous online). We completed a semester-long controlled experiment with pre- and post-treatment surveys and tests. Despite expectations, we found the genAI chatbot had no statistically significant impact on any measured outcome. These early results challenge assumptions about AI's instructional effectiveness and suggest universities should further investigate the pedagogical value of AI chatbots before making substantial investments or committing to long-term contracts. We recommend future research to increase the generalizability of the findings and to discover methods to improve efficacy of AI chatbots in higher education.</t>
  </si>
  <si>
    <t>[Thoeni, Andrew] Univ North Florida, Fac Mkt, Jacksonville, FL 32224 USA; [Fryer, Luke K.] Univ Hong Kong, Fac Educ, Hong Kong, Peoples R China</t>
  </si>
  <si>
    <t>State University System of Florida; University of North Florida; University of Hong Kong</t>
  </si>
  <si>
    <t>Thoeni, A (corresponding author), Univ North Florida, Fac Mkt, Jacksonville, FL 32224 USA.</t>
  </si>
  <si>
    <t>andrew.thoeni@unf.edu</t>
  </si>
  <si>
    <t>/H-7922-2015; fryer, luke/K-4333-2016</t>
  </si>
  <si>
    <t>University of North Florida</t>
  </si>
  <si>
    <t>Andrew Thoeni reports financial support was provided by University of North Florida.</t>
  </si>
  <si>
    <t>ELSEVIER</t>
  </si>
  <si>
    <t>AMSTERDAM</t>
  </si>
  <si>
    <t>RADARWEG 29, 1043 NX AMSTERDAM, NETHERLANDS</t>
  </si>
  <si>
    <t>2451-9588</t>
  </si>
  <si>
    <t>COMPUT HUM BEHAV REP</t>
  </si>
  <si>
    <t>Comput. Hum. Behav. Rep.</t>
  </si>
  <si>
    <t>MAY</t>
  </si>
  <si>
    <t>10.1016/j.chbr.2026.101061</t>
  </si>
  <si>
    <t>Psychology, Multidisciplinary; Psychology, Experimental</t>
  </si>
  <si>
    <t>HI6ML</t>
  </si>
  <si>
    <t>gold</t>
  </si>
  <si>
    <t>WOS:001754948900001</t>
  </si>
  <si>
    <t>Honke, N; Becker-Genschow, S</t>
  </si>
  <si>
    <t>Honke, Nadine; Becker-Genschow, Sebastian</t>
  </si>
  <si>
    <t>Adaptive learning in bionics: transforming science education</t>
  </si>
  <si>
    <t>FRONTIERS IN EDUCATION</t>
  </si>
  <si>
    <t>adaptive learning; intelligent tutoring systems; science education; bionics; situational interest; motivation; cognitive activation</t>
  </si>
  <si>
    <t>INTELLIGENT TUTORING SYSTEMS; SITUATIONAL INTEREST; MENTAL-HEALTH; TECHNOLOGY; EMOTIONS; ACHIEVEMENT; PERFORMANCE; CHILDREN</t>
  </si>
  <si>
    <t>Introduction Adaptive learning platforms offer innovative teaching approaches by tailoring educational content to individual learner's needs, abilities, and paces.Methods This study investigates the effects of an adaptive digital learning platform on user experience, motivation, and learning outcomes among 56 sixth-grade students from two German grammar schools. Students completed three bionics-focused modules- polar bear, heat transfer, and temperature and heat-integrated into science lessons. Data from questionnaires and performance tests assessed prior knowledge, learning success, cognitive activation, and situational interest.Results The findings indicate that 98% of students found digital media motivating, with 81% favoring a hybrid mix of traditional and digital teaching methods. Positive emotional responses were reported by 62% of participants, though 38% experienced uncertainty. The polar bear module achieved the highest learning gain (+41%), followed by heat transfer (+23%) and temperature and heat (+13%) module.Discussion These results suggest that adaptive digital learning platforms can enhance learning outcomes and cognitive engagement, particularly when the content aligns with student interests and needs.</t>
  </si>
  <si>
    <t>[Honke, Nadine; Becker-Genschow, Sebastian] Univ Cologne, Fac Math &amp; Nat Sci, Digital Educ Res, Cologne, Germany</t>
  </si>
  <si>
    <t>University of Cologne</t>
  </si>
  <si>
    <t>Honke, N (corresponding author), Univ Cologne, Fac Math &amp; Nat Sci, Digital Educ Res, Cologne, Germany.</t>
  </si>
  <si>
    <t>nadine.honke@uni-koeln.de</t>
  </si>
  <si>
    <t>; Becker-Genschow, Sebastian/JEF-2284-2023</t>
  </si>
  <si>
    <t>Honke, Nadine/0000-0002-2220-6806;</t>
  </si>
  <si>
    <t>Joachim Herz Foundation</t>
  </si>
  <si>
    <t>The author(s) declare that financial support was received for the research, authorship, and/or publication of this article. The study was supported by the Joachim Herz Foundation.</t>
  </si>
  <si>
    <t>FRONTIERS MEDIA SA</t>
  </si>
  <si>
    <t>LAUSANNE</t>
  </si>
  <si>
    <t>AVENUE DU TRIBUNAL FEDERAL 34, LAUSANNE, CH-1015, SWITZERLAND</t>
  </si>
  <si>
    <t>2504-284X</t>
  </si>
  <si>
    <t>FRONT EDUC</t>
  </si>
  <si>
    <t>Front. Educ.</t>
  </si>
  <si>
    <t>FEB 5</t>
  </si>
  <si>
    <t>10.3389/feduc.2025.1427083</t>
  </si>
  <si>
    <t>X5S0H</t>
  </si>
  <si>
    <t>Green Submitted, gold</t>
  </si>
  <si>
    <t>WOS:001425932200001</t>
  </si>
  <si>
    <t>Ou, CH; Joyner, DA</t>
  </si>
  <si>
    <t>Ou, Chaohua; Joyner, David A.</t>
  </si>
  <si>
    <t>The Dual Role of AI in Online Project-Based Learning at Scale</t>
  </si>
  <si>
    <t>PROCEEDINGS OF THE TWELFTH ACM CONFERENCE ON LEARNING @ SCALE, L@S 2025</t>
  </si>
  <si>
    <t>2025 Conference on Learning@Scale-L@S</t>
  </si>
  <si>
    <t>JUL 21-23, 2025</t>
  </si>
  <si>
    <t>Association for Computing Machinery</t>
  </si>
  <si>
    <t>Online learning at scale; Artificial Intelligence; Project-based learning</t>
  </si>
  <si>
    <t>ARTIFICIAL-INTELLIGENCE</t>
  </si>
  <si>
    <t>Artificial intelligence (AI) is increasingly integrated into projectbased learning (PjBL), with research primarily addressing two dimensions: learning about AI through PjBL and learning with AI as a supportive tool. However, studies on AI's role in PjBL remain limited, often focusing on small-scale, short-term contexts. Additionally, there is little focus on a third dimension-learning through AI Creation-where students deepen engagement by developing AI-driven projects. This study investigates AI's dual role in online PjBL at scale, analyzing how students use AI tools and engage in AI-driven projects within a graduate computer science course over six semesters (2023-2024). Using a mixed-methods approach, we analyzed survey responses from 467 students and conducted a thematic analysis of 436 unique project keyword sets. Findings reveal that students primarily use AI for technical tasks, research, and content generation, supporting PjBL's planning and execution phases. The analysis of students' project keywords highlights AI in Education as the most prevalent project theme, with subthemes like Large Language Models, Intelligent Tutoring Systems, and Personalized Learning, indicating strong student interest in leveraging AI to address educational challenges related to personalization and scalability. The diversity of AI subthemes, including AI Ethics and AI for Accessibility, suggests that students are exploring AI creation through multiple perspectives, considering both technical and societal implications. This study contributes to the growing body of research on AI in education by offering large-scale, longitudinal insights into AI's dual role in online PjBL: as a tool for enhancing learning and as a medium for deeper engagement through AI creation. The findings have important implications for curriculum design, such as scaffolded AI creation and ethical training, preparing students for a future in which they are not mere consumers of AI technologies but also responsible AI innovators.</t>
  </si>
  <si>
    <t>[Ou, Chaohua; Joyner, David A.] Georgia Inst Technol, Atlanta, GA 30332 USA</t>
  </si>
  <si>
    <t>Ou, CH (corresponding author), Georgia Inst Technol, Atlanta, GA 30332 USA.</t>
  </si>
  <si>
    <t>979-8-4007-1291-3</t>
  </si>
  <si>
    <t>10.1145/3698205.3733950</t>
  </si>
  <si>
    <t>Computer Science, Artificial Intelligence; Computer Science, Interdisciplinary Applications; Computer Science, Theory &amp; Methods; Education &amp; Educational Research</t>
  </si>
  <si>
    <t>BZ5ID</t>
  </si>
  <si>
    <t>WOS:001594400600047</t>
  </si>
  <si>
    <t>Logacheva, E; Hellas, A; Prather, J; Sarsa, S; Leinonen, J</t>
  </si>
  <si>
    <t>Assoc Computing Machinery</t>
  </si>
  <si>
    <t>Logacheva, Evanfiya; Hellas, Arto; Prather, James; Sarsa, Sami; Leinonen, Juho</t>
  </si>
  <si>
    <t>Evaluating Contextually Personalized Programming Exercises Created with Generative AI</t>
  </si>
  <si>
    <t>20TH ANNUAL ACM CONFERENCE ON INTERNATIONAL COMPUTING EDUCATION RESEARCH, ICER 2024, VOL 1</t>
  </si>
  <si>
    <t>20th Annual Conference on International Computing Education Research (ICER)</t>
  </si>
  <si>
    <t>AUG 13-15, 2024</t>
  </si>
  <si>
    <t>Melbourne, AUSTRALIA</t>
  </si>
  <si>
    <t>ACM,SIGCSE</t>
  </si>
  <si>
    <t>generative AI; large language models; automatic exercise generation; context personalization</t>
  </si>
  <si>
    <t>EXPECTANCY; PERCEPTIONS; INSTRUCTION; STUDENTS; SUBJECT; KAPPA; BIAS</t>
  </si>
  <si>
    <t>Programming skills are typically developed through completing various hands-on exercises. Such programming problems can be contextualized to students' interests and cultural backgrounds. Prior research in educational psychology has demonstrated that context personalization of exercises stimulates learners' situational interests and positively affects their engagement. However, creating a varied and comprehensive set of programming exercises for students to practice on is a time-consuming and laborious task for computer science educators. Previous studies have shown that large language models can generate conceptually and contextually relevant programming exercises. Thus, they offer a possibility to automatically produce personalized programming problems to fit students' interests and needs. This article reports on a user study conducted in an elective introductory programming course that included contextually personalized programming exercises created with GPT-4. The quality of the exercises was evaluated by both the students and the authors. Additionally, this work investigated student attitudes towards the created exercises and their engagement with the system. The results demonstrate that the quality of exercises generated with GPT-4 was generally high. What is more, the course participants found them engaging and useful. This suggests that AI-generated programming problems can be a worthwhile addition to introductory programming courses, as they provide students with a practically unlimited pool of practice material tailored to their personal interests and educational needs.</t>
  </si>
  <si>
    <t>[Logacheva, Evanfiya; Hellas, Arto; Leinonen, Juho] Aalto Univ, Espoo, Finland; [Prather, James] Abilene Christian Univ, Abilene, TX 79699 USA; [Sarsa, Sami] Univ Jyvaskyla, Jyvaskyla, Finland</t>
  </si>
  <si>
    <t>Aalto University; Abilene Christian University; University of Jyvaskyla</t>
  </si>
  <si>
    <t>Logacheva, E (corresponding author), Aalto Univ, Espoo, Finland.</t>
  </si>
  <si>
    <t>evanfiya.logacheva@aalto.fi; arto.hellas@aalto.fi; james.prather@acu.edu; sami.j.sarsa@jyu.fi; juho.2.leinonen@aalto.fi</t>
  </si>
  <si>
    <t>; Leinonen, Juho/D-2162-2018</t>
  </si>
  <si>
    <t>Logacheva, Evanfiya/0009-0002-0962-9369; Leinonen, Juho/0000-0001-6829-9449; Prather, James/0000-0003-2807-6042</t>
  </si>
  <si>
    <t>Research Council of Finland [356114]</t>
  </si>
  <si>
    <t>Research Council of Finland</t>
  </si>
  <si>
    <t>This research was supported by the Research Council of Finland (Academy Research Fellow grant number 356114).</t>
  </si>
  <si>
    <t>979-8-4007-0475-8</t>
  </si>
  <si>
    <t>10.1145/3632620.3671103</t>
  </si>
  <si>
    <t>Computer Science, Theory &amp; Methods; Education &amp; Educational Research; Education, Scientific Disciplines</t>
  </si>
  <si>
    <t>BX4UU</t>
  </si>
  <si>
    <t>WOS:001294614500008</t>
  </si>
  <si>
    <t>Kim, Y; Bang, J; Choi, J; Ryu, S; Koo, S; Lee, GG</t>
  </si>
  <si>
    <t>Bock, R; Bonin, F; Campbell, N; Poppe, R</t>
  </si>
  <si>
    <t>Kim, Yonghee; Bang, Jeesoo; Choi, Junhwi; Ryu, Seonghan; Koo, Sangjun; Lee, Gary Geunbae</t>
  </si>
  <si>
    <t>Acquisition and Use of Long-Term Memory for Personalized Dialog Systems</t>
  </si>
  <si>
    <t>MULTIMODAL ANALYSES ENABLING ARTIFICIAL AGENTS IN HUMAN-MACHINE INTERACTION</t>
  </si>
  <si>
    <t>2nd International Workshop on Multimodal Analyses Enabling Artificial Agents in Human-Machine Interaction (MA3HMI)</t>
  </si>
  <si>
    <t>SEP 14, 2014</t>
  </si>
  <si>
    <t>Singapore, SINGAPORE</t>
  </si>
  <si>
    <t>Transreg Collabora Res Ctr Compan Technol,FastNet</t>
  </si>
  <si>
    <t>Personalization; Conversational agent; Forgetting model; User model; User interest; User knowledge; Memory</t>
  </si>
  <si>
    <t>PROGRAM</t>
  </si>
  <si>
    <t>This study introduces a personalization framework for dialog systems. Our system automatically collects user-related facts (i.e. triples) from user input sentences and stores the facts in one-shot memory. The system also keeps track of changes in user interests. Extracted triples and entities (i.e. NP-chunks) are stored in a personal knowledge base (PKB) and a forgetting model manages their retention (i.e. interest). System responses can be modified by applying user-related facts to the one-shot memory. A relevance score of a system response is proposed to select responses that include high-retention triples and entities, or frequently used responses. We used Movie-Dic corpus to construct a simple dialog system and train PKBs. The retention sum of responses was increased by adopting the PKB, and the number of inappropriate responses was decreased by adopting relevance score. The system gave some personalized responses, while maintaining its performance (i.e. appropriateness of responses).</t>
  </si>
  <si>
    <t>[Kim, Yonghee; Bang, Jeesoo; Choi, Junhwi; Ryu, Seonghan; Koo, Sangjun; Lee, Gary Geunbae] POSTECH, Dept Comp Sci &amp; Engn, Pohang, South Korea</t>
  </si>
  <si>
    <t>Pohang University of Science &amp; Technology (POSTECH)</t>
  </si>
  <si>
    <t>Kim, Y (corresponding author), POSTECH, Dept Comp Sci &amp; Engn, Pohang, South Korea.</t>
  </si>
  <si>
    <t>ttti07@postech.ac.kr; jisus19@postech.ac.kr; chasunee@postech.ac.kr; ryush@postech.ac.kr; giantpanda@postech.ac.kr; gblee@postech.ac.kr</t>
  </si>
  <si>
    <t>978-3-319-15557-9; 978-3-319-15556-2</t>
  </si>
  <si>
    <t>10.1007/978-3-319-15557-9_8</t>
  </si>
  <si>
    <t>Computer Science, Artificial Intelligence; Computer Science, Information Systems; Computer Science, Theory &amp; Methods</t>
  </si>
  <si>
    <t>BC8JJ</t>
  </si>
  <si>
    <t>WOS:000355731000008</t>
  </si>
  <si>
    <t>Cora, A; Arroyos, V; Kimanjel, A; Alemayehul, L; Solyst, J; Shapiro, RB; Iyer, V; Johnson, K</t>
  </si>
  <si>
    <t>IEEE</t>
  </si>
  <si>
    <t>Cora, Aisha; Arroyos, Vicente; Kimanjel, Azhar; Alemayehul, Lewi; Solyst, Jaemarie; Shapiro, R. Benjamin; Iyer, Vikram; Johnson, Kyle</t>
  </si>
  <si>
    <t>Tool or Toy? Student Views on ChatGPT in Culturally Responsive Computing Education: A Preliminary Study</t>
  </si>
  <si>
    <t>2025 WORLD ENGINEERING EDUCATION FORUM-GLOBAL ENGINEERING DEANS COUNCIL, WEEF-GEDC</t>
  </si>
  <si>
    <t>World Engineering Education Forum - Global Engineering Deans Council</t>
  </si>
  <si>
    <t>2025 World Engineering Education Forum - Global Engineering Deans Council-WEEF-GEDC</t>
  </si>
  <si>
    <t>SEP 21-25, 2025</t>
  </si>
  <si>
    <t>Daegu, SOUTH KOREA</t>
  </si>
  <si>
    <t>Daegu Gyeongbuk Institute of Science &amp; Technology (DGIST),Dassault Systemes,MathWorks,Hyosung Corporation,ABET,Celltrion Inc,CAS,George Mason University</t>
  </si>
  <si>
    <t>Engineering Education; Large Language Models; Software tools; Culturally Relevant Pedagogy</t>
  </si>
  <si>
    <t>Despite ongoing efforts to diversify engineering, underrepresented minority (URM) students face persistent systemic barriers to equitable participation. Beyond just access, culturally relevant pedagogy (CRP) and near-peer mentorship have shown to improve student engagement and retention. However, the currently sparse pool of URM STEM graduates limits students' access to formally educated mentors of similar cultural and ethnic backgrounds, challenging the scalability of representative CRP-based engineering programs. Free AI tools like large language models (LLMs) can offer novice programmers natural language support for debugging code and exploring new concepts, but it remains unclear whether they can provide enough technical support to help scale URM-led engineering education programs. We investigate the potential for LLMs, specifically ChatGPT 3.5, to meaningfully support CRP in an embedded systems summer course taught at a community center within the AVELA - A Vision for Engineering Literacy &amp; Access framework. We ask how URM students will naturally adopt ChatGPT within the educational program when presented without scaffolding: as a learning tool to enhance their knowledge of class-related content, or as a toy that distracts from it? Analysis of classroom observations, student surveys, final presentations, and individual ChatGPT logs revealed a disconnect between students' personal interest and the course objectives. While students were able to use ChatGPT for course-related learning, they rarely did so. Instead, they primarily used it to enhance their knowledge of topics related to personal interest, suggesting a lack of motivation or perceived relevance of ChatGPT as a tool, rather than a lack of ability to use it. These preliminary findings suggest that without intentional integration and guidance, CRP frameworks cannot expect students to effectively leverage ChatGPT to enhance engineering related content.</t>
  </si>
  <si>
    <t>[Cora, Aisha; Arroyos, Vicente; Kimanjel, Azhar; Alemayehul, Lewi; Johnson, Kyle] AVELA, Seattle, WA 98195 USA; [Arroyos, Vicente; Alemayehul, Lewi; Solyst, Jaemarie; Shapiro, R. Benjamin; Iyer, Vikram; Johnson, Kyle] Univ Washington, Paul G Allen Sch Comp Sci &amp; Engn, Seattle, WA USA</t>
  </si>
  <si>
    <t>University of Washington; University of Washington Seattle</t>
  </si>
  <si>
    <t>Cora, A (corresponding author), AVELA, Seattle, WA 98195 USA.</t>
  </si>
  <si>
    <t>chair@AVELAccess.org</t>
  </si>
  <si>
    <t>345 E 47TH ST, NEW YORK, NY 10017 USA</t>
  </si>
  <si>
    <t>2837-5017</t>
  </si>
  <si>
    <t>979-8-3315-8880-9; 979-8-3315-8879-3</t>
  </si>
  <si>
    <t>Global Engg Deans Co</t>
  </si>
  <si>
    <t>10.1109/WEEF-GEDC66748.2025.11256481</t>
  </si>
  <si>
    <t>Education, Scientific Disciplines; Engineering, Multidisciplinary</t>
  </si>
  <si>
    <t>Education &amp; Educational Research; Engineering</t>
  </si>
  <si>
    <t>BA0RU</t>
  </si>
  <si>
    <t>WOS:001669704400103</t>
  </si>
  <si>
    <t>Vainikainen, S; Melin, M; Södergärd, C</t>
  </si>
  <si>
    <t>Vainikainen, Sari; Melin, Magnus; Sodergard, Caj</t>
  </si>
  <si>
    <t>Knowledge-based recommendations of media content - case magazine articles</t>
  </si>
  <si>
    <t>JOURNAL OF PRINT AND MEDIA TECHNOLOGY RESEARCH</t>
  </si>
  <si>
    <t>recommendation systems; personalization; semantics; semantic web; linked data; media services; metadata; user profiles; ontology</t>
  </si>
  <si>
    <t>A successful media service must ensure that its content grabs the attention of the audience. Recommendations are a central way to gain attention. The drawback of current collaborative and content-based recommendation systems is their shallow understanding of the user and the content. In this work, we propose recommenders with a deep semantic knowledge of both user and content. We express this knowledge with the tools of semantic web and linked data, making it possible to capture multilingual knowledge and to infer additional user interests and content meanings. In addition, linked data allows knowledge to be automatically derived from various sources with minimal user input. We apply our methods on magazine articles and show, in a user test with 119 participants, that semantic methods generate relevant recommendations. Semantic methods are especially strong when there is little initial information about the user and the content. We also show how user modelling can help avoiding the recommendation of unsuitable items.</t>
  </si>
  <si>
    <t>[Vainikainen, Sari; Melin, Magnus; Sodergard, Caj] VTT Tech Res Ctr Finland, Vuorimiehentie 3,POB 1000, FI-02044 Espoo, Finland</t>
  </si>
  <si>
    <t>VTT Technical Research Center Finland</t>
  </si>
  <si>
    <t>Vainikainen, S (corresponding author), VTT Tech Res Ctr Finland, Vuorimiehentie 3,POB 1000, FI-02044 Espoo, Finland.</t>
  </si>
  <si>
    <t>sari.vainikainen@vtt.fi; magnus.melin@vtt.fi; caj.sodergard@vtt.fi</t>
  </si>
  <si>
    <t>TEKES; Finnish Funding Agency for Technology and Innovation, TIVIT Flexible Services and Next Media research programs</t>
  </si>
  <si>
    <t>TEKES(Finnish Funding Agency for Technology &amp; Innovation (TEKES)); Finnish Funding Agency for Technology and Innovation, TIVIT Flexible Services and Next Media research programs</t>
  </si>
  <si>
    <t>This work was supported by TEKES, the Finnish Funding Agency for Technology and Innovation, as a part of the TIVIT Flexible Services and Next Media research programs. Special thanks go to Sanoma Magazines for co-operation in this research.</t>
  </si>
  <si>
    <t>INT ASSOC RESEARCH ORGANIZATIONS INFORM, MEDIA &amp; GRAPHIC ARTS IND</t>
  </si>
  <si>
    <t>DARMSTADT</t>
  </si>
  <si>
    <t>INT ASSOC RESEARCH ORGANIZATIONS INFORM, MEDIA &amp; GRAPHIC ARTS IND, DARMSTADT, 00000, GERMANY</t>
  </si>
  <si>
    <t>2223-8905</t>
  </si>
  <si>
    <t>2414-6250</t>
  </si>
  <si>
    <t>J PRINT MEDIA TECHNO</t>
  </si>
  <si>
    <t>J. Print Media Technol. Res.</t>
  </si>
  <si>
    <t>SEP</t>
  </si>
  <si>
    <t>Imaging Science &amp; Photographic Technology</t>
  </si>
  <si>
    <t>VA2NU</t>
  </si>
  <si>
    <t>WOS:000409745000005</t>
  </si>
  <si>
    <t>Zarrinkalam, F; Fani, H; Bagheri, E</t>
  </si>
  <si>
    <t>Zarrinkalam, Fattane; Fani, Hossein; Bagheri, Ebrahim</t>
  </si>
  <si>
    <t>Extracting, Mining and Predicting Users' Interests from Online Social Networks</t>
  </si>
  <si>
    <t>PROCEEDINGS OF THE 42ND INTERNATIONAL ACM SIGIR CONFERENCE ON RESEARCH AND DEVELOPMENT IN INFORMATION RETRIEVAL (SIGIR '19)</t>
  </si>
  <si>
    <t>42nd Annual International ACM SIGIR Conference on Research and Development in Information Retrieval (SIGIR)</t>
  </si>
  <si>
    <t>JUL 21-25, 2019</t>
  </si>
  <si>
    <t>Paris, FRANCE</t>
  </si>
  <si>
    <t>Assoc Comp Machinery,ACM Special Interest Grp Informat Retrieval</t>
  </si>
  <si>
    <t>The abundance of user generated content on social networks provides the opportunity to build models that are able to accurately and effectively extract, mine and predict users' interests with the hopes of enabling more effective user engagement, better quality delivery of appropriate services and higher user satisfaction. While traditional methods for building user profiles relied on AI-based preference elicitation techniques that could have been considered to be intrusive and undesirable by the users, more recent advances are focused on a non-intrusive yet accurate way of determining users' interests and preferences. In this tutorial, we cover five important aspects related to the effective mining of user interests: (1) we introduce the information sources that are used for extracting user interests, (2) various types of user interest profiles that have been proposed in the literature, (3) techniques that have been adopted or proposed for mining user interests, (4) the scalability and resource requirements of the state of the art methods, and finally (5) the evaluation methodologies that are adopted in the literature for validating the appropriateness of the mined user interest profiles. We also introduce existing challenges, open research question and exciting opportunities for further work.</t>
  </si>
  <si>
    <t>[Zarrinkalam, Fattane; Bagheri, Ebrahim] Ryerson Univ, Toronto, ON, Canada; [Fani, Hossein] Univ New Brunswick, Fredericton, NB, Canada</t>
  </si>
  <si>
    <t>Toronto Metropolitan University; University of New Brunswick</t>
  </si>
  <si>
    <t>Zarrinkalam, F (corresponding author), Ryerson Univ, Toronto, ON, Canada.</t>
  </si>
  <si>
    <t>fzarrinkalam@ryerson.ca; hfani@unb.ca; bagheri@ryerson.ca</t>
  </si>
  <si>
    <t>Fani, Hossein/W-7550-2019; Zarrinkalam, Fattane/AAI-1083-2019</t>
  </si>
  <si>
    <t>978-1-4503-6172-9</t>
  </si>
  <si>
    <t>10.1145/3331184.3331383</t>
  </si>
  <si>
    <t>BO1LU</t>
  </si>
  <si>
    <t>WOS:000501488900234</t>
  </si>
  <si>
    <t>Muldner, K; Burleson, W; VanLehn, K</t>
  </si>
  <si>
    <t>DeBra, P; Kobsa, A; Chin, D</t>
  </si>
  <si>
    <t>Muldner, Kasia; Burleson, Winslow; VanLehn, Kurt</t>
  </si>
  <si>
    <t>Yes!: Using Tutor and Sensor Data to Predict Moments of Delight during Instructional Activities</t>
  </si>
  <si>
    <t>USER MODELING, ADAPTATION, AND PERSONALIZATION, PROCEEDINGS</t>
  </si>
  <si>
    <t>18th International Conference on User Modeling, Adaptation and Personalization</t>
  </si>
  <si>
    <t>JUN 20-24, 2010</t>
  </si>
  <si>
    <t>Hilo, HI</t>
  </si>
  <si>
    <t>Univ Hawaii, Manoa,User Modeling Inc,ACM SIGIR,ACM SIGART</t>
  </si>
  <si>
    <t>interest; motivation; empirically-based model; sensing devices</t>
  </si>
  <si>
    <t>INTRINSIC MOTIVATION; POSITIVE AFFECT; EYE-TRACKING; ENJOYMENT; SYSTEMS</t>
  </si>
  <si>
    <t>A long standing challenge for intelligent tutoring system (ITS) designers and educators alike is how to encourage students to take pleasure and interest in learning activities. In this paper, we present findings from a user study involving students interacting with an ITS, focusing on when students express excitement, what we dub yes! moments. These findings include an empirically-based user model that relies on both interaction and physiological sensor features to predict yes! events: here we describe this model, its validation, and initial indicators of its importance for understanding and fostering student interest.</t>
  </si>
  <si>
    <t>[Muldner, Kasia; Burleson, Winslow; VanLehn, Kurt] Arizona State Univ, Tempe, AZ 85287 USA</t>
  </si>
  <si>
    <t>Arizona State University; Arizona State University-Tempe</t>
  </si>
  <si>
    <t>Muldner, K (corresponding author), Arizona State Univ, Tempe, AZ 85287 USA.</t>
  </si>
  <si>
    <t>Katarzyna.Muldner@asu.edu; Winslow.Burleson@asu.edu; Kurt.VanLehn@asu.edu</t>
  </si>
  <si>
    <t>978-3-642-13469-2</t>
  </si>
  <si>
    <t>BPO07</t>
  </si>
  <si>
    <t>WOS:000279499600014</t>
  </si>
  <si>
    <t>Bernacki, ML; Walkington, C</t>
  </si>
  <si>
    <t>Bernacki, Matthew L.; Walkington, Candace</t>
  </si>
  <si>
    <t>The Role of Situational Interest in Personalized Learning</t>
  </si>
  <si>
    <t>personalization; interest; algebra; mathematics; intelligent tutors</t>
  </si>
  <si>
    <t>ACHIEVEMENT GOALS; MATHEMATICS; PERFORMANCE; KNOWLEDGE; STUDENTS; CONTEXT; INTERVENTIONS; INSTRUCTION</t>
  </si>
  <si>
    <t>Context personalization-the incorporation of students' out-of-school interests into learning tasks-has recently been shown to positively affect students' situational interest and then performance and learning in mathematics. However, few studies have shown effects on both interest and achievement, drawing into question whether context personalization interventions can achieve both ends. The effects of personalization are theorized to result from activation of students' prior knowledge of personal interests and generation of situational interest in math tasks, though theorists have begun to question whether situational interest serves as a mechanism by which learning outcomes are achieved. This experimental study examines whether personalizing 4 units of algebra problems that high school students (N = 150) solve in an intelligent tutoring system could improve their performance in units (i.e., accuracy and learning efficiency) and on classroom exams, whether adolescents who solved personalized problems would report greater situational interest in units (and later, individual interest in math) than peers who solved standard problems. and whether paths through situational interest would contribute to effects of personalization on outcomes. High school students in the personalization condition reported greater triggered situational interest in experimental uints, and triggered interest predicted in-tutor outcomes (accuracy, learning efficiency). A total effect of personalization was also observed on classroom exam performance and individual interest in mathematics. Implications for theories of interest and context personalization are discussed, as are implications for math instruction and design of peisonalized learning environments.</t>
  </si>
  <si>
    <t>[Bernacki, Matthew L.] Univ Nevada, Dept Educ Psychol &amp; Higher Educ, 4505 S Maryland Pkwy 3003, Las Vegas, NV 89154 USA; [Walkington, Candace] Southern Methodist Univ, Dept Teaching &amp; Learning, Dallas, TX USA</t>
  </si>
  <si>
    <t>Nevada System of Higher Education (NSHE); University of Nevada Las Vegas; Southern Methodist University</t>
  </si>
  <si>
    <t>Bernacki, ML (corresponding author), Univ Nevada, Dept Educ Psychol &amp; Higher Educ, 4505 S Maryland Pkwy 3003, Las Vegas, NV 89154 USA.</t>
  </si>
  <si>
    <t>matt.bernacki@unlv.edu</t>
  </si>
  <si>
    <t>Bernacki, Matthew/ABA-6475-2020</t>
  </si>
  <si>
    <t>Bernacki, Matthew/0000-0003-1279-2829; Walkington, Candace/0000-0002-2338-8760</t>
  </si>
  <si>
    <t>Metacognition and Motivation Thrust of LearnLab, the Pittsburgh Science of Learning Center; National Science Foundation [SBE-0836012]</t>
  </si>
  <si>
    <t>Metacognition and Motivation Thrust of LearnLab, the Pittsburgh Science of Learning Center; National Science Foundation(National Science Foundation (NSF))</t>
  </si>
  <si>
    <t>This project was sponsored by the Metacognition and Motivation Thrust of LearnLab, the Pittsburgh Science of Learning Center. Original support for LearnLab was provided by the National Science Foundation (SBE-0836012). We also wish to thank collaborators at Carnegie Learning (including Steve Ritter, Tristan Nixon, Steven Fancsali, and Susan Berman) for their assistance with personalizing Cognitive Tutor software and the teachers and the administrators of the school district where the study was conducted.</t>
  </si>
  <si>
    <t>AUG</t>
  </si>
  <si>
    <t>10.1037/edu0000250</t>
  </si>
  <si>
    <t>GO3TV</t>
  </si>
  <si>
    <t>WOS:000439919800008</t>
  </si>
  <si>
    <t>Arroyo, I; Wixon, N; Allessio, D; Woolf, B; Muldner, K; Burleson, W</t>
  </si>
  <si>
    <t>Andre, E; Baker, R; Hu, X; Rodrigo, MMT; DuBoulay, B</t>
  </si>
  <si>
    <t>Arroyo, Ivon; Wixon, Naomi; Allessio, Danielle; Woolf, Beverly; Muldner, Kasia; Burleson, Winslow</t>
  </si>
  <si>
    <t>Collaboration Improves Student Interest in Online Tutoring</t>
  </si>
  <si>
    <t>ARTIFICIAL INTELLIGENCE IN EDUCATION, AIED 2017</t>
  </si>
  <si>
    <t>18th International Conference on Artificial Intelligence in Education (AIED)</t>
  </si>
  <si>
    <t>JUN 28-JUL 01, 2017</t>
  </si>
  <si>
    <t>Cent China Normal Univ, Wuhan, PEOPLES R CHINA</t>
  </si>
  <si>
    <t>Cent China Normal Univ</t>
  </si>
  <si>
    <t>Affective states; Negative/positive emotion; Collaborative learning; Intelligent tutoring system; Boredom; Frustration</t>
  </si>
  <si>
    <t>ACHIEVEMENT GOALS; PERFORMANCE; SYSTEM</t>
  </si>
  <si>
    <t>Prior research indicates that students often experience negative emotions while using online learning environments, and that most of these negative emotions can have a detrimental impact on their behavior and learning outcomes. We investigate the impact of a particular intervention, namely face-to-face collaboration with a neighboring student, on student boredom and frustration. The data comes from a study with 106 middle school students interacting with a mathematics tutor that provided varying levels of collaboration. Students were randomly assigned to a collaboration or no-collaboration condition. Collaboration was associated with reduced boredom: Students who collaborated more frequently reported increased interest.</t>
  </si>
  <si>
    <t>[Arroyo, Ivon; Wixon, Naomi] Worcester Polytech Univ, Worcester, MA 01609 USA; [Allessio, Danielle; Woolf, Beverly] Univ Massachusetts, Amherst, MA 01003 USA; [Muldner, Kasia] Carleton Univ, Ottawa, ON, Canada; [Burleson, Winslow] NYU, New York, NY USA</t>
  </si>
  <si>
    <t>Worcester Polytechnic Institute; University of Massachusetts System; University of Massachusetts Amherst; Carleton University; New York University</t>
  </si>
  <si>
    <t>Arroyo, I (corresponding author), Worcester Polytech Univ, Worcester, MA 01609 USA.</t>
  </si>
  <si>
    <t>iarroyo@wpi.edu; nwixon@wpi.edu; allessio@educ.umass.edu; bev@cs.umass.edu; kmuldner@gmail.com; wb50@nyu.edu</t>
  </si>
  <si>
    <t>Allessio, Danielle/PGA-1913-2026</t>
  </si>
  <si>
    <t>Allessio, Danielle/0000-0002-3276-4393</t>
  </si>
  <si>
    <t>Div Of Information &amp; Intelligent Systems; Direct For Computer &amp; Info Scie &amp; Enginr [1536102, 1324385] Funding Source: National Science Foundation</t>
  </si>
  <si>
    <t>Div Of Information &amp; Intelligent Systems; Direct For Computer &amp; Info Scie &amp; Enginr(National Science Foundation (NSF)NSF - Directorate for Computer &amp; Information Science &amp; Engineering (CISE)NSF - Division of Information &amp; Intelligent Systems (IIS))</t>
  </si>
  <si>
    <t>978-3-319-61425-0; 978-3-319-61424-3</t>
  </si>
  <si>
    <t>10.1007/978-3-319-61425-0_3</t>
  </si>
  <si>
    <t>Computer Science, Artificial Intelligence; Computer Science, Cybernetics; Computer Science, Interdisciplinary Applications</t>
  </si>
  <si>
    <t>BK3AD</t>
  </si>
  <si>
    <t>WOS:000434475300003</t>
  </si>
  <si>
    <t>Thomas, DO</t>
  </si>
  <si>
    <t>Thomas, Dorell Oneil</t>
  </si>
  <si>
    <t>Manufacturing Crises: AI, Labor, and Conflict in Public Education</t>
  </si>
  <si>
    <t>CHANGING ENGLISH-STUDIES IN CULTURE AND EDUCATION</t>
  </si>
  <si>
    <t>AI policy language; unionized labor; self-reflexivity; professional-managerial class; manufacturing crises</t>
  </si>
  <si>
    <t>Artificial Intelligence (AI) policy language, as a genre, provides little room for self-reflexivity. In fact, how do otherwise neutrally presented concerns about the virtues of drafting and not breeaching academic integrity policies (using AI) disguise labour protections, which benefit a Professional-Managerial Class? AI's capabilities invite more transparent discussions about the labour involved in the writing process, both student labour and unionised faculty labour. Without the benefit of needed context, the uncritical suggestion that everyone stands to lose skills, in equal measure, forecloses on a more nuanced conversation about professional anxieties and legitimate student interest in Large Language Models (LLMs). Raced and classed students in minority-serving institutions (MSIs), in particular, have legitimate reason to be suspicious of promised payoffs from repeated drafting - that is, considering the White labour movement's history (in the US) with structuring incentives that exclusively benefit its membership.</t>
  </si>
  <si>
    <t>[Thomas, Dorell Oneil] Brooklyn Coll, English Dept, Brooklyn, NY 11210 USA</t>
  </si>
  <si>
    <t>City University of New York (CUNY) System; Brooklyn College (CUNY)</t>
  </si>
  <si>
    <t>Thomas, DO (corresponding author), Brooklyn Coll, English Dept, Brooklyn, NY 11210 USA.</t>
  </si>
  <si>
    <t>dorell.thomas@brooklyn.cuny.edu</t>
  </si>
  <si>
    <t>Dylan</t>
  </si>
  <si>
    <t>I would like to thank Editor John Yandell for the helpful suggestions early in the revision process. I benefited from your direction. I would also like to thank my wife Angela Thomas, NBCT, for giving me feedback on different versions of the paper. I appreciate the role that you played, as an audience for the work, as the paper developed. Also, thank you, Zadie and Dylan for sometimes pulling me away from writing. Walking away from the work and coming back to it is helpful.</t>
  </si>
  <si>
    <t>1358-684X</t>
  </si>
  <si>
    <t>1469-3585</t>
  </si>
  <si>
    <t>CHANG ENGL</t>
  </si>
  <si>
    <t>Chang. Engl.</t>
  </si>
  <si>
    <t>APR 3</t>
  </si>
  <si>
    <t>10.1080/1358684X.2025.2563547</t>
  </si>
  <si>
    <t>OCT 2025</t>
  </si>
  <si>
    <t>IH1UH</t>
  </si>
  <si>
    <t>WOS:001592465300001</t>
  </si>
  <si>
    <t>Bauer, E; Richters, C; Pickal, AJ; Klippert, M; Sailer, M; Stadler, M</t>
  </si>
  <si>
    <t>Bauer, Elisabeth; Richters, Constanze; Pickal, Amadeus J.; Klippert, Moritz; Sailer, Michael; Stadler, Matthias</t>
  </si>
  <si>
    <t>Effects of AI-generated adaptive feedback on statistical skills and interest in statistics: A field experiment in higher education</t>
  </si>
  <si>
    <t>BRITISH JOURNAL OF EDUCATIONAL TECHNOLOGY</t>
  </si>
  <si>
    <t>adaptivity; artificial intelligence; feedback; higher education; interest; natural language processing; statistical skills</t>
  </si>
  <si>
    <t>SITUATIONAL INTEREST; LITERACY; CONSEQUENCES; ENGAGEMENT; NEEDS</t>
  </si>
  <si>
    <t>This study explores whether AI-generated adaptive feedback or static feedback is favourable for student interest and performance outcomes in learning statistics in a digital learning environment. Previous studies have favoured adaptive feedback over static feedback for skill acquisition, however, without investigating the outcome of students' subject-specific interest. This study randomly assigned 90 educational sciences students to four conditions in a 2 x 2 Solomon four-group design, with one factor feedback type (adaptive vs. static) and, controlling for pretest sensitisation, another factor pretest participation (yes vs. no). Using a large language model, the adaptive feedback provided feedback messages tailored to students' responses for several tasks on reporting statistical results according to APA style, while static feedback offered a standardised expert solution. There was no evidence of pretest sensitisation and no significant effect of the feedback type on task performance. However, a significant medium-sized effect of feedback type on interest was found, with lower interest observed in the adaptive condition than in the static condition. In highly structured learning tasks, AI-generated adaptive feedback, compared with static feedback, may be non-essential for learners' performance enhancement and less favourable for learners' interest, potentially due to its impact on learners' perceived autonomy and competence.</t>
  </si>
  <si>
    <t>[Bauer, Elisabeth; Pickal, Amadeus J.; Klippert, Moritz; Sailer, Michael] Univ Augsburg, Learning Analyt &amp; Educ Data Min, Univ Str 10, D-86159 Augsburg, Germany; [Richters, Constanze; Stadler, Matthias] Ludwig Maximilians Univ Munchen, LMU Univ Hosp, Inst Med Educ, Munich, Germany</t>
  </si>
  <si>
    <t>University of Augsburg; University of Munich</t>
  </si>
  <si>
    <t>Bauer, E (corresponding author), Univ Augsburg, Learning Analyt &amp; Educ Data Min, Univ Str 10, D-86159 Augsburg, Germany.</t>
  </si>
  <si>
    <t>elisabeth.bauer@uni-a.de</t>
  </si>
  <si>
    <t>; Stadler, Matthias/ABD-7105-2021; Sailer, Michael/HTO-7914-2023</t>
  </si>
  <si>
    <t>Bauer, Elisabeth/0000-0003-4078-0999; Pickal, Amadeus J/0000-0001-5897-3153;</t>
  </si>
  <si>
    <t>Stiftung Innovation in der Hochschullehre [FBM2020-EA-2620-01350]; Stiftung Innovation in der Hochschullehre' (project 'Facilitating Competence Development through Authentic, Digital)</t>
  </si>
  <si>
    <t>Stiftung Innovation in der Hochschullehre; Stiftung Innovation in der Hochschullehre' (project 'Facilitating Competence Development through Authentic, Digital)</t>
  </si>
  <si>
    <t>This work was supported by the 'Stiftung Innovation in der Hochschullehre' (project 'Facilitating Competence Development through Authentic, Digital, and Feedback-Based Teaching-Learning Scenarios') under Grant FBM2020-EA-2620-01350. During the writing and revision of this paper, the authors used ChatGPT 4o to revise the draft for readability and language. After using this tool, the authors reviewed and edited the content as needed and take full responsibility for the content of the publication. Open Access funding enabled and organized by Projekt DEAL.</t>
  </si>
  <si>
    <t>WILEY</t>
  </si>
  <si>
    <t>HOBOKEN</t>
  </si>
  <si>
    <t>111 RIVER ST, HOBOKEN 07030-5774, NJ USA</t>
  </si>
  <si>
    <t>0007-1013</t>
  </si>
  <si>
    <t>1467-8535</t>
  </si>
  <si>
    <t>BRIT J EDUC TECHNOL</t>
  </si>
  <si>
    <t>Br. J. Educ. Technol.</t>
  </si>
  <si>
    <t>10.1111/bjet.13609</t>
  </si>
  <si>
    <t>6FD1E</t>
  </si>
  <si>
    <t>WOS:001521140300001</t>
  </si>
  <si>
    <t>Martinussen, LJ; Riege, A; Richter, J; Briseid, EM; Maugesten, M; Reber, R</t>
  </si>
  <si>
    <t>Martinussen, Liva J.; Riege, Anine; Richter, Jasmin; Briseid, Eyvind Martol; Maugesten, Marianne; Reber, Rolf</t>
  </si>
  <si>
    <t>Prospective mathematics teachers' situational interest for word problems</t>
  </si>
  <si>
    <t>EDUCATIONAL PSYCHOLOGY</t>
  </si>
  <si>
    <t>Word problems; situational interest; self-determination theory; prospective teachers</t>
  </si>
  <si>
    <t>INDIVIDUAL INTEREST; STUDENT INTEREST; CONTEXT; PERSONALIZATION; DIMENSIONS; SCIENCE</t>
  </si>
  <si>
    <t>This study examined the influence of word problems and individual differences on student teachers' situational interest. There is extensive research on word problems, but few studies have assessed the impact on situational interest, particularly for self-generated word problems. Using a within-subject design (N = 256), we investigated whether self-generated or ready-made word problems elicited greater situational interest compared to solving math tasks without a context (math-tasks-only). Additionally, we investigated whether individual interest in mathematics, mathematical self-concept, and related measures were associated with situational interest. Findings indicated that both word problem conditions significantly increased situational interest compared to math-tasks-only, regardless of individual interest. Self-concept moderated the effect of condition on situational interest; the self-generated word problem was more interesting for participants with higher self-concept, whereas the ready-made word problem was more interesting for participants with lower self-concept. We discuss these results considering interest-development and self-determination theory.</t>
  </si>
  <si>
    <t>[Martinussen, Liva J.; Riege, Anine; Richter, Jasmin; Reber, Rolf] Univ Oslo, Dept Psychol, Forskningsveien 3A, N-0373 Oslo, Norway; [Briseid, Eyvind Martol] OsloMet, Dept Primary &amp; Secondary Teacher Educ, Oslo, Norway; [Maugesten, Marianne] Ostfold Univ Coll, Fac Teacher Educ &amp; Languages, Halden, Norway</t>
  </si>
  <si>
    <t>University of Oslo; Oslo Metropolitan University (OsloMet); Ostfold University College</t>
  </si>
  <si>
    <t>Martinussen, LJ (corresponding author), Univ Oslo, Dept Psychol, Forskningsveien 3A, N-0373 Oslo, Norway.</t>
  </si>
  <si>
    <t>l.j.martinussen@psykologi.uio.no</t>
  </si>
  <si>
    <t>; Riege, Anine/U-2334-2017; Reber, Rolf/G-6510-2011</t>
  </si>
  <si>
    <t>Richter, Jasmin/0000-0002-3527-5923; Riege, Anine/0000-0002-2460-8665; Reber, Rolf/0000-0002-6669-7109</t>
  </si>
  <si>
    <t>Research Council of Norway, Finnut Program [283540]; Academy of Finland (AKA) [283540] Funding Source: Academy of Finland (AKA)</t>
  </si>
  <si>
    <t>Research Council of Norway, Finnut Program(Research Council of Norway); Academy of Finland (AKA)(Research Council of Finland)</t>
  </si>
  <si>
    <t>This work was funded by Research Council of Norway, Finnut Program (#283540).</t>
  </si>
  <si>
    <t>0144-3410</t>
  </si>
  <si>
    <t>1469-5820</t>
  </si>
  <si>
    <t>EDUC PSYCHOL-UK</t>
  </si>
  <si>
    <t>Educ. Psychol.</t>
  </si>
  <si>
    <t>APR 21</t>
  </si>
  <si>
    <t>10.1080/01443410.2025.2477814</t>
  </si>
  <si>
    <t>MAR 2025</t>
  </si>
  <si>
    <t>Education &amp; Educational Research; Psychology, Educational</t>
  </si>
  <si>
    <t>Education &amp; Educational Research; Psychology</t>
  </si>
  <si>
    <t>2AP4U</t>
  </si>
  <si>
    <t>WOS:001445602200001</t>
  </si>
  <si>
    <t>Parimi, R; Caragea, D</t>
  </si>
  <si>
    <t>Huang, JZ; Cao, L; Srivastava, J</t>
  </si>
  <si>
    <t>Parimi, Rohit; Caragea, Doina</t>
  </si>
  <si>
    <t>Predicting Friendship Links in Social Networks Using a Topic Modeling Approach</t>
  </si>
  <si>
    <t>ADVANCES IN KNOWLEDGE DISCOVERY AND DATA MINING, PT II: 15TH PACIFIC-ASIA CONFERENCE, PAKDD 2011</t>
  </si>
  <si>
    <t>15th Pacific-Asia Conference on Knowledge Discovery and Data Mining (PAKDD)</t>
  </si>
  <si>
    <t>MAY 24-27, 2011</t>
  </si>
  <si>
    <t>Shenzhen, PEOPLES R CHINA</t>
  </si>
  <si>
    <t>Shenzhen Inst Adv Technol,Chinese Acad Sci,Univ Hong Kong,Univ Technol Sydney</t>
  </si>
  <si>
    <t>Link Mining; Topic Modeling; Social Networks; Learning</t>
  </si>
  <si>
    <t>In the recent years, the number of social network users has increased dramatically. The resulting amount of data associated with users of social networks has created great opportunities for data mining problems. One data mining problem of interest for social networks is the friendship link prediction problem. Intuitively, a friendship link between two users can be predicted based on their common friends and interests. However, using user interests directly can be challenging, given the large number of possible interests. In the past, approaches that make use of an explicit user interest ontology have been proposed to tackle this problem, but the construction of the ontology proved to be computationally expensive and the resulting ontology was not very useful. As an alternative, we propose a topic modeling approach to the problem of predicting new friendships based on interests and existing friendships. Specifically, we use Latent Dirichlet Allocation (LDA) to model user interests and, thus, we create an implicit interest ontology. We construct features for the link prediction problem based on the resulting topic distributions. Experimental results on several LiveJournal data sets of varying sizes show the usefulness of the LDA features for predicting friendships.</t>
  </si>
  <si>
    <t>[Parimi, Rohit; Caragea, Doina] Kansas State Univ, Manhattan, KS 66506 USA</t>
  </si>
  <si>
    <t>Kansas State University</t>
  </si>
  <si>
    <t>Parimi, R (corresponding author), Kansas State Univ, Manhattan, KS 66506 USA.</t>
  </si>
  <si>
    <t>rohitp@ksu.edu; dcaragea@ksu.edu</t>
  </si>
  <si>
    <t>Caragea, Doina/0000-0002-6440-0914</t>
  </si>
  <si>
    <t>978-3-642-20846-1; 978-3-642-20847-8</t>
  </si>
  <si>
    <t>BCX89</t>
  </si>
  <si>
    <t>WOS:000311907700007</t>
  </si>
  <si>
    <t>Social User Interest Mining: Methods and Applications</t>
  </si>
  <si>
    <t>KDD'19: PROCEEDINGS OF THE 25TH ACM SIGKDD INTERNATIONAL CONFERENCCE ON KNOWLEDGE DISCOVERY AND DATA MINING</t>
  </si>
  <si>
    <t>25th ACM SIGKDD International Conference on Knowledge Discovery &amp; Data Mining (KDD)</t>
  </si>
  <si>
    <t>AUG 04-08, 2019</t>
  </si>
  <si>
    <t>Anchorage, AK</t>
  </si>
  <si>
    <t>Assoc Comp Machinery,Assoc Comp Machinery SIGKDD,Assoc Comp Machinery SIGMOD</t>
  </si>
  <si>
    <t>Zarrinkalam, Fattane/AAI-1083-2019; Fani, Hossein/W-7550-2019</t>
  </si>
  <si>
    <t>978-1-4503-6201-6</t>
  </si>
  <si>
    <t>10.1145/3292500.3332279</t>
  </si>
  <si>
    <t>Computer Science, Information Systems; Computer Science, Theory &amp; Methods</t>
  </si>
  <si>
    <t>BN6JO</t>
  </si>
  <si>
    <t>WOS:000485562503067</t>
  </si>
  <si>
    <t>Vadaparty, A; Geng, F; Smith, DH ; Benario, JG; Zingaro, D; Porter, L</t>
  </si>
  <si>
    <t>Vadaparty, Annapurna; Geng, Francis; Smith, David H., IV; Benario, Jamie Gorson; Zingaro, Daniel; Porter, Leo</t>
  </si>
  <si>
    <t>Achievement Goals in CS1-LLM</t>
  </si>
  <si>
    <t>PROCEEDINGS OF THE 27TH AUSTRALASIAN COMPUTING EDUCATION CONFERENCE, ACE 2025</t>
  </si>
  <si>
    <t>27th Australasian Computing Education Conference-ACE-Annual</t>
  </si>
  <si>
    <t>FEB 12-13, 2025</t>
  </si>
  <si>
    <t>Brisbane, AUSTRALIA</t>
  </si>
  <si>
    <t>SIGCSE</t>
  </si>
  <si>
    <t>CS1; CS1-LLM; Copilot; Achievement Goals; Large Language Models</t>
  </si>
  <si>
    <t>PERFORMANCE</t>
  </si>
  <si>
    <t>Introduction: The emergence and widespread adoption of generative AI (GenAI) chatbots such as ChatGPT, and programming assistants such as GitHub Copilot, have radically redefined the landscape of programming education. This calls for replication of studies and reexamination of findings from pre-GenAI CS contexts to understand the impact on students. Objectives: Achievement Goals are well studied in computing education and can be predictive of student interest and exam performance. The objective in this study is to compare findings from prior achievement goal studies in CS1 courses with new CS1 courses that emphasize the use of human-GenAI collaborative coding. Methods: In a CS1 course that integrates GenAI, we use linear regression to explore the relationship between achievement goals and prior experience on student interest, exam performance, and perceptions of GenAI. Results: As with prior findings in traditional CS1 classes, Mastery goals are correlated with interest in computing. Contradicting prior CS1 findings, normative goals are correlated with exam scores. Normative and mastery goals correlate with students' perceptions of learning with GenAI. Mastery goals weakly correlate with reading and testing code output from GenAI.</t>
  </si>
  <si>
    <t>[Vadaparty, Annapurna; Geng, Francis; Porter, Leo] Univ Calif San Diego, San Diego, CA 92093 USA; [Smith, David H., IV] Univ Illinois, Chicago, IL USA; [Benario, Jamie Gorson] Google, Chicago, IL USA; [Zingaro, Daniel] Univ Toronto Mississauga, Mississauga, ON, Canada</t>
  </si>
  <si>
    <t>University of California System; University of California San Diego; University of Illinois System; University of Illinois Chicago; University of Illinois Chicago Hospital; Alphabet Inc.; Google Incorporated; University of Toronto; University Toronto Mississauga</t>
  </si>
  <si>
    <t>Vadaparty, A (corresponding author), Univ Calif San Diego, San Diego, CA 92093 USA.</t>
  </si>
  <si>
    <t>avadaparty@ucsd.edu; fgeng@ucsd.edu; jamben@google.com; daniel.zingaro@utoronto.ca; leporter@ucsd.edu</t>
  </si>
  <si>
    <t>Zingaro, Daniel/0000-0002-1568-4826; Porter, Leo/0000-0003-1435-8401; Smith, David/0000-0002-6572-4347; Gorson Benario, Jamie/0000-0002-0385-4357; Geng, Francis/0009-0004-5188-4755</t>
  </si>
  <si>
    <t>National Science Foundation Graduate Research Fellowship Program; NSF [2417374]; Google Award for Inclusion Research Program</t>
  </si>
  <si>
    <t>National Science Foundation Graduate Research Fellowship Program(National Science Foundation (NSF)); NSF(National Science Foundation (NSF)); Google Award for Inclusion Research Program</t>
  </si>
  <si>
    <t>This work is supported by the National Science Foundation Graduate Research Fellowship Program and NSF Award #2417374, and by the Google Award for Inclusion Research Program. Any opinion, findings, and conclusions or recommendations expressed in this material are those of the authors(s) and do not necessarily reflect the views of the National Science Foundation.</t>
  </si>
  <si>
    <t>979-8-4007-1425-2</t>
  </si>
  <si>
    <t>10.1145/3716640.3716656</t>
  </si>
  <si>
    <t>BY6KB</t>
  </si>
  <si>
    <t>WOS:001480949300016</t>
  </si>
  <si>
    <t>George, G; Lal, AM</t>
  </si>
  <si>
    <t>George, Gina; Lal, Anisha M.</t>
  </si>
  <si>
    <t>Review of ontology-based recommender systems in e-learning</t>
  </si>
  <si>
    <t>COMPUTERS &amp; EDUCATION</t>
  </si>
  <si>
    <t>Review</t>
  </si>
  <si>
    <t>Human-computer interface; Intelligent tutoring systems; Computer-mediated communication; Cooperative/collaborative learning</t>
  </si>
  <si>
    <t>OF-THE-ART; PERSONALIZED RECOMMENDATION; STYLE IDENTIFICATION; MODEL; ENVIRONMENTS; KNOWLEDGE; DELIVERY; BEHAVIOR</t>
  </si>
  <si>
    <t>In recent years there has been an enormous increase in learning resources available online through massive open online courses and learning management systems. In this context, personalized resource recommendation has become an even more significant challenge, thereby increasing research in that direction. Recommender systems use ontology, artificial intelligence, among other techniques to provide personalized recommendations. Ontology is a way to model learners and learning resources, among others, which helps to retrieve details. This, in turn, generates more relevant materials to learners. Ontologies have benefits of reusability, reasoning ability, and supports inference mechanisms, which helps to provide enhanced recommendations. The comprehensive survey in this paper gives an overview of the research in progress using ontology to achieve personalization in recommender systems in the e-learning domain.</t>
  </si>
  <si>
    <t>[George, Gina; Lal, Anisha M.] Vellore Inst Technol, Sch Comp Sci &amp; Engn, Vellore, Tamil Nadu, India</t>
  </si>
  <si>
    <t>Vellore Institute of Technology (VIT); VIT Vellore</t>
  </si>
  <si>
    <t>Lal, AM (corresponding author), Vellore Inst Technol, Sch Comp Sci &amp; Engn, Vellore, Tamil Nadu, India.</t>
  </si>
  <si>
    <t>anishamlal@vit.ac.in</t>
  </si>
  <si>
    <t>; Lal, Anisha/O-1155-2018</t>
  </si>
  <si>
    <t>George, Gina/0000-0003-2132-2466; Lal, Anisha/0000-0003-4599-1509</t>
  </si>
  <si>
    <t>PERGAMON-ELSEVIER SCIENCE LTD</t>
  </si>
  <si>
    <t>OXFORD</t>
  </si>
  <si>
    <t>THE BOULEVARD, LANGFORD LANE, KIDLINGTON, OXFORD OX5 1GB, ENGLAND</t>
  </si>
  <si>
    <t>0360-1315</t>
  </si>
  <si>
    <t>1873-782X</t>
  </si>
  <si>
    <t>COMPUT EDUC</t>
  </si>
  <si>
    <t>Comput. Educ.</t>
  </si>
  <si>
    <t>10.1016/j.compedu.2019.103642</t>
  </si>
  <si>
    <t>Computer Science, Interdisciplinary Applications; Education &amp; Educational Research</t>
  </si>
  <si>
    <t>Science Citation Index Expanded (SCI-EXPANDED); Social Science Citation Index (SSCI)</t>
  </si>
  <si>
    <t>JA1HN</t>
  </si>
  <si>
    <t>WOS:000487568200006</t>
  </si>
  <si>
    <t>Leong, J; Pataranutaporn, P; Danry, V; Perteneder, F; Mao, YL; Maes, P</t>
  </si>
  <si>
    <t>Leong, Joanne; Pataranutaporn, Pat; Danry, Valdemar; Perteneder, Florian; Mao, Yaoli; Maes, Pattie</t>
  </si>
  <si>
    <t>Putting Things into Context: Generative AI-Enabled Context Personalization for Vocabulary Learning Improves Learning Motivation</t>
  </si>
  <si>
    <t>PROCEEDINGS OF THE 2024 CHI CONFERENCE ON HUMAN FACTORS IN COMPUTING SYTEMS, CHI 2024</t>
  </si>
  <si>
    <t>CHI Conference on Human Factors in Computing Sytems (CHI)</t>
  </si>
  <si>
    <t>MAY 11-16, 2024</t>
  </si>
  <si>
    <t>Honolulu, HI</t>
  </si>
  <si>
    <t>Assoc Comp Machinery,ACM SIGCHI,Apple,Google,NSF,Tianqiao &amp; Chrissy Chen Inst</t>
  </si>
  <si>
    <t>generative artificial intelligence; education; learning; vocabulary</t>
  </si>
  <si>
    <t>MATHEMATICS; EDUCATION; DESIGN; MEMORY</t>
  </si>
  <si>
    <t>Fostering students' interests in learning is considered to have many positive downstream effects. Large language models have opened up new horizons for generating content tuned to one's interests, yet it is unclear in what ways and to what extent this customization could have positive effects on learning. To explore this novel dimension, we conducted a between-subjects online study (n=272) featuring different variations of a generative AI vocabulary learning app that enables users to personalize their learning examples. Participants were randomly assigned to control (sentence sourced from pre-existing text) or experimental conditions (generated sentence or short story based on users' text input). While we did not observe a difference in learning performance between the conditions, the analysis revealed that generative AI-driven context personalization positively affected learning motivation. We discuss how these results relate to previous findings and underscore their significance for the emerging field of using generative AI for personalized learning.</t>
  </si>
  <si>
    <t>[Leong, Joanne; Pataranutaporn, Pat; Danry, Valdemar; Maes, Pattie] MIT Media Lab, Cambridge, MA 02139 USA; [Mao, Yaoli] Columbia Univ, New York, NY USA</t>
  </si>
  <si>
    <t>Massachusetts Institute of Technology (MIT); Columbia University</t>
  </si>
  <si>
    <t>Leong, J (corresponding author), MIT Media Lab, Cambridge, MA 02139 USA.</t>
  </si>
  <si>
    <t>joaleong@media.mit.edu; patpat@mit.edu; vdanry@mit.edu; foperteneder@gmail.com; ym2429@tc.columbia.edu; pattie@media.mit.edu</t>
  </si>
  <si>
    <t>Leong, Joanne/0000-0001-5422-1018; Maes, Patricia/0000-0002-7722-6038; Pataranutaporn, Pat/0000-0002-1879-7340; Danry, Valdemar/0000-0001-5225-0077</t>
  </si>
  <si>
    <t>Natural Sciences and Engineering Research Council of Canada (NSERC) [PGS D3-545858-2020]; MIT Integrated Learning Initiative</t>
  </si>
  <si>
    <t>Natural Sciences and Engineering Research Council of Canada (NSERC)(Natural Sciences and Engineering Research Council of Canada (NSERC)); MIT Integrated Learning Initiative</t>
  </si>
  <si>
    <t>Statistical support was provided by data science specialist Steven Worthington, at the Institute for Quantitative Social Science, Harvard University. We acknowledge the support of the Natural Sciences and Engineering Research Council of Canada (NSERC), [PGS D3-545858-2020]. Cette recherche a ete fnancee par le Conseil de recherches en sciences naturelles et en genie du Canada (CRSNG), [PGS D3-545858-2020]. We also thank the MIT Integrated Learning Initiative for helping fund this project.</t>
  </si>
  <si>
    <t>979-8-4007-0330-0</t>
  </si>
  <si>
    <t>10.1145/3613904.3642393</t>
  </si>
  <si>
    <t>BX1ZC</t>
  </si>
  <si>
    <t>WOS:001255317909010</t>
  </si>
  <si>
    <t>Barboza, L; Farzan, F; Olney, AM</t>
  </si>
  <si>
    <t>Barboza, Luiz; Farzan, Farshid; Olney, Andrew M.</t>
  </si>
  <si>
    <t>Dataset Personalization Methods based on LLMs for Data Science Education: A Comparative Study of Rescaling and Sampling Approaches</t>
  </si>
  <si>
    <t>Personalization; LLMs; Data Science Education</t>
  </si>
  <si>
    <t>This work-in-progress study explores the use of Large Language Models (LLMs) to dynamically personalize datasets used in data science education according to learner interests. The study outlines two dataset personalization methods that transform each variable in the original dataset to a new variable: a scaling method that transforms while preserving the original distributions and correlation structure, and a sampling method that transforms while preserving the original correlation structure but changes distributions to match the new variables. An evaluation with subject matter experts revealed that datasets personalized using the scaling method were not significantly different from the original datasets in terms of the appropriateness of variable names and ranges. Further evaluation using the personalized datasets in the context of instructional materials designed for the original datasets indicated that more inconsistencies were found with the sampling method than the scaling method. These results suggest that dataset personalization can create datasets that serve as drop-in replacements for the original datasets in existing instructional materials.</t>
  </si>
  <si>
    <t>[Barboza, Luiz; Farzan, Farshid; Olney, Andrew M.] Univ Memphis, Memphis, TN 38152 USA</t>
  </si>
  <si>
    <t>University of Memphis</t>
  </si>
  <si>
    <t>Barboza, L (corresponding author), Univ Memphis, Memphis, TN 38152 USA.</t>
  </si>
  <si>
    <t>lbarboza@memphis.edu; F.Farzan@memphis.edu; aolney@memphis.edu</t>
  </si>
  <si>
    <t>Olney, Andrew/ABH-9080-2022</t>
  </si>
  <si>
    <t>National Science Foundation [1918751]</t>
  </si>
  <si>
    <t>This material is based upon work supported by the National Science Foundation under Grant No. 1918751.</t>
  </si>
  <si>
    <t>10.1145/3698205.3733936</t>
  </si>
  <si>
    <t>WOS:001594400600033</t>
  </si>
  <si>
    <t>Frikha, M; Mhiri, M; Gargouri, F</t>
  </si>
  <si>
    <t>Bajo, J; Hernandez, JZ; Mathieu, P; Campbell, A; FernandezCaballero, A; Moreno, MN; Julian, V; AlonsoBetanzos, A; JimenezLopez, MD; Botti, V</t>
  </si>
  <si>
    <t>Frikha, Mohamed; Mhiri, Mohamed; Gargouri, Faiez</t>
  </si>
  <si>
    <t>Designing a User Interest Ontology-Driven Social Recommender System: Application for Tunisian Tourism</t>
  </si>
  <si>
    <t>TRENDS IN PRACTICAL APPLICATIONS OF AGENTS, MULTI-AGENT SYSTEMS AND SUSTAINABILITY: THE PAAMS COLLECTION</t>
  </si>
  <si>
    <t>Advances in Intelligent Systems and Computing</t>
  </si>
  <si>
    <t>13th International Conference on Practical Applications of Agents, Multi-Agent Systems, and Sustainability (PAAMS)</t>
  </si>
  <si>
    <t>JUN 03-05, 2015</t>
  </si>
  <si>
    <t>Salamanca, SPAIN</t>
  </si>
  <si>
    <t>IBM,IEEE Syst Man &amp; Cybernet Soc Spain,AEPIA,Assoc Francaise Intelligence Artificielle,AAAI,APPIA,ARIA,ATIA,BNVKI,,SADIO,Soc Brasileira Computacao,GI,Univ Salamanca,CNRS,Portuguese Assoc Artificial Intelligence,Telefonica,Bioinformat Intelligent Syst &amp; Educ Technol Res Grp,Junta Castilla Leon,Univ Salamanca,indra</t>
  </si>
  <si>
    <t>Recommender Systems; Collaborative Filtering; Social Network; User Interest Model; Social Semantic Web; Ontology</t>
  </si>
  <si>
    <t>The tremendous growth of online social networks all over the world has created a new place and means of social interaction and communication among people. This paper aims to improve traditional recommender systems by incorporating information in social networks, including user preferences and influences from social friends. A user interest ontology is developed to make personalized recommendations out of such information. In this paper, we present a social recommender system employing a user interest ontology. Our system can improve the quality of recommendation for Tunisian tourism domain. Finally, our social recommendation algorithm will be implemented in order to be used in a Tunisia tourism Website to assist users interested in visiting Tunisian places.</t>
  </si>
  <si>
    <t>[Frikha, Mohamed; Mhiri, Mohamed; Gargouri, Faiez] Univ Sfax, MIRACL Lab, Sfax, Tunisia</t>
  </si>
  <si>
    <t>Multimedia, InfoRmation Systems &amp; Advancing Computing Laboratory (MIRACL); Universite de Sfax</t>
  </si>
  <si>
    <t>Frikha, M (corresponding author), Univ Sfax, MIRACL Lab, Sfax, Tunisia.</t>
  </si>
  <si>
    <t>med.frikha@gmail.com; med.mhiri@gmail.com; faiez.gargouri@isimsf.rnu.tn</t>
  </si>
  <si>
    <t>Mhiri, Mohamed/OMK-8712-2025; Frikha, Mohamed/W-8337-2018</t>
  </si>
  <si>
    <t>Mhiri, Mohamed/0009-0001-7934-7618; Gargouri, Faiez/0000-0003-2575-8654; Frikha, Mohamed/0000-0001-7110-9327</t>
  </si>
  <si>
    <t>2194-5357</t>
  </si>
  <si>
    <t>978-3-319-19629-9; 978-3-319-19628-2</t>
  </si>
  <si>
    <t>ADV INTELL SYST</t>
  </si>
  <si>
    <t>10.1007/978-3-319-19629-9_18</t>
  </si>
  <si>
    <t>Computer Science, Artificial Intelligence</t>
  </si>
  <si>
    <t>BF1YU</t>
  </si>
  <si>
    <t>WOS:000380446400018</t>
  </si>
  <si>
    <t>Tan, XW; Parvatham, M; Gambi, C; Pergola, G</t>
  </si>
  <si>
    <t>Christodoulopoulos, C; Chakraborty, T; Rose, C; Peng, V</t>
  </si>
  <si>
    <t>Tan, Xingwei; Parvatham, Mahathi; Gambi, Chiara; Pergola, Gabriele</t>
  </si>
  <si>
    <t>IntrEx: A Dataset for Modeling Engagement in Educational Conversations</t>
  </si>
  <si>
    <t>FINDINGS OF THE ASSOCIATION FOR COMPUTATIONAL LINGUISTICS: EMNLP 2025</t>
  </si>
  <si>
    <t>2025 Conference on Empirical Methods in Natural Language Processing-EMNLP</t>
  </si>
  <si>
    <t>NOV 04-09, 2025</t>
  </si>
  <si>
    <t>Suzhou, PEOPLES R CHINA</t>
  </si>
  <si>
    <t>CURIOSITY; ACQUISITION; PSYCHOLOGY; MOTIVATION; CORPUS</t>
  </si>
  <si>
    <t>Engagement and motivation are crucial for second-language acquisition, yet maintaining learner interest in educational conversations remains a challenge. While prior research has explored what makes educational texts interesting, still little is known about the linguistic features that drive engagement in conversations. To address this gap, we introduce IntrEx(1), the first large dataset annotated for interestingness and expected interestingness in teacher-student interactions. Built upon the Teacher-Student Chatroom Corpus (TSCC), IntrEx extends prior work by incorporating sequence-level annotations, allowing for the study of engagement beyond isolated turns to capture how interest evolves over extended dialogues. We employ a rigorous annotation process with over 100 second-language learners, using a comparison-based rating approach inspired by reinforcement learning from human feedback (RLHF) to improve agreement. We investigate whether large language models (LLMs) can predict human interestingness judgments. We find that LLMs (7B/8B parameters) fine-tuned on interestingness ratings outperform larger proprietary models like GPT-4o, demonstrating the potential for specialised datasets to model engagement in educational settings. Finally, we analyze how linguistic and cognitive factors, such as concreteness, comprehensibility (readability), and uptake, influence engagement in educational dialogues.</t>
  </si>
  <si>
    <t>[Tan, Xingwei; Pergola, Gabriele] Univ Warwick, Dept Comp Sci, Coventry, W Midlands, England; [Tan, Xingwei] Univ Sheffield, Sch Comp Sci, Sheffield, S Yorkshire, England; [Parvatham, Mahathi; Gambi, Chiara] Univ Warwick, Dept Psychol, Coventry, W Midlands, England</t>
  </si>
  <si>
    <t>University of Warwick; University of Sheffield; University of Warwick</t>
  </si>
  <si>
    <t>Tan, XW (corresponding author), Univ Warwick, Dept Comp Sci, Coventry, W Midlands, England.;Tan, XW (corresponding author), Univ Sheffield, Sch Comp Sci, Sheffield, S Yorkshire, England.</t>
  </si>
  <si>
    <t>Xingwei.Tan@sheffield.ac.uk; Chiara.Gambi@warwick.ac.uk; Gabriele.Pergola.1@warwick.ac.uk</t>
  </si>
  <si>
    <t>Gambi, Chiara/J-2361-2018</t>
  </si>
  <si>
    <t>Warwick Chancellor's International Scholarship; Leverhulme Trust [RPG-2023-067]; ESRC; EPSRC [EP/T022108/1]; HPC Midlands+ consortium</t>
  </si>
  <si>
    <t>Warwick Chancellor's International Scholarship; Leverhulme Trust(Leverhulme Trust); ESRC(UK Research &amp; Innovation (UKRI)Economic &amp; Social Research Council (ESRC)); EPSRC; HPC Midlands+ consortium</t>
  </si>
  <si>
    <t>Xingwei was supported by the Warwick Chancellor's International Scholarship while conducting this work. Chiara Gambi was supported by a Leverhulme Trust Research Project grant (RPG-2023067). Gabriele Pergola was partially supported by the ESRC-funded project Digitising Identity: Navigating the Digital Immigration System and Migrant Experiences, as part of the Digital Good Network. This work was conducted on the Sulis Tier-2 HPC platform hosted by the Scientific Computing Research Technology Platform at the University of Warwick. Sulis is funded by EPSRC Grant EP/T022108/1 and the HPC Midlands+ consortium.</t>
  </si>
  <si>
    <t>ASSOC COMPUTATIONAL LINGUISTICS-ACL</t>
  </si>
  <si>
    <t>STROUDSBURG</t>
  </si>
  <si>
    <t>209 N EIGHTH STREET, STROUDSBURG, PA 18360 USA</t>
  </si>
  <si>
    <t>979-8-89176-335-7</t>
  </si>
  <si>
    <t>Computer Science, Artificial Intelligence; Computer Science, Information Systems; Computer Science, Interdisciplinary Applications; Linguistics</t>
  </si>
  <si>
    <t>Computer Science; Linguistics</t>
  </si>
  <si>
    <t>BA8XA</t>
  </si>
  <si>
    <t>WOS:001811102600254</t>
  </si>
  <si>
    <t>Besel, C; Schlötterer, J; Granitzer, M</t>
  </si>
  <si>
    <t>Besel, Christoph; Schloetterer, Joerg; Granitzer, Michael</t>
  </si>
  <si>
    <t>On the Quality of Semantic Interest Profiles for Online Social Network Consumers</t>
  </si>
  <si>
    <t>APPLIED COMPUTING REVIEW</t>
  </si>
  <si>
    <t>Personalization; Twitter User Profile</t>
  </si>
  <si>
    <t>Social media based recommendation systems infer users' interests and preferences from their social network activity in order to provide personalised recommendations. Typically, the user profiles are generated by analysing the users' posts or tweets. However, there might be a significant difference between what a user produces and what she consumes. We propose an approach for inferring user interests from followees (the accounts the user follows) rather than tweets. This is done by extracting named entities from a user's followees using the English Wikipedia as knowledge base and regarding them as interests. Afterwards, a spreading activation algorithm is performed on a Wikipedia category taxonomy to aggregate the various interests to a more abstract and broader interest profile. We evaluate the coverage of followee lists in terms of named entities and show that they provide sufficient input to infer comprehensive semantic interest profiles. Further, we compare the profiles created with the followee-based approach against tweet-based profiles. With over 7 out of 10 items being relevant to the users in our evaluation, we show that the followee-based approach can compete with the state of the art and performs even better in predicting the users' interests than their human friends do.</t>
  </si>
  <si>
    <t>[Besel, Christoph; Schloetterer, Joerg] Univ Passau, Innstr 41, Passau, Germany; [Granitzer, Michael] Univ Passau, Media Comp Sci, Innstr 41, Passau, Germany</t>
  </si>
  <si>
    <t>University of Passau; University of Passau</t>
  </si>
  <si>
    <t>Besel, C (corresponding author), Univ Passau, Innstr 41, Passau, Germany.</t>
  </si>
  <si>
    <t>christoph.besel@googlemail.com; joerg.schloetterer@uni-passau.de; michael.granitzer@uni-passau.de</t>
  </si>
  <si>
    <t>Schlötterer, Jörg/0000-0002-3678-0390; Granitzer, Michael/0000-0003-3566-5507</t>
  </si>
  <si>
    <t>2 PENN PLAZA, STE 701, NEW YORK, NY 10121-0701 USA</t>
  </si>
  <si>
    <t>1559-6915</t>
  </si>
  <si>
    <t>APPL COMPUT REV</t>
  </si>
  <si>
    <t>Appl. Comput. Rev.</t>
  </si>
  <si>
    <t>10.1145/3015297.3015298</t>
  </si>
  <si>
    <t>Computer Science, Information Systems</t>
  </si>
  <si>
    <t>EC9US</t>
  </si>
  <si>
    <t>WOS:000388490400001</t>
  </si>
  <si>
    <t>Wu, LF; Zhang, D; Jian, M; Yang, BW; Liu, HY</t>
  </si>
  <si>
    <t>Lai, JH; Liu, CL; Chen, X; Zhou, J; Tan, T; Zheng, N; Zha, H</t>
  </si>
  <si>
    <t>Wu, Lifang; Zhang, Dai; Jian, Meng; Yang, Bowen; Liu, Haiying</t>
  </si>
  <si>
    <t>Multimodal Joint Representation for User Interest Analysis on Content Curation Social Networks</t>
  </si>
  <si>
    <t>PATTERN RECOGNITION AND COMPUTER VISION, PT III</t>
  </si>
  <si>
    <t>1st Chinese Conference on Pattern Recognition and Computer Vision (PRCV)</t>
  </si>
  <si>
    <t>NOV 23-26, 2018</t>
  </si>
  <si>
    <t>Guangzhou, PEOPLES R CHINA</t>
  </si>
  <si>
    <t>Multimodal; Content curation social networks; User modeling; Recommender systems</t>
  </si>
  <si>
    <t>Content curation social networks (CCSNs), where users share interests by images and their text descriptions, are booming social networks. For the purpose of fully utilizing user-generated contents to analysis user interests on CCSNs, we propose a framework of learning multimodal joint representations of pins for user interest analysis. First, images are automatically annotated with category distributions, which benefit from the network characteristics and represent interests of users. Further, image representations are extracted from an intermediate layer of a fine-tuned multilabel convolutional neural network (CNN) and text representations are obtained with a trained Word2Vec. Finally, a multimodal deep Boltzmann machine (DBM) are trained to fuse two modalities. Experiments on a dataset from Huaban demonstrate that using category distributions instead of single categories as labels to fine-tune CNN significantly improve the performance of image representation, and multimodal joint representations perform better than either of unimodal representations.</t>
  </si>
  <si>
    <t>[Wu, Lifang; Zhang, Dai; Jian, Meng; Yang, Bowen; Liu, Haiying] Beijing Univ Technol, Fac Informat Technol, Beijing, Peoples R China</t>
  </si>
  <si>
    <t>Beijing University of Technology</t>
  </si>
  <si>
    <t>Jian, M (corresponding author), Beijing Univ Technol, Fac Informat Technol, Beijing, Peoples R China.</t>
  </si>
  <si>
    <t>jianmeng648@163.com</t>
  </si>
  <si>
    <t>Jian, Meng/0000-0001-5659-5128</t>
  </si>
  <si>
    <t>National Natural Science Foundation of China [61702022]; Beijing Municipal Education Commission Science and Technology Innovation Project [KZ201610005012]; China Postdoctoral Science Foundation [2017M610027, 2018T110019]</t>
  </si>
  <si>
    <t>National Natural Science Foundation of China(National Natural Science Foundation of China (NSFC)); Beijing Municipal Education Commission Science and Technology Innovation Project; China Postdoctoral Science Foundation(China Postdoctoral Science Foundation)</t>
  </si>
  <si>
    <t>Supported by National Natural Science Foundation of China 61702022, Beijing Municipal Education Commission Science and Technology Innovation Project KZ201610005012, China Postdoctoral Science Foundation funded project 2017M610027 and 2018T110019.</t>
  </si>
  <si>
    <t>978-3-030-03338-5; 978-3-030-03337-8</t>
  </si>
  <si>
    <t>10.1007/978-3-030-03338-5_31</t>
  </si>
  <si>
    <t>Computer Science, Artificial Intelligence; Computer Science, Software Engineering; Computer Science, Theory &amp; Methods; Imaging Science &amp; Photographic Technology</t>
  </si>
  <si>
    <t>Computer Science; Imaging Science &amp; Photographic Technology</t>
  </si>
  <si>
    <t>BT6ZN</t>
  </si>
  <si>
    <t>WOS:000846890200031</t>
  </si>
  <si>
    <t>Wu, WB; Ghazali, M; Huspi, SH</t>
  </si>
  <si>
    <t>Wu, Wenbo; Ghazali, Masitah; Huspi, Sharin Hazlin</t>
  </si>
  <si>
    <t>A Multimodal Feature Fusion Model for User Interest Prediction in Social Networks</t>
  </si>
  <si>
    <t>IEEE ACCESS</t>
  </si>
  <si>
    <t>Interest prediction; multimodality; social network; user profiling; Interest prediction; multimodality; social network; user profiling</t>
  </si>
  <si>
    <t>CLASSIFICATION</t>
  </si>
  <si>
    <t>As social networks grow, users increasingly share images that reflect their interests, offering valuable data for constructing user profiles. Predicting user interests based on social media content is a crucial task, yet previously assembled datasets based on user interests have limited classifications and can only be used to distinguish coarse-grained interests. In addition, traditional models often rely solely on either text or image data, limiting their predictive accuracy. To solve these problems, we constructed a multimodal dataset and proposed the Multimodal Feature Fusion Model for Interest Prediction (MFM_IP). First, to provide sufficiently fine-grained data for interest classification, we collected images from 24 classes. Second, we utilized the Google Cloud Vision API to extract keyword text from these images and created a multimodal dataset based on visual and textual data. Finally, to make full use of multimodal features, we extracted visual image and keyword text features and designed a feature enhancement and fusion model to predict user interest based on the processed features. Experimental results showed that the performance of the multimodal interest prediction model proposed in this study was better than those of other existing baseline models.</t>
  </si>
  <si>
    <t>[Wu, Wenbo; Ghazali, Masitah; Huspi, Sharin Hazlin] Univ Teknol Malaysia, Fac Comp, Skudai 81310, Johor Bahru, Malaysia; [Wu, Wenbo] Minnan Sci &amp; Technol Coll, Sch Comp Informat, Quanzhou 362332, Peoples R China; [Wu, Wenbo] Univ Fujian Prov, MinNan Sci &amp; Technol Univ, Key Lab Big Data &amp; Artificial Intelligence, Quanzhou 362332, Peoples R China</t>
  </si>
  <si>
    <t>Universiti Teknologi Malaysia; Minnan Science &amp; Technology College; Minnan Science &amp; Technology College</t>
  </si>
  <si>
    <t>Wu, WB (corresponding author), Univ Teknol Malaysia, Fac Comp, Skudai 81310, Johor Bahru, Malaysia.;Wu, WB (corresponding author), Minnan Sci &amp; Technol Coll, Sch Comp Informat, Quanzhou 362332, Peoples R China.;Wu, WB (corresponding author), Univ Fujian Prov, MinNan Sci &amp; Technol Univ, Key Lab Big Data &amp; Artificial Intelligence, Quanzhou 362332, Peoples R China.</t>
  </si>
  <si>
    <t>wuwenbo971@gmail.com</t>
  </si>
  <si>
    <t>Ghazali, Masitah/C-9626-2011</t>
  </si>
  <si>
    <t>Ghazali, Masitah/0000-0001-5720-175X; , SHARIN HAZLIN/0000-0002-7591-7249; Wu, Wenbo/0009-0006-0315-1666</t>
  </si>
  <si>
    <t>Department of Education, Fujian Province, China [FBJG20210123, JAT231173]</t>
  </si>
  <si>
    <t>Department of Education, Fujian Province, China</t>
  </si>
  <si>
    <t>This work was supported in part by the Department of Education, Fujian Province, China, under Grant FBJG20210123 and Grant JAT231173.</t>
  </si>
  <si>
    <t>IEEE-INST ELECTRICAL ELECTRONICS ENGINEERS INC</t>
  </si>
  <si>
    <t>PISCATAWAY</t>
  </si>
  <si>
    <t>445 HOES LANE, PISCATAWAY, NJ 08855-4141 USA</t>
  </si>
  <si>
    <t>2169-3536</t>
  </si>
  <si>
    <t>IEEE Access</t>
  </si>
  <si>
    <t>10.1109/ACCESS.2025.3637590</t>
  </si>
  <si>
    <t>Computer Science, Information Systems; Engineering, Electrical &amp; Electronic; Telecommunications</t>
  </si>
  <si>
    <t>Science Citation Index Expanded (SCI-EXPANDED)</t>
  </si>
  <si>
    <t>Computer Science; Engineering; Telecommunications</t>
  </si>
  <si>
    <t>Y3416</t>
  </si>
  <si>
    <t>WOS:001641511700024</t>
  </si>
  <si>
    <t>Yassin, FM; Lazzez, O; Ouarda, W; Alimi, AM</t>
  </si>
  <si>
    <t>Abushama, H; Babikir, SF</t>
  </si>
  <si>
    <t>Yassin, Fatima Mohamed; Lazzez, Onsa; Ouarda, Wael; Alimi, Adel M.</t>
  </si>
  <si>
    <t>Travel User Interest Discovery from Visual Shared Data in Social Networks</t>
  </si>
  <si>
    <t>PROCEEDINGS OF 2017 SUDAN CONFERENCE ON COMPUTER SCIENCE AND INFORMATION TECHNOLOGY (SCCSIT)</t>
  </si>
  <si>
    <t>Sudan Conference on Computer Science and Information Technology (SCCSIT)</t>
  </si>
  <si>
    <t>NOV 17-19, 2017</t>
  </si>
  <si>
    <t>Univ W Kurdufan, Elnuhood, SUDAN</t>
  </si>
  <si>
    <t>IEEE,IEEE Reg 8</t>
  </si>
  <si>
    <t>Univ W Kurdufan</t>
  </si>
  <si>
    <t>Social networks; social visual information; travel user interest; CNN; Ontology</t>
  </si>
  <si>
    <t>Social networks are virtual environments where users express their opinions, preferences and interests. All shared information in Social Networks like Facebook, Twitter, LinkedIn can be very useful to understand citizen's interest. The visual shared data in social networks can express many latent knowledge about user' interests in such topics especially the travel topic. This study aims to discover the travel user interest through the huge number of social images shared daily. In this paper, we propose a comparison between approaches based on Feedforward learning of Convolutional Neural Network (CNN) architectures GoogleNet and VGG'19 trained on Places365 Dataset for visual object Recognition. Once objects are recognized in images, we propose an Ontology based decision system for travel user interest prediction. We have constructed a new database of shared images in Sudanese and Tunisian Facebook accounts. We achieve classification rates of 93% and 87% using respectively GoogleNet and VGG'19 CNN architectures on Sudanese Facebook users compared to the opinion of the expert 78%, and classification rates of 80% and 77% using respectively GoogleNet and VGG'19 CNN architectures on Tunisian Facebook users compared to the opinion of the expert 82%. The travel interest is hard task done by expert then our approaches based on CNN, GoogleNet and VGG'19 architectures can facilitate the interest of travel topic make it easy to discover is the user interest in travel or not, other thing the GoogleNet architecture leading to a better performance and improving the classification accuracy than VGG'19.</t>
  </si>
  <si>
    <t>[Yassin, Fatima Mohamed] Sudan Univ Sci &amp; Technol, Fac Comp Sci &amp; Informat Technol, Khartoum, Sudan; [Lazzez, Onsa; Ouarda, Wael] Univ Sfax, ReGIM Lab, Sfax, Tunisia; [Alimi, Adel M.] Natl Engn Sch Sfax, ReGIM Lab, Res Grp, Sfax, Tunisia; [Alimi, Adel M.] Natl Engn Sch Sfax, Sfax, Tunisia</t>
  </si>
  <si>
    <t>Universite de Sfax; Universite de Sfax; Ecole Nationale dIngenieurs de Sfax (ENIS); Universite de Sfax; Ecole Nationale dIngenieurs de Sfax (ENIS)</t>
  </si>
  <si>
    <t>Yassin, FM (corresponding author), Sudan Univ Sci &amp; Technol, Fac Comp Sci &amp; Informat Technol, Khartoum, Sudan.</t>
  </si>
  <si>
    <t>Fatima.m.y.mostafa@ieee.org; onsa.lazzez.tn@ieee.org; wael.ouarda@ieee.org; adel.alimi@ieee.org</t>
  </si>
  <si>
    <t>ouarda, wael/GQP-6480-2022; Alimi, Adel M/A-5697-2012</t>
  </si>
  <si>
    <t>ouarda, wael/0000-0002-6338-7092; Alimi, Adel M/0000-0002-0642-3384</t>
  </si>
  <si>
    <t>978-1-5386-0667-4</t>
  </si>
  <si>
    <t>Computer Science, Theory &amp; Methods</t>
  </si>
  <si>
    <t>BP1SN</t>
  </si>
  <si>
    <t>WOS:000540739300009</t>
  </si>
  <si>
    <t>Ahn, D; Kim, T; Hyun, SJ; Lee, D</t>
  </si>
  <si>
    <t>Zhong, N; Gong, Z; Cheung, YM; Lingras, P; Szczepaniak, PS; Suzuki, E</t>
  </si>
  <si>
    <t>Ahn, Dabi; Kim, Taehun; Hyun, Soon J.; Lee, Dongman</t>
  </si>
  <si>
    <t>Inferring User Interest using Familiarity and Topic Similarity with Social Neighbors in Facebook</t>
  </si>
  <si>
    <t>2012 IEEE/WIC/ACM INTERNATIONAL CONFERENCE ON WEB INTELLIGENCE AND INTELLIGENT AGENT TECHNOLOGY (WI-IAT 2012), VOL 1</t>
  </si>
  <si>
    <t>11th IEEE/WIC/ACM International Joint Conference on Web Intelligence and Intelligent Agent Technology (WI-IAT)</t>
  </si>
  <si>
    <t>DEC 04-07, 2012</t>
  </si>
  <si>
    <t>Macau, PEOPLES R CHINA</t>
  </si>
  <si>
    <t>IEEE,Assoc Comp Machinery,Web Intelligence Consortium,IEEE Comp Soc,Univ Macau,Hong Kong Baptist Univ,IEEE Comp Soc Tech Comm Intelligent Informat,ACM SIGART</t>
  </si>
  <si>
    <t>user interest inference; social correlation; topic analysis; social network analysis</t>
  </si>
  <si>
    <t>Uncovering user interest plays an important role to develop personalized systems in various fields including the Web and pervasive computing. In particular, online social networks (OSNs) are being spotlighted as the means to understand users' social behavior out of abundant online social information. In this paper, we explore a computational method of inferring user interest in Facebook by combining the degree of familiarity and topic similarity with social neighbors based on social correlation phenomenon. By conducting a questionnaire survey, we demonstrate that our proposed method increases the accuracy of inference by 12.4% compared to existing methods which do not consider the latent topic structure implied in social contents.</t>
  </si>
  <si>
    <t>[Ahn, Dabi; Kim, Taehun; Hyun, Soon J.; Lee, Dongman] Korea Adv Inst Sci &amp; Technol, Dept Comp Sci, Daejeon 305701, South Korea</t>
  </si>
  <si>
    <t>Korea Advanced Institute of Science &amp; Technology (KAIST)</t>
  </si>
  <si>
    <t>Ahn, D (corresponding author), Korea Adv Inst Sci &amp; Technol, Dept Comp Sci, Daejeon 305701, South Korea.</t>
  </si>
  <si>
    <t>andabi@kaist.ac.kr; kingmbc@kaist.ac.kr; sjhyun@kaist.ac.kr; dlee@kaist.ac.kr</t>
  </si>
  <si>
    <t>Hyun, Soon/C-1748-2011</t>
  </si>
  <si>
    <t>KCC (Korea Communications Commission), Korea, under RD program [KCA-2012-11911-05005]</t>
  </si>
  <si>
    <t>KCC (Korea Communications Commission), Korea, under RD program</t>
  </si>
  <si>
    <t>This research was supported by the KCC (Korea Communications Commission), Korea, under the R&amp;D program supervised by the KCA (Korea Communications Agency) (KCA-2012-11911-05005).</t>
  </si>
  <si>
    <t>IEEE COMPUTER SOC</t>
  </si>
  <si>
    <t>LOS ALAMITOS</t>
  </si>
  <si>
    <t>10662 LOS VAQUEROS CIRCLE, PO BOX 3014, LOS ALAMITOS, CA 90720-1264 USA</t>
  </si>
  <si>
    <t>978-0-7695-4880-7; 978-1-4673-6057-9</t>
  </si>
  <si>
    <t>10.1109/WI-IAT.2012.64</t>
  </si>
  <si>
    <t>Computer Science, Artificial Intelligence; Computer Science, Theory &amp; Methods; Engineering, Electrical &amp; Electronic</t>
  </si>
  <si>
    <t>Computer Science; Engineering</t>
  </si>
  <si>
    <t>BJ3ER</t>
  </si>
  <si>
    <t>WOS:000423016400027</t>
  </si>
  <si>
    <t>Zarrinkalam, F; Fani, H; Bagheri, E; Kahani, M; Du, WC</t>
  </si>
  <si>
    <t>Zarrinkalam, Fattane; Fani, Hossein; Bagheri, Ebrahim; Kahani, Mohsen; Du, Weichang</t>
  </si>
  <si>
    <t>Semantics-enabled User Interest Detection from Twitter</t>
  </si>
  <si>
    <t>2015 IEEE/WIC/ACM INTERNATIONAL CONFERENCE ON WEB INTELLIGENCE AND INTELLIGENT AGENT TECHNOLOGY (WI-IAT), VOL 1</t>
  </si>
  <si>
    <t>IEEE/WIC/ACM International Conference on Web Intelligence and Intelligent Agent Technology (WI-IAT)</t>
  </si>
  <si>
    <t>DEC 06-09, 2015</t>
  </si>
  <si>
    <t>IEEE,DataSpark,IEEE Comp Soc,Web Intelligence Consortium,Assoc Comp Machinery,Memet Comp Soc,Joint NTU UBC Res Ctr Excellence Act Living Elderly,Singapore Management Univ, Living Analyt Res Ctr,Nanyang Technol Univ</t>
  </si>
  <si>
    <t>User Interest Detection; Social Network Analysis; Twitter; Semantic Web; Semantic Annotation</t>
  </si>
  <si>
    <t>Social networks enable users to freely communicate with each other and share their recent news, ongoing activities or views about different topics. As a result, user interest detection from social networks has been the subject of increasing attention. Some recent works have proposed to enrich social posts by annotating them with unambiguous relevant ontological concepts extracted from external knowledge bases and model user interests as a bag of concepts. However, in the bag of concepts approach, each topic of interest is represented as an individual concept that is already predefined in the knowledge base. Therefore, it is not possible to infer fine-grained topics of interest, which are only expressible through a collection of multiple concepts or emerging topics, which are not yet defined in the knowledge base. To address these issues, we view each topic of interest as a conjunction of several concepts, which are temporally correlated on Twitter. Based on this, we extract active topics within a given time interval and determine a users inclination towards these active topics. We demonstrate the effectiveness of our approach in the context of a personalized news recommendation system. We show through extensive experimentation that our work is able to improve the state of the art.</t>
  </si>
  <si>
    <t>[Zarrinkalam, Fattane; Kahani, Mohsen] Ferdowsi Univ Mashhad, Mashhad, Iran; [Fani, Hossein; Du, Weichang] Univ New Brunswick, Fredericton, NB E3B 5A3, Canada; [Fani, Hossein; Bagheri, Ebrahim] Ryerson Univ, Toronto, ON, Canada</t>
  </si>
  <si>
    <t>Ferdowsi University Mashhad; University of New Brunswick; Toronto Metropolitan University</t>
  </si>
  <si>
    <t>Zarrinkalam, F (corresponding author), Ferdowsi Univ Mashhad, Mashhad, Iran.</t>
  </si>
  <si>
    <t>Kahani, Mohsen/P-6849-2014; Zarrinkalam, Fattane/AAI-1083-2019; Fani, Hossein/W-7550-2019</t>
  </si>
  <si>
    <t>Kahani, Mohsen/0000-0002-2603-6066; Bagheri, Ebrahim/0000-0002-5148-6237;</t>
  </si>
  <si>
    <t>978-1-4673-9618-9</t>
  </si>
  <si>
    <t>10.1109/WI-IAT.2015.182</t>
  </si>
  <si>
    <t>Computer Science, Theory &amp; Methods; Engineering, Electrical &amp; Electronic</t>
  </si>
  <si>
    <t>BG9GF</t>
  </si>
  <si>
    <t>WOS:000393162800080</t>
  </si>
  <si>
    <t>Personalization of Instruction: Design Dimensions and Implications for Cognition</t>
  </si>
  <si>
    <t>JOURNAL OF EXPERIMENTAL EDUCATION</t>
  </si>
  <si>
    <t>Cognition; education; instructional design; mathematics; personalization; relevance</t>
  </si>
  <si>
    <t>STORY PROBLEMS; CONTEXT PERSONALIZATION; MATHEMATICS; SCHOOL; PERFORMANCE; KNOWLEDGE; STUDENTS; REPRESENTATIONS; COMPUTER; CONCRETE</t>
  </si>
  <si>
    <t>Instruction can be made relevant to students when it draws upon and utilizes their interests, experiences, and funds of knowledge in productive ways to support classroom learning. This approach has been referred to as context personalization. In this paper, we discuss the cognitive basis of personalization interventions, including theories related to grounding via concrete experience, activation of funds of knowledge, and cognitive load. We discuss a series of interventions in which different approaches to personalization, each of which involves a different operationalization of how instruction can be made relevant, are compared in studies of mathematics learning, often involving intelligent tutoring systems. We show how results vary for these interventions based on the degree to which personalization is designed to match with and draw upon learners' unique quantitative experiences, based on prior cognitive characteristics of learners and based on the degree of ownership and control students experience in the learning environment.</t>
  </si>
  <si>
    <t>[Walkington, Candace] Southern Methodist Univ, Annette Caldwell Simmons Sch Educ &amp; Human Dev, Dept Teaching &amp; Learning, Dallas, TX USA; [Bernacki, Matthew L.] Univ Nevada, Coll Educ, Dept Educ Psychol &amp; Higher Educ, Las Vegas, NV 89154 USA</t>
  </si>
  <si>
    <t>Walkington, C (corresponding author), 6401 Airline,Suite 301, Dallas, TX 75205 USA.</t>
  </si>
  <si>
    <t>Walkington, Candace/0000-0002-2338-8760; Bernacki, Matthew/0000-0003-1279-2829</t>
  </si>
  <si>
    <t>0022-0973</t>
  </si>
  <si>
    <t>1940-0683</t>
  </si>
  <si>
    <t>J EXP EDUC</t>
  </si>
  <si>
    <t>J. Exp. Educ.</t>
  </si>
  <si>
    <t>10.1080/00220973.2017.1380590</t>
  </si>
  <si>
    <t>FR1UC</t>
  </si>
  <si>
    <t>WOS:000418851900004</t>
  </si>
  <si>
    <t>Piao, GY; Breslin, JG</t>
  </si>
  <si>
    <t>Piao, Guangyuan; Breslin, John G.</t>
  </si>
  <si>
    <t>Inferring user interests in microblogging social networks: a survey</t>
  </si>
  <si>
    <t>USER MODELING AND USER-ADAPTED INTERACTION</t>
  </si>
  <si>
    <t>User modeling; User interests; User profiles; Social web; Microblogging; Twitter; Social networks; Information filtering; Recommender systems; Personalization; Survey</t>
  </si>
  <si>
    <t>With the growing popularity of microblogging services such as Twitter in recent years, an increasing number of users are using these services in their daily lives. The huge volume of information generated by users raises new opportunities in various applications and areas. Inferring user interests plays a significant role in providing personalized recommendations on microblogging services, and also on third-party applications providing social logins via these services, especially in cold-start situations. In this survey, we review user modeling strategies with respect to inferring user interests from previous studies. To this end, we focus on four dimensions of inferring user interest profiles: (1) data collection, (2) representation of user interest profiles, (3) construction and enhancement of user interest profiles, and (4) the evaluation of the constructed profiles. Through this survey, we aim to provide an overview of state-of-the-art user modeling strategies for inferring user interest profiles on microblogging social networks with respect to the four dimensions. For each dimension, we review and summarize previous studies based on specified criteria. Finally, we discuss some challenges and opportunities for future work in this research domain.</t>
  </si>
  <si>
    <t>[Piao, Guangyuan; Breslin, John G.] Natl Univ Ireland Galway, Data Sci Inst, Insight Ctr Data Analyt, Galway, Ireland</t>
  </si>
  <si>
    <t>Ollscoil na Gaillimhe-University of Galway</t>
  </si>
  <si>
    <t>Piao, GY (corresponding author), Natl Univ Ireland Galway, Data Sci Inst, Insight Ctr Data Analyt, Galway, Ireland.</t>
  </si>
  <si>
    <t>guangyuan.piao@insight-centre.org</t>
  </si>
  <si>
    <t>Breslin, John/B-7025-2015</t>
  </si>
  <si>
    <t>Breslin, John/0000-0001-5790-050X; Piao, Guangyuan/0000-0003-0516-2802</t>
  </si>
  <si>
    <t>Science Foundation Ireland (SFI) [SFI/12/RC/2289]</t>
  </si>
  <si>
    <t>Science Foundation Ireland (SFI)(Science Foundation Ireland (SFI))</t>
  </si>
  <si>
    <t>This publication has emanated from research conducted with the financial support of Science Foundation Ireland (SFI) under Grant Number SFI/12/RC/2289 (Insight Centre for Data Analytics). Thanks for the anonymous reviewers and the editor for their constructive feedback to improve this work.</t>
  </si>
  <si>
    <t>DORDRECHT</t>
  </si>
  <si>
    <t>VAN GODEWIJCKSTRAAT 30, 3311 GZ DORDRECHT, NETHERLANDS</t>
  </si>
  <si>
    <t>0924-1868</t>
  </si>
  <si>
    <t>1573-1391</t>
  </si>
  <si>
    <t>USER MODEL USER-ADAP</t>
  </si>
  <si>
    <t>User Model. User-Adapt. Interact.</t>
  </si>
  <si>
    <t>10.1007/s11257-018-9207-8</t>
  </si>
  <si>
    <t>Computer Science, Cybernetics</t>
  </si>
  <si>
    <t>GT7TC</t>
  </si>
  <si>
    <t>Green Submitted, Bronze</t>
  </si>
  <si>
    <t>WOS:000444730900003</t>
  </si>
  <si>
    <t>Zahra, K; Azam, F; Butt, WH; Ilyas, F</t>
  </si>
  <si>
    <t>Kim, KJ; Baek, N</t>
  </si>
  <si>
    <t>Zahra, Kinza; Azam, Farooque; Butt, Wasi Haider; Ilyas, Fauqia</t>
  </si>
  <si>
    <t>User Identification on Social Networks Through Text Mining Techniques: A Systematic Literature Review</t>
  </si>
  <si>
    <t>INFORMATION SCIENCE AND APPLICATIONS 2018, ICISA 2018</t>
  </si>
  <si>
    <t>Lecture Notes in Electrical Engineering</t>
  </si>
  <si>
    <t>iCatse International Conference on Information Science and Applications (ICISA)</t>
  </si>
  <si>
    <t>JUN 25-27, 2018</t>
  </si>
  <si>
    <t>Hong Kong, HONG KONG</t>
  </si>
  <si>
    <t>Inst Creat Adv Technologies, Sci &amp; Engn,River Publishers,Korean Ind Secur Forum,Korea Convergence Secur Assoc,Kyonggi Univ,King Mongkuts Univ Technol Thonburi,Natl Def Univ Malaysia,Univ Canterbury,Univ Sci &amp; Technol Beijing,Elect &amp; Telecommunicat Res Inst,Korea Inst Sci &amp; Technol Informat,Kyungpook Natl Univ</t>
  </si>
  <si>
    <t>User identification; Online social networks; Text classification Text mining; Tools</t>
  </si>
  <si>
    <t>CATEGORIZATION; MODEL</t>
  </si>
  <si>
    <t>Social connection between the set of people is known as social network analysis. People keep numerous identities on various online social sites. User-related network data has distinctive information which shows user interests, behavioral patterns, and political views. By using these behaviors individually and collectively are of great help to recognize users across social networks. SLR (Systematic Literature Review) has been performed to distinguish 31 papers published during 2010-2018. The idea is to determine user identification categories that are used to classify users. Furthermore, to identify algorithms, models, methods, and tools that has been suggested since 2010 for user characterization. We have identified 10 algorithms, 19 models, 5 methods and 8 tools that have proposed for 5 user identification categories. Finally, we empirically evaluated that text mining techniques are promising approaches for the identification of users on online social networks.</t>
  </si>
  <si>
    <t>[Zahra, Kinza; Azam, Farooque; Butt, Wasi Haider; Ilyas, Fauqia] NUST, Dept Comp Engn, Coll E&amp;ME, Islamabad 12, Pakistan</t>
  </si>
  <si>
    <t>National University of Sciences &amp; Technology - Pakistan</t>
  </si>
  <si>
    <t>Zahra, K (corresponding author), NUST, Dept Comp Engn, Coll E&amp;ME, Islamabad 12, Pakistan.</t>
  </si>
  <si>
    <t>kinza.zahra15@ce.ceme.edu.pk; farooq@ceme.nust.edu.pk; wasi@ceme.nust.edu.pk; fauqia.ilyas85@ce.ceme.edu.pk</t>
  </si>
  <si>
    <t>Azam, Farooque/AAB-4035-2021; Butt, Wasi Haider/AAH-8517-2019</t>
  </si>
  <si>
    <t>Butt, Wasi Haider/0000-0002-1347-3662</t>
  </si>
  <si>
    <t>233 SPRING STREET, NEW YORK, NY 10013, UNITED STATES</t>
  </si>
  <si>
    <t>1876-1100</t>
  </si>
  <si>
    <t>1876-1119</t>
  </si>
  <si>
    <t>978-981-13-1056-0; 978-981-13-1055-3</t>
  </si>
  <si>
    <t>LECT NOTES ELECTR EN</t>
  </si>
  <si>
    <t>10.1007/978-981-13-1056-0_49</t>
  </si>
  <si>
    <t>Information Science &amp; Library Science</t>
  </si>
  <si>
    <t>Conference Proceedings Citation Index - Social Science &amp; Humanities (CPCI-SSH)</t>
  </si>
  <si>
    <t>BL6MW</t>
  </si>
  <si>
    <t>WOS:000454443400047</t>
  </si>
  <si>
    <t>Zhao, HY; Cai, GH; Zhu, JM; Dong, ZH; Xu, J; Wen, JR</t>
  </si>
  <si>
    <t>Zhao, Haiyuan; Cai, Guohao; Zhu, Jieming; Dong, Zhenhua; Xu, Jun; Wen, Ji-Rong</t>
  </si>
  <si>
    <t>Counteracting Duration Bias in Video Recommendation via CounterfactualWatch Time</t>
  </si>
  <si>
    <t>PROCEEDINGS OF THE 30TH ACM SIGKDD CONFERENCE ON KNOWLEDGE DISCOVERY AND DATA MINING, KDD 2024</t>
  </si>
  <si>
    <t>30th ACM SIGKDD Conference on Knowledge Discovery and Data Mining</t>
  </si>
  <si>
    <t>AUG 25-29, 2024</t>
  </si>
  <si>
    <t>Barcelona, SPAIN</t>
  </si>
  <si>
    <t>Assoc Comp Machinery,ACM SIGKDD,ACM SIGMOD</t>
  </si>
  <si>
    <t>video recommendation; duration bias; user modelling</t>
  </si>
  <si>
    <t>In video recommendation, an ongoing effort is to satisfy users' personalized information needs by leveraging their logged watch time. However, watch time prediction suffers from duration bias, hindering its ability to reflect users' interests accurately. Existing label-correction approaches attempt to uncover user interests through grouping and normalizing observed watch time according to video duration. Although effective to some extent, we found that these approaches regard completely played records (i.e., a user watches the entire video) as equally high interest, which deviates from what we observed on real datasets: users have varied explicit feedback proportion when completely playing videos. In this paper, we introduce the counterfactual watch time (CWT), the potential watch time a user would spend on the video if its duration is sufficiently long. Analysis shows that the duration bias is caused by the truncation of CWT due to the video duration limitation, which usually occurs on those completely played records. Besides, a Counterfactual Watch Model (CWM) is proposed, revealing that CWT equals the time users get the maximum benefit from video recommender systems. Moreover, a cost-based transform function is defined to transform the CWT into the estimation of user interest, and the model can be learned by optimizing a counterfactual likelihood function defined over observed user watch times. Extensive experiments on three real video recommendation datasets and online A/B testing demonstrated that CWM effectively enhanced video recommendation accuracy and counteracted the duration bias.</t>
  </si>
  <si>
    <t>[Zhao, Haiyuan] Renmin Univ China, Sch Informat, Beijing, Peoples R China; [Cai, Guohao; Zhu, Jieming; Dong, Zhenhua] Huawei Noahs Ark Lab, Shenzhen, Peoples R China; [Xu, Jun; Wen, Ji-Rong] Renmin Univ China, Gaoling Sch Artificial Intelligence, Beijing, Peoples R China</t>
  </si>
  <si>
    <t>Renmin University of China; Huawei Technologies; Renmin University of China</t>
  </si>
  <si>
    <t>Xu, J (corresponding author), Renmin Univ China, Gaoling Sch Artificial Intelligence, Beijing, Peoples R China.</t>
  </si>
  <si>
    <t>haiyuanzhao@ruc.edu.cn; caiguohaol@huawei.com; jiemingzhu@ieee.org; dongzhenhua@huawei.com; junxu@ruc.edu.cn; jrwen@ruc.edu.cn</t>
  </si>
  <si>
    <t>dong, zhenhua/HOC-9104-2023</t>
  </si>
  <si>
    <t>dong, zhenhua/0000-0002-2231-4663; Cai, Guohao/0000-0002-9000-857X</t>
  </si>
  <si>
    <t>National Key R&amp;D Program of China [2023YFA1008704]; National Natural Science Foundation of China [62377044]; Beijing Key Laboratory of Big Data Management and Analysis Methods, Major Innovation &amp; Planning Interdisciplinary Platform for the Double-First Class Initiative; Renmin University of China; PCC@RUC</t>
  </si>
  <si>
    <t>National Key R&amp;D Program of China; National Natural Science Foundation of China(National Natural Science Foundation of China (NSFC)); Beijing Key Laboratory of Big Data Management and Analysis Methods, Major Innovation &amp; Planning Interdisciplinary Platform for the Double-First Class Initiative; Renmin University of China; PCC@RUC</t>
  </si>
  <si>
    <t>This work was funded by the National Key R&amp;D Program of China (2023YFA1008704), the National Natural Science Foundation of China (No. 62377044), Beijing Key Laboratory of Big Data Management and Analysis Methods, Major Innovation &amp; Planning Interdisciplinary Platform for the Double-First Class Initiative, funds for building world-class universities (disciplines) of Renmin University of China, and PCC@RUC.</t>
  </si>
  <si>
    <t>979-8-4007-0490-1</t>
  </si>
  <si>
    <t>10.1145/3637528.3671817</t>
  </si>
  <si>
    <t>BX7OY</t>
  </si>
  <si>
    <t>WOS:001324524204054</t>
  </si>
  <si>
    <t>Renninger, KA; Ewen, L; Lasher, AK</t>
  </si>
  <si>
    <t>Individual interest as context in expository text and mathematical word problems</t>
  </si>
  <si>
    <t>LEARNING AND INSTRUCTION</t>
  </si>
  <si>
    <t>expository text; mathematical word problems; interest</t>
  </si>
  <si>
    <t>KNOWLEDGE; MOTIVATION</t>
  </si>
  <si>
    <t>The profiles and performance of three 11-year-old students are detailed as the basis for discussing the practical implications of inserting contexts of well-developed and less-developed individual interest into expository text and mathematical word problems. First, the theoretical framework informing the study of individual interest is overviewed - where individual interest refers to the relatively enduring predisposition of a person to re-engage particular classes of objects, events, or ideas, and includes two inter-related components: stored knowledge and stored value. Following this, the cases of three students who vary in both ability and individual interest for working in the domains of reading and mathematics are described. Discussion centers on the potential of well-developed interest to provide students with a scaffold for working with assigned tasks. Inserted contexts for which students have a well-developed interest appear to enable students to focus on meaning in tasks and provide a basis for focusing students on task demands. These contexts can also mask difficulties or feel more difficult to students than passages or problems with contexts for which they have less-developed interest. The implications and importance of teacher support as students work with contexts of well-developed individual interest are described. (C) 2002 Elsevier Science Ltd. All rights reserved.</t>
  </si>
  <si>
    <t>Swarthmore Coll, Program Educ, Swarthmore, PA 19087 USA; Friends Cent Sch, Wynnewood, PA 19096 USA; Math Forum, Philadelphia, PA 19104 USA</t>
  </si>
  <si>
    <t>Swarthmore College</t>
  </si>
  <si>
    <t>Renninger, KA (corresponding author), Swarthmore Coll, Program Educ, 500 Coll Ave, Swarthmore, PA 19087 USA.</t>
  </si>
  <si>
    <t>0959-4752</t>
  </si>
  <si>
    <t>LEARN INSTR</t>
  </si>
  <si>
    <t>Learn Instr.</t>
  </si>
  <si>
    <t>PII S0959-4752(01)00012-3</t>
  </si>
  <si>
    <t>10.1016/S0959-4752(01)00012-3</t>
  </si>
  <si>
    <t>582QJ</t>
  </si>
  <si>
    <t>WOS:000177362400006</t>
  </si>
  <si>
    <t>Shemshack, A; Kinshuk; Spector, JM</t>
  </si>
  <si>
    <t>Shemshack, Atikah; Kinshuk; Spector, Jonathan Michael</t>
  </si>
  <si>
    <t>A comprehensive analysis of personalized learning components</t>
  </si>
  <si>
    <t>JOURNAL OF COMPUTERS IN EDUCATION</t>
  </si>
  <si>
    <t>Personalized learning; Adaptive learning; Intelligent tutoring systems (ITSs); Technology-enhanced learning (TEL); Smart learning environments (SLEs); Learning analytics</t>
  </si>
  <si>
    <t>CONTEXT-AWARE; ACHIEVEMENT; ANALYTICS; SYSTEMS; DESIGN</t>
  </si>
  <si>
    <t>Personalized learning is a learning approach that aims to personalize the learning experience according to the unique needs, goals, and skills of individuals which can be achieved by using current instructional technology that provides unique learning experiences in different learning environments. Technology is the main component that will enable and enrich personalized learning experience; however, even though technology is available to personalize the learning experience, there is still a lack of unified agreement on what components need to be considered for a dynamic personalized learning approach that is to be able to provide a unique and effective learning experience to each learner. To address this need, this study aims to analyze and synthesize different personalized learning approaches that consider different learning components, so that we have an evolving agreement on personalized learning models and approaches. The findings of this research identified the following main components: learner profiles and attitudes, previous knowledge and beliefs, personalized adaptive learning paths, and flexible self-paced learning environments that are generated by learning analytics. These prominent characteristics imply that a personalized learning environment (PLE) would need to be dynamic to maintain a current record of learner interests and attitudes, past experiences and performance, and activities and interactions likely to match a particular learner and learning goal.</t>
  </si>
  <si>
    <t>[Shemshack, Atikah; Kinshuk; Spector, Jonathan Michael] Univ North Texas, Denton, TX 76203 USA</t>
  </si>
  <si>
    <t>University of North Texas System; University of North Texas Denton</t>
  </si>
  <si>
    <t>Shemshack, A (corresponding author), Univ North Texas, Denton, TX 76203 USA.</t>
  </si>
  <si>
    <t>atikahshemshack@my.unt.edu; kinshuk@unt.edu; mike.spector@unt.edu</t>
  </si>
  <si>
    <t>Kinshuk, Dr/D-3764-2014; Spector, Jonathan/B-1780-2014; Shehack, Atikah/AAP-7565-2021</t>
  </si>
  <si>
    <t>Shehack, Atikah/0000-0003-4964-6171</t>
  </si>
  <si>
    <t>SPRINGER HEIDELBERG</t>
  </si>
  <si>
    <t>HEIDELBERG</t>
  </si>
  <si>
    <t>TIERGARTENSTRASSE 17, D-69121 HEIDELBERG, GERMANY</t>
  </si>
  <si>
    <t>2197-9987</t>
  </si>
  <si>
    <t>2197-9995</t>
  </si>
  <si>
    <t>J COMPUT EDUC</t>
  </si>
  <si>
    <t>J. Comput. Educ.</t>
  </si>
  <si>
    <t>10.1007/s40692-021-00188-7</t>
  </si>
  <si>
    <t>APR 2021</t>
  </si>
  <si>
    <t>WI6TA</t>
  </si>
  <si>
    <t>WOS:000643196800001</t>
  </si>
  <si>
    <t>B</t>
  </si>
  <si>
    <t>Rhine, S; Harrington, R; Starr, C</t>
  </si>
  <si>
    <t>Rhine, Steve; Harrington, Rachel; Starr, Colin</t>
  </si>
  <si>
    <t>MODELING AND WORD PROBLEMS</t>
  </si>
  <si>
    <t>HOW STUDENTS THINK WHEN DOING ALGEBRA</t>
  </si>
  <si>
    <t>Article; Book Chapter</t>
  </si>
  <si>
    <t>INDIVIDUAL INTEREST; WORKING-MEMORY; STORY PROBLEMS; STUDENTS; REPRESENTATIONS; MATHEMATICS; CONTEXT; PERSONALIZATION; COMPREHENSION; INSTRUCTION</t>
  </si>
  <si>
    <t>INFORMATION AGE PUBLISHING-IAP</t>
  </si>
  <si>
    <t>CHARLOTTE</t>
  </si>
  <si>
    <t>PO BOX 79049, CHARLOTTE, NC 28271-7047 USA</t>
  </si>
  <si>
    <t>978-1-64113-411-8; 978-1-64113-412-5</t>
  </si>
  <si>
    <t>Book Citation Index – Social Sciences &amp; Humanities (BKCI-SSH)</t>
  </si>
  <si>
    <t>BM6AE</t>
  </si>
  <si>
    <t>WOS:000466052200006</t>
  </si>
  <si>
    <t>Hardway, C; Seitchik, AE; Kurdziel, LBF; Stroud, MJ; LaTorre, JT; LeBert, C</t>
  </si>
  <si>
    <t>Hardway, Christina; Seitchik, Allison E.; Kurdziel, Laura B. F.; Stroud, Michael J.; LaTorre, Joseph T.; LeBert, Cassidy</t>
  </si>
  <si>
    <t>Online and Classroom Simulations: Does Video Use Inspire Interest, Comprehensibility, or Achieve Learning Outcomes?</t>
  </si>
  <si>
    <t>JOURNAL OF EDUCATIONAL COMPUTING RESEARCH</t>
  </si>
  <si>
    <t>learning; media; cognitive; memory; comprehension; undergraduates</t>
  </si>
  <si>
    <t>COGNITIVE LOAD THEORY; EMOTIONAL DESIGN; SEDUCTIVE DETAILS; EPISTEMIC CURIOSITY; MULTIMEDIA; SCIENCE; PERFORMANCE; BENEFITS; MEMORY</t>
  </si>
  <si>
    <t>This study examined whether a video illustration of a complex phenomenon promoted learner interest, perceived comprehensibility, and better learning in online- and classroom-based contexts. In the first study, undergraduate participants (N = 101) viewed learning materials which contained a video only, a video and textual explanation, or a textual explanation alone. Participants rated the interestingness and comprehensibility of the instructional materials and completed a learning outcomes test. The second study (N = 56) included the same learning materials in a classroom context. The video presentation of the material did not improve learning outcomes, in either context. Participants in the computer-delivered context who only viewed the text learned the material better than those who had viewed the video. In the classroom-delivered context, the video neither helped nor hurt the learning outcomes, but it also did not significantly boost learners' interest. Taken together, findings from the present study indicate potential limited utility of including video material within these instructional contexts.</t>
  </si>
  <si>
    <t>[Hardway, Christina; Stroud, Michael J.] Merrimack Coll, Dept Psychol, 315 Turnpike St, N Andover, MA 01845 USA; [Hardway, Christina; LaTorre, Joseph T.; LeBert, Cassidy] Merrimack Coll, N Andover, MA 01845 USA; [Seitchik, Allison E.; Kurdziel, Laura B. F.] Merrimack Coll, Psychol, N Andover, MA 01845 USA</t>
  </si>
  <si>
    <t>Merrimack College; Merrimack College; Merrimack College</t>
  </si>
  <si>
    <t>Hardway, C (corresponding author), Merrimack Coll, Dept Psychol, 315 Turnpike St, N Andover, MA 01845 USA.</t>
  </si>
  <si>
    <t>hardwayc@merrimack.edu</t>
  </si>
  <si>
    <t>Seitchik, Allison/0000-0003-3079-422X; Hardway, Christina/0000-0002-1424-0078; Stroud, Michael/0000-0002-4337-9765</t>
  </si>
  <si>
    <t>Ciejek Summer Fellowship; Merrimack College</t>
  </si>
  <si>
    <t>The authors disclosed receipt of the following financial support for the research, authorship, and/or publication of this article: This work was supported by a Ciejek Summer Fellowship and Merrimack College.</t>
  </si>
  <si>
    <t>SAGE PUBLICATIONS INC</t>
  </si>
  <si>
    <t>THOUSAND OAKS</t>
  </si>
  <si>
    <t>2455 TELLER RD, THOUSAND OAKS, CA 91320 USA</t>
  </si>
  <si>
    <t>0735-6331</t>
  </si>
  <si>
    <t>1541-4140</t>
  </si>
  <si>
    <t>J EDUC COMPUT RES</t>
  </si>
  <si>
    <t>J. Educ. Comput. Res.</t>
  </si>
  <si>
    <t>10.1177/0735633117732961</t>
  </si>
  <si>
    <t>HA5RI</t>
  </si>
  <si>
    <t>WOS:000450334000004</t>
  </si>
  <si>
    <t>Beserra, V; Nussbaum, M; Zeni, R; Rodriguez, W; Wurman, G</t>
  </si>
  <si>
    <t>Beserra, Vagner; Nussbaum, Miguel; Zeni, Ricardo; Rodriguez, Werner; Wurman, Gabriel</t>
  </si>
  <si>
    <t>Practising Arithmetic Using Educational Video Games with an Interpersonal Computer</t>
  </si>
  <si>
    <t>EDUCATIONAL TECHNOLOGY &amp; SOCIETY</t>
  </si>
  <si>
    <t>Cross-cultural projects; Intelligent tutoring systems; Shared display; Interpersonal computer; Arithmetic practice; Educational games</t>
  </si>
  <si>
    <t>EXPERIENCES; ENJOYMENT; DESIGN; SCALE</t>
  </si>
  <si>
    <t>Studies show the positive effects that video games can have on student performance and attitude towards learning. In the past few years, strategies have been generated to optimize the use of technological resources with the aim of facilitating widespread adoption of technology in the classroom. Given its low acquisition and maintenance costs, the interpersonal computer allows individual interaction and simultaneous learning with large groups of students. The purpose of this work was to compare arithmetical knowledge acquired by third-grade students through the use of game-based activities and non-game-based activities using an interpersonal computer, with knowledge acquired through the use of traditional paper-and-pencil activities, and to analyze their impact in various socio-cultural contexts. To do this, a quasi-experimental study was conducted with 271 students in three different countries (Brazil, Chile, and Costa Rica), in both rural and urban schools. A set of educational games for practising arithmetic was developed and tested in six schools within these three countries. Results show that there were no significant differences (ANCOVA) in the learning acquired from game-based vs. non-game-based activities. However, both showed a significant difference when compared with the traditional method. Additionally, both groups using the interpersonal computer showed higher levels of student interest than the traditional method group, and these technological methods were seen to be especially effective in increasing learning among weaker students.</t>
  </si>
  <si>
    <t>[Beserra, Vagner; Nussbaum, Miguel; Wurman, Gabriel] Pontificia Univ Catolica Chile, Santiago, Chile; [Zeni, Ricardo] Univ Estadual Paulista, Sao Paulo, Brazil; [Rodriguez, Werner] Univ Costa Rica, San Jose, Costa Rica</t>
  </si>
  <si>
    <t>Pontificia Universidad Catolica de Chile; Universidade Estadual Paulista; Universidad Costa Rica</t>
  </si>
  <si>
    <t>Beserra, V (corresponding author), Pontificia Univ Catolica Chile, Alameda 340, Santiago, Chile.</t>
  </si>
  <si>
    <t>vagner.beserra@gmail.com; mn@ing.puc.cl; jrzeni@feg.unesp.br; werner.rodriguez@ucr.ac.cr; gabow4@gmail.com</t>
  </si>
  <si>
    <t>Beserra, Vagner/AAG-9897-2020; Nussbaum, Miguel/D-1341-2013</t>
  </si>
  <si>
    <t>Beserra, Vagner/0000-0001-6775-5748; Nussbaum, Miguel/0000-0001-5617-5983</t>
  </si>
  <si>
    <t>NATL YUNLIN UNIV SCIENCE &amp; TECHNOLOGY, TAIWAN</t>
  </si>
  <si>
    <t>DOULIU CITY</t>
  </si>
  <si>
    <t>NO 123, SECTION 3, DAXUE RD, DOULIU CITY, YUNKIN COUNTY, TAIWAN</t>
  </si>
  <si>
    <t>1176-3647</t>
  </si>
  <si>
    <t>1436-4522</t>
  </si>
  <si>
    <t>EDUC TECHNOL SOC</t>
  </si>
  <si>
    <t>Educ. Technol. Soc.</t>
  </si>
  <si>
    <t>JUL</t>
  </si>
  <si>
    <t>AQ7BO</t>
  </si>
  <si>
    <t>WOS:000342967800026</t>
  </si>
  <si>
    <t>Chen, RC; Hendry; Huang, CY</t>
  </si>
  <si>
    <t>Chen, Rung-Ching; Hendry; Huang, Chung-Yi</t>
  </si>
  <si>
    <t>A Domain Ontology in Social Networks for Identifying User Interest for Personalized Recommendations</t>
  </si>
  <si>
    <t>JOURNAL OF UNIVERSAL COMPUTER SCIENCE</t>
  </si>
  <si>
    <t>Personalized Recommendation; ontology; social network analysis</t>
  </si>
  <si>
    <t>Social media and the development of web 2.0 encourage the user to participate more interactively in social networks. In social network relationships may be identified by the user posts and interactions. Using this data, the system can make recommendations tailored to specific users. However, when the user is on social network for the first time, the recommendation system cannot make recommendations, since the user has no history. In this paper, we design an ontology combined with social networks. We develop the ontology based on data from users and their friends. Using the user interest and community influences, we propose a system to solve the cold start problem in recommendation systems. The system calculates the similarity between users, using user preferences and uses a rule generating algorithm to create the dynamic inference rule. The ontology is updated each time the content of the personal ontology is updated. The newest ontology will be retained to increase the accuracy the next time the recommendation system is executed.</t>
  </si>
  <si>
    <t>[Chen, Rung-Ching; Hendry; Huang, Chung-Yi] Chaoyang Univ Technol, Taichung, Taiwan</t>
  </si>
  <si>
    <t>Chaoyang University of Technology</t>
  </si>
  <si>
    <t>Chen, RC (corresponding author), Chaoyang Univ Technol, Taichung, Taiwan.</t>
  </si>
  <si>
    <t>crching@cyut.edu.tw; Hendry.honk@gmail.com; chungyi410@gmail.com</t>
  </si>
  <si>
    <t>, Heny/ACL-6413-2022</t>
  </si>
  <si>
    <t>, Heny/0000-0002-7387-2622</t>
  </si>
  <si>
    <t>Ministry of Science, Taiwan [MOST-103-2221-E-324-028, MOST-104-2221-E-324 -019 -MY2]</t>
  </si>
  <si>
    <t>Ministry of Science, Taiwan</t>
  </si>
  <si>
    <t>This paper is supported by Ministry of Science, Taiwan, with project number: MOST-103-2221-E-324-028 and MOST-104-2221-E-324 -019 -MY2</t>
  </si>
  <si>
    <t>GRAZ UNIV TECHNOLGOY, INST INFORMATION SYSTEMS COMPUTER MEDIA-IICM</t>
  </si>
  <si>
    <t>GRAZ</t>
  </si>
  <si>
    <t>INFFELDGASSE 16C, GRAZ, A-8010, AUSTRIA</t>
  </si>
  <si>
    <t>0948-695X</t>
  </si>
  <si>
    <t>J UNIVERS COMPUT SCI</t>
  </si>
  <si>
    <t>J. Univers. Comput. Sci.</t>
  </si>
  <si>
    <t>Computer Science, Software Engineering; Computer Science, Theory &amp; Methods</t>
  </si>
  <si>
    <t>DR4EG</t>
  </si>
  <si>
    <t>WOS:000379853700003</t>
  </si>
  <si>
    <t>Yang, P; Song, Y; Ji, Y</t>
  </si>
  <si>
    <t>Wang, Y; Xiong, H; Argamon, S; Li, XY; Li, JZ</t>
  </si>
  <si>
    <t>Yang, Ping; Song, Yan; Ji, Yang</t>
  </si>
  <si>
    <t>Tag-Based User Interest Discovery Though Keywords Extraction in Social Network</t>
  </si>
  <si>
    <t>BIG DATA COMPUTING AND COMMUNICATIONS</t>
  </si>
  <si>
    <t>1st International Conference on Big Data Computing and Communications (BigCom)</t>
  </si>
  <si>
    <t>AUG 01-03, 2015</t>
  </si>
  <si>
    <t>Taiyuan, PEOPLES R CHINA</t>
  </si>
  <si>
    <t>User interest; User profile; Keyword extraction; Social network</t>
  </si>
  <si>
    <t>We consider the problem of exploiting to discover user interests from social network. User tags in social networks convey abundant implications of user interests, which great benefit various tasks ranging from user profile construction to user similarity calculation based recommendation. However, user interests extraction from social tags suffer from large diversity of word choices due to different user preference, especially the words that quite specific in minority knowledge domains. In addition, the deficiency of uniform concept hierarchy and lack of explicit semantic association between tags obscure the real interests of users. To obtain user interests from tags, we propose a tag normalization algorithm based on world knowledge to underpin the construction of common tags as well as the organization of user hierarchy interest. Experiments with Sina Micro-blog(1) show that our algorithm can infer user's interests better than traditional method based on contents.</t>
  </si>
  <si>
    <t>[Yang, Ping; Song, Yan; Ji, Yang] Beijing Univ Posts &amp; Telecommun, Sch Informat &amp; Commun Engn, Mobile Life &amp; New Media Lab, Beijing 100088, Peoples R China</t>
  </si>
  <si>
    <t>Beijing University of Posts &amp; Telecommunications</t>
  </si>
  <si>
    <t>Yang, P (corresponding author), Beijing Univ Posts &amp; Telecommun, Sch Informat &amp; Commun Engn, Mobile Life &amp; New Media Lab, Beijing 100088, Peoples R China.</t>
  </si>
  <si>
    <t>qianqiuyitong@bupt.edu.cn; songyan@bupt.edu.cn; jiyang@bupt.edu.cn</t>
  </si>
  <si>
    <t>978-3-319-22047-5; 978-3-319-22046-8</t>
  </si>
  <si>
    <t>10.1007/978-3-319-22047-5_29</t>
  </si>
  <si>
    <t>Computer Science, Hardware &amp; Architecture; Computer Science, Information Systems; Computer Science, Interdisciplinary Applications; Computer Science, Theory &amp; Methods</t>
  </si>
  <si>
    <t>BD8HN</t>
  </si>
  <si>
    <t>WOS:000363949100029</t>
  </si>
  <si>
    <t>García-Sánchez, F; García-Díaz, JA; Gómez-Berbís, JM; Valencia-García, R</t>
  </si>
  <si>
    <t>DeLaPrieta, F; Omatu, S; FernandezCaballero, A</t>
  </si>
  <si>
    <t>Garcia-Sanchez, Francisco; Antonio Garcia-Diaz, Jose; Miguel Gomez-Berbis, Juan; Valencia-Garcia, Rafael</t>
  </si>
  <si>
    <t>Ontology-Based Advertisement Recommendation in Social Networks</t>
  </si>
  <si>
    <t>DISTRIBUTED COMPUTING AND ARTIFICIAL INTELLIGENCE</t>
  </si>
  <si>
    <t>15th International Conference on Distributed Computing and Artificial Intelligence (DCAI)</t>
  </si>
  <si>
    <t>JUN 20-22, 2018</t>
  </si>
  <si>
    <t>Toledo, SPAIN</t>
  </si>
  <si>
    <t>Univ Castilla Mancha,Osaka Inst Technol,Univ Salamanca,IBM,Indra,IEEE Syst Man &amp; Cybernet Soc Spain,Junta Castilla Leon,Viewnext,Univ Comillas,Polytechn Univ Valencia, IBM Hackathon Cogs Good</t>
  </si>
  <si>
    <t>Ontology; Recommender system; Advertisement; Social network</t>
  </si>
  <si>
    <t>USER-INTEREST; SYSTEMS</t>
  </si>
  <si>
    <t>With the advent of the Web 2.0 era, a new source of a vast amount of data about users become available. Advertisement recommendation systems are among the applications that can benefit from these data since they can help gain a better understanding of the users' interests and preferences. However, new challenges emerge from the need to deal with heterogeneous data from disparate sources. Semantic technologies, in general, and ontologies, in particular, have proved effective for knowledge management and data integration. In this work, an ontology-based advertisement recommendation system that leverages the data produced by users in social networking sites is proposed.</t>
  </si>
  <si>
    <t>[Garcia-Sanchez, Francisco; Antonio Garcia-Diaz, Jose; Valencia-Garcia, Rafael] Univ Murcia, Fac Informat, Dept Informat &amp; Sistemas, Murcia, Spain; [Miguel Gomez-Berbis, Juan] Univ Carlos III Madrid, Dept Informat, Leganes, Spain</t>
  </si>
  <si>
    <t>University of Murcia; Universidad Carlos III de Madrid</t>
  </si>
  <si>
    <t>García-Sánchez, F (corresponding author), Univ Murcia, Fac Informat, Dept Informat &amp; Sistemas, Murcia, Spain.</t>
  </si>
  <si>
    <t>frgarcia@um.es; joseantonio.garcia8@um.es; juanmiguel.gomez@uc3m.es; valencia@um.es</t>
  </si>
  <si>
    <t>García-Sánchez, Francisco/B-5292-2008; Valencia-Garcia, Rafael/L-4759-2014; Berbís, Juan/M-2795-2017</t>
  </si>
  <si>
    <t>García-Sánchez, Francisco/0000-0003-2667-5359; García, José Antonio/0000-0002-3651-2660; Valencia-Garcia, Rafael/0000-0003-2457-1791;</t>
  </si>
  <si>
    <t>Spanish National Research Agency (AEI); European Regional Development Fund (FEDER/ERDF) through project KBS4FIA [TIN2016-76323-R]</t>
  </si>
  <si>
    <t>Spanish National Research Agency (AEI); European Regional Development Fund (FEDER/ERDF) through project KBS4FIA(European Union (EU))</t>
  </si>
  <si>
    <t>This work has been supported by the Spanish National Research Agency (AEI) and the European Regional Development Fund (FEDER/ERDF) through project KBS4FIA (TIN2016-76323-R).</t>
  </si>
  <si>
    <t>2194-5365</t>
  </si>
  <si>
    <t>978-3-319-94649-8; 978-3-319-94648-1</t>
  </si>
  <si>
    <t>10.1007/978-3-319-94649-8_5</t>
  </si>
  <si>
    <t>Computer Science, Artificial Intelligence; Computer Science, Software Engineering; Computer Science, Theory &amp; Methods</t>
  </si>
  <si>
    <t>BP5UL</t>
  </si>
  <si>
    <t>WOS:000558269400005</t>
  </si>
  <si>
    <t>Kreijkes, P; Kewenig, V; Kuvalja, M; Lee, M; Hofman, JM; Vitello, S; Sellen, A; Rintel, S; Goldstein, DG; Rothschild, D; Tankelevitch, L; Oates, T</t>
  </si>
  <si>
    <t>Kreijkes, Pia; Kewenig, Viktor; Kuvalja, Martina; Lee, Mina; Hofman, Jake M.; Vitello, Sylvia; Sellen, Abigail; Rintel, Sean; Goldstein, Daniel G.; Rothschild, David; Tankelevitch, Lev; Oates, Tim</t>
  </si>
  <si>
    <t>Effects of LLM use and note-taking on reading comprehension and memory: A randomised experiment in secondary schools</t>
  </si>
  <si>
    <t>Generative artificial intelligence; Note-taking; Comprehension; Retention; Secondary education</t>
  </si>
  <si>
    <t>INDIVIDUAL-DIFFERENCES; WORKING-MEMORY; RELIABILITY; INFERENCES; FRAMEWORK; STRATEGY; DEPTH</t>
  </si>
  <si>
    <t>Students' rapid uptake of Generative Artificial Intelligence tools, particularly large language models (LLMs), raises urgent questions about their effects on learning. We compared the impact of LLM use to that of traditional note-taking, or a combination of both, on secondary school students' reading comprehension and retention. We conducted a pre-registered, randomised controlled experiment with within-and between-participant design elements in schools in England. 405 students, aged 14-15 years, studied two text passages and completed comprehension and retention tests three days later. Quantitative results demonstrated that both note-taking alone and combined with LLM use had significant positive effects on retention and comprehension compared to using the LLM alone. Yet, most students preferred using the LLM over note-taking, and perceived it as more helpful. Qualitative results revealed that many students valued the LLM for making complex material more accessible and reducing cognitive load, while they appreciated note-taking for promoting deeper engagement and aiding memory. Additionally, we identified archetypes of prompting behaviour, offering insights into the different ways students interacted with the LLM. Overall, our findings suggest that, while note-taking promotes cognitive engagement and long-term comprehension and retention, LLMs may facilitate initial understanding and student interest. The study reveals the continued importance of traditional learning activities, the benefits of combining LLM use with traditional learning over using LLMs alone, and the AI skills that students need to maximise those benefits.</t>
  </si>
  <si>
    <t>[Kreijkes, Pia; Kuvalja, Martina; Vitello, Sylvia; Oates, Tim] Cambridge Univ Press &amp; Assessment, Shaftesbury Rd, Cambridge CB2 8EA, England; [Kewenig, Viktor; Sellen, Abigail; Rintel, Sean; Tankelevitch, Lev] Microsoft Res, 21 Stn Rd, Cambridge CB1 2FB, England; [Lee, Mina; Hofman, Jake M.; Goldstein, Daniel G.; Rothschild, David] Microsoft Res, 300 Lafayette St, New York, NY 10012 USA</t>
  </si>
  <si>
    <t>Microsoft; Microsoft United Kingdom; Microsoft</t>
  </si>
  <si>
    <t>Kuvalja, M (corresponding author), Cambridge Univ Press &amp; Assessment, Shaftesbury Rd, Cambridge CB2 8EA, England.</t>
  </si>
  <si>
    <t>martina.kuvalja@cambridge.com</t>
  </si>
  <si>
    <t>; Rintel, Sean/I-7928-2013; Goldstein, Daniel/A-7479-2008</t>
  </si>
  <si>
    <t>Hofman, Jake/0000-0002-9364-9604; Kreijkes, Pia/0000-0002-7574-4501; Rintel, Sean/0000-0003-0840-0546; Lee, Mina/0000-0002-0428-4720;</t>
  </si>
  <si>
    <t>APR</t>
  </si>
  <si>
    <t>10.1016/j.compedu.2025.105514</t>
  </si>
  <si>
    <t>DEC 2025</t>
  </si>
  <si>
    <t>S5254</t>
  </si>
  <si>
    <t>WOS:001636682000001</t>
  </si>
  <si>
    <t>Hong, T; Choi, JA; Lim, K; Kim, P</t>
  </si>
  <si>
    <t>Hong, Taekeun; Choi, Jin-A; Lim, Kiho; Kim, Pankoo</t>
  </si>
  <si>
    <t>Enhancing Personalized Ads Using Interest Category Classification of SNS Users Based on Deep Neural Networks</t>
  </si>
  <si>
    <t>SENSORS</t>
  </si>
  <si>
    <t>SNS; personalized ads; deep learning; neural networks; interest classification</t>
  </si>
  <si>
    <t>MEDIA; RECOMMENDATIONS; CUSTOMIZATION</t>
  </si>
  <si>
    <t>The classification and recommendation system for identifying social networking site (SNS) users' interests plays a critical role in various industries, particularly advertising. Personalized advertisements help brands stand out from the clutter of online advertisements while enhancing relevance to consumers to generate favorable responses. Although most user interest classification studies have focused on textual data, the combined analysis of images and texts on user-generated posts can more precisely predict a consumer's interests. Therefore, this research classifies SNS users' interests by utilizing both texts and images. Consumers' interests were defined using the Curlie directory, and various convolutional neural network (CNN)-based models and recurrent neural network (RNN)-based models were tested for our user interest classification system. In our hybrid neural network (NN) model, CNN-based classification models were used to classify images from users' SNS postings while RNN-based classification models were used to classify textual data. The results of our extensive experiments show that the classification of users' interests performed best when using texts and images together, at 96.55%, versus texts only, 41.38%, or images only, 93.1%. Our proposed system provides insights into personalized SNS advertising research and informs marketers on making (1) interest-based recommendations, (2) ranked-order recommendations, and (3) real-time recommendations.</t>
  </si>
  <si>
    <t>[Hong, Taekeun; Kim, Pankoo] Chosun Univ, Dept Comp Engn, 309 Pilmun Daero, Gwangju 61452, South Korea; [Choi, Jin-A; Lim, Kiho] William Paterson Univ New Jersey, Dept Comp Sci, Dept Commun, 300 Pompton Rd, Wayne, NJ 07470 USA</t>
  </si>
  <si>
    <t>Chosun University; William Paterson University New Jersey</t>
  </si>
  <si>
    <t>Kim, P (corresponding author), Chosun Univ, Dept Comp Engn, 309 Pilmun Daero, Gwangju 61452, South Korea.;Lim, K (corresponding author), William Paterson Univ New Jersey, Dept Comp Sci, Dept Commun, 300 Pompton Rd, Wayne, NJ 07470 USA.</t>
  </si>
  <si>
    <t>goodfax@chosun.kr; choij21@wpunj.edu; limk2@wpunj.edu; pkkim@chosun.ac.kr</t>
  </si>
  <si>
    <t>; Lim, Kiho/AAC-7523-2020</t>
  </si>
  <si>
    <t>Hong, Taekeun/0000-0002-1189-4041; Choi, Jin-A/0000-0001-7939-2390;</t>
  </si>
  <si>
    <t>MSIT (Ministry of Science, ICT), Korea, under the High-Potential Individuals Global Training Program [2020-0-01578]; National Research Foundation of Korea (NRF) - Korea government (MSIT) [NRF-2020R1A2C2007091]</t>
  </si>
  <si>
    <t>MSIT (Ministry of Science, ICT), Korea, under the High-Potential Individuals Global Training Program; National Research Foundation of Korea (NRF) - Korea government (MSIT)(National Research Foundation of KoreaMinistry of Science &amp; ICT (MMSTI))</t>
  </si>
  <si>
    <t>This research was supported by the MSIT (Ministry of Science, ICT), Korea, under the High-Potential Individuals Global Training Program (No. 2020-0-01578) supervised by the IITP (Institute for Information &amp; Communications Technology Planning &amp; Evaluation). This work was also supported by the National Research Foundation of Korea (NRF) grant funded by the Korea government (MSIT) (No. NRF-2020R1A2C2007091).</t>
  </si>
  <si>
    <t>MDPI</t>
  </si>
  <si>
    <t>BASEL</t>
  </si>
  <si>
    <t>MDPI AG, Grosspeteranlage 5, CH-4052 BASEL, SWITZERLAND</t>
  </si>
  <si>
    <t>1424-8220</t>
  </si>
  <si>
    <t>SENSORS-BASEL</t>
  </si>
  <si>
    <t>Sensors</t>
  </si>
  <si>
    <t>JAN</t>
  </si>
  <si>
    <t>10.3390/s21010199</t>
  </si>
  <si>
    <t>Chemistry, Analytical; Engineering, Electrical &amp; Electronic; Instruments &amp; Instrumentation</t>
  </si>
  <si>
    <t>Chemistry; Engineering; Instruments &amp; Instrumentation</t>
  </si>
  <si>
    <t>PP7LV</t>
  </si>
  <si>
    <t>WOS:000606040700001</t>
  </si>
  <si>
    <t>Cinar, YG; Zoghbi, S; Moens, MF</t>
  </si>
  <si>
    <t>Cui, P; Dy, J; Aggarwal, C; Zhou, ZH; Tuzhilin, A; Xiong, H; Wu, X</t>
  </si>
  <si>
    <t>Cinar, Yagmur Gizem; Zoghbi, Susana; Moens, Marie-Francine</t>
  </si>
  <si>
    <t>Inferring User Interests on Social Media From Text and Images</t>
  </si>
  <si>
    <t>2015 IEEE INTERNATIONAL CONFERENCE ON DATA MINING WORKSHOP (ICDMW)</t>
  </si>
  <si>
    <t>IEEE 15th International Conference on Data Mining Workshops (ICDMW)</t>
  </si>
  <si>
    <t>NOV 14-17, 2015</t>
  </si>
  <si>
    <t>Atlantic, NJ</t>
  </si>
  <si>
    <t>Baidu,Stony Brook Univ,Pinnacle,NSF,IEEE,Rutgers,KD Nuggets,Cisco,Drawbridge,IEEE Comp Soc</t>
  </si>
  <si>
    <t>inferring user interests; user modeling; term frequencies; bag of words (BoW); convolutional neural networks (CNN); word embeddings</t>
  </si>
  <si>
    <t>Inferring user interests on social media from text and images is addressed as a multi-class classification problem. We proposed approaches to infer user interest on Social media where often multi-modal data (text, image etc.) exists. We use user-generated data from Pinterest.com as a natural expression of users' interests. We consider each pin (image-text pair) as a category label that represents a broad user interest, since users collect images that they like on the social media platform and often assign a category label. This task is useful beyond Pinterest because most user-generated data on the Web is not necessarily readily categorized into interest labels. In addition to predicting users' interests, our main contribution is exploiting a multi-modal space composed of images and text. This is a natural approach since humans express their interests with a combination of modalities. Exploiting multi-modal spaces in this context has received little attention in the literature. We performed eleven experiments using the state-of-the-art image and textual representations, such as convolutional neural networks, word embeddings, and bags of visual and textual words. Our experimental results show that in fact jointly processing image and text increases the overall interest classification accuracy, when compared to uni-modal representations (i.e., using only text or using only images).</t>
  </si>
  <si>
    <t>[Cinar, Yagmur Gizem; Zoghbi, Susana; Moens, Marie-Francine] Katholieke Univ Leuven, Comp Sci, B-3001 Leuven, Belgium</t>
  </si>
  <si>
    <t>KU Leuven</t>
  </si>
  <si>
    <t>Cinar, YG (corresponding author), Katholieke Univ Leuven, Comp Sci, B-3001 Leuven, Belgium.</t>
  </si>
  <si>
    <t>yagmurgizem.cinar@student.kuleuven.be; susana.zoghbi@cs.kuleuven.be; sien.moens@cs.kuleuven.be</t>
  </si>
  <si>
    <t>978-1-4673-8493-3</t>
  </si>
  <si>
    <t>10.1109/ICDMW.2015.208</t>
  </si>
  <si>
    <t>BF3MK</t>
  </si>
  <si>
    <t>Green Accepted</t>
  </si>
  <si>
    <t>WOS:000380556700181</t>
  </si>
  <si>
    <t>Manoharan, S; Senthilkumar, R</t>
  </si>
  <si>
    <t>Manoharan, Saravanapriya; Senthilkumar, Radha</t>
  </si>
  <si>
    <t>An Intelligent Fuzzy Rule-Based Personalized News Recommendation Using Social Media Mining</t>
  </si>
  <si>
    <t>COMPUTATIONAL INTELLIGENCE AND NEUROSCIENCE</t>
  </si>
  <si>
    <t>SYSTEMS</t>
  </si>
  <si>
    <t>Recommendation of a relevant and suitable news article is an essential but a challenging task due to changes in the user interest categories over time. Moreover, the Internet technology provides abundant news articles from a huge amount of resources. Meanwhile, nowadays, many people are confronted with viral news articles through social media cost-free without considering the news sites. Therefore, mining of social media for addressing such viral news articles has become another key challenge. To overcome the above challenges, this paper proposes fuzzy logic approach for predicting users' diversified interest and its categories by analysing their implicit user profile. Depending on users' interest categories, the viral news articles and their categories were determined and analysed through mining social media feeds-Facebook and Twitter. Furthermore, fresh news articles are retrieved from news feeds incorporated with retrieved viral news articles provided as recommendation with respect to users' diversified interest. The performance of the proposed approach for predicting overall users' interest for all categories attained 84.238%, and recommendation accuracy from News feed, Facebook, and Twitter attained 100%, 90%, and 100% with respect to users' interest categories.</t>
  </si>
  <si>
    <t>[Manoharan, Saravanapriya; Senthilkumar, Radha] Anna Univ, Madras Inst Technol, Dept Informat Technol, Chennai, Tamil Nadu, India</t>
  </si>
  <si>
    <t>Anna University; Anna University Chennai; Madras Institute of Technology</t>
  </si>
  <si>
    <t>Senthilkumar, R (corresponding author), Anna Univ, Madras Inst Technol, Dept Informat Technol, Chennai, Tamil Nadu, India.</t>
  </si>
  <si>
    <t>priyakut@gmail.com; radhasenthilkumar@gmail.com</t>
  </si>
  <si>
    <t>senthilkumar, !/C-7287-2011</t>
  </si>
  <si>
    <t>Manoharan, Saravanapriya/0000-0002-1374-2252</t>
  </si>
  <si>
    <t>Anna Centenary Research Fellowship (ACRF), Anna University, Chennai [CFR/ACRF/2017/23]</t>
  </si>
  <si>
    <t>Anna Centenary Research Fellowship (ACRF), Anna University, Chennai</t>
  </si>
  <si>
    <t>This work was supported by Anna Centenary Research Fellowship (ACRF) (Lr. no/CFR/ACRF/2017/23), Anna University, Chennai.</t>
  </si>
  <si>
    <t>HINDAWI LTD</t>
  </si>
  <si>
    <t>LONDON</t>
  </si>
  <si>
    <t>ADAM HOUSE, 3RD FLR, 1 FITZROY SQ, LONDON, W1T 5HF, ENGLAND</t>
  </si>
  <si>
    <t>1687-5265</t>
  </si>
  <si>
    <t>1687-5273</t>
  </si>
  <si>
    <t>COMPUT INTEL NEUROSC</t>
  </si>
  <si>
    <t>Comput. Intell. Neurosci.</t>
  </si>
  <si>
    <t>MAY 31</t>
  </si>
  <si>
    <t>10.1155/2020/3791541</t>
  </si>
  <si>
    <t>Mathematical &amp; Computational Biology; Neurosciences</t>
  </si>
  <si>
    <t>Mathematical &amp; Computational Biology; Neurosciences &amp; Neurology</t>
  </si>
  <si>
    <t>MB1GQ</t>
  </si>
  <si>
    <t>Green Submitted, hybrid</t>
  </si>
  <si>
    <t>WOS:000542355700001</t>
  </si>
  <si>
    <t>Rembert, DM; Mack, NA; Gilbert, JE</t>
  </si>
  <si>
    <t>Rembert, DeKita Moon; Mack, Naja A.; Gilbert, Juan E.</t>
  </si>
  <si>
    <t>Exploring the Needs and Interests of Fifth Graders for Personalized Math Word Problem Generation</t>
  </si>
  <si>
    <t>PROCEEDINGS OF ACM INTERACTION DESIGN AND CHILDREN (IDC 2019)</t>
  </si>
  <si>
    <t>18th Annual ACM Interaction Design and Children (IDC)</t>
  </si>
  <si>
    <t>JUN 12-15, 2019</t>
  </si>
  <si>
    <t>Boise, ID</t>
  </si>
  <si>
    <t>Boise State Univ,Stem Act Ctr,St Lukes,Osmo,Langan Barber Fdn,Discovery Ctr Idaho,StemFinity,NSF,Boise</t>
  </si>
  <si>
    <t>Participatory Design; Mathematics; Personalization; Word Problems; Individual Interest</t>
  </si>
  <si>
    <t>MATHEMATICS; PERFORMANCE; STUDENTS; CONTEXT</t>
  </si>
  <si>
    <t>This paper presents the initial results of an ongoing research project to develop a Math Word Problem (MWP) generator with engaging personalized content to improve students' math achievements and attitudes. A mixed methods study was used to observe the interests of 5th-grade students' and their attitudes and challenges as it relates to MWPs. Among this study's sample of students, we found contrasting interests that are specific to several of their task values. The baseline data and interests received through the interviews and the participatory drawing session will be used to inform the development of the prototype.</t>
  </si>
  <si>
    <t>[Rembert, DeKita Moon; Mack, Naja A.; Gilbert, Juan E.] Univ Florida, Gainesville, FL 32611 USA</t>
  </si>
  <si>
    <t>State University System of Florida; University of Florida</t>
  </si>
  <si>
    <t>Rembert, DM (corresponding author), Univ Florida, Gainesville, FL 32611 USA.</t>
  </si>
  <si>
    <t>dekita@ufl.edu; najamac@ufl.edu; juan@ufl.edu</t>
  </si>
  <si>
    <t>Gilbert, Juan/0000-0002-6801-2206; Mack, Naja/0009-0002-4772-1270</t>
  </si>
  <si>
    <t>978-1-4503-6690-8</t>
  </si>
  <si>
    <t>10.1145/3311927.3325309</t>
  </si>
  <si>
    <t>Computer Science, Interdisciplinary Applications; Education, Scientific Disciplines</t>
  </si>
  <si>
    <t>BP6EZ</t>
  </si>
  <si>
    <t>WOS:000559055100071</t>
  </si>
  <si>
    <t>Su, C; Guan, XH; Du, YT; Wang, Q; Wang, F</t>
  </si>
  <si>
    <t>Su, Chang; Guan, Xiaohong; Du, Youtian; Wang, Qian; Wang, Fei</t>
  </si>
  <si>
    <t>A fast multi-level algorithm for community detection in directed online social networks</t>
  </si>
  <si>
    <t>JOURNAL OF INFORMATION SCIENCE</t>
  </si>
  <si>
    <t>Community detection; large scale; online social networks</t>
  </si>
  <si>
    <t>The discovery of underlying community structures plays a significant role in online social network (OSN) analysis. Many previous methods suffer from inaccuracy or incompleteness in community descriptions because of the multiple factors affecting OSNs and the high computational complexity caused by the large scale of these networks. We present a new community detection approach that focuses on two aspects. First, it relies on a combination of user interests and cohesiveness in describing community structures. Second, it introduces a multi-level community discovery algorithm for large-scale OSN datasets. The algorithm consists of three steps: (1) network coarsening based on the combination of two categories of properties, (2) stochastic inference to find an initial community assignment over the coarsest network and (3) projection and refinement of this assignment to obtain the final community detection result by solving a semi-supervised learning problem. The combination of user interests and cohesiveness leads to a complete and well-interpreted description of the communities embedded in OSNs, and the multi-level algorithm speeds up the computation process and improves the likelihood of finding the global optimal solution by reducing the parameter space. Experiments conducted on both synthetic and real datasets demonstrate the effectiveness and efficiency of our method.</t>
  </si>
  <si>
    <t>[Su, Chang; Guan, Xiaohong; Du, Youtian; Wang, Qian] Xi An Jiao Tong Univ, Key Lab Intelligent Networks &amp; Network Secur, Minist Educ, Xian 710049, Shaanxi, Peoples R China; [Guan, Xiaohong] Tsinghua Univ, Dept Automat, Beijing, Peoples R China; [Wang, Fei] Univ Connecticut, Storrs, CT USA</t>
  </si>
  <si>
    <t>Xi'an Jiaotong University; Tsinghua University; University of Connecticut</t>
  </si>
  <si>
    <t>Du, YT (corresponding author), Xi An Jiao Tong Univ, Key Lab Intelligent Networks &amp; Network Secur, Minist Educ, Xian 710049, Shaanxi, Peoples R China.</t>
  </si>
  <si>
    <t>duyt@mail.xjtu.edu.cn</t>
  </si>
  <si>
    <t>; Guan, Xiaohong/K-4206-2012; Wang, Fei/HRA-7319-2023</t>
  </si>
  <si>
    <t>Du, Youtian/0000-0002-1714-3433; Su, Chang/0000-0003-4019-6389</t>
  </si>
  <si>
    <t>National Natural Science Foundation of China [61375040, 61221063, 61572397]; Natural Science Basic Research Plan in Shaanxi Province of China [2015JM6299, 2015JM6298]; 111 International Collaboration Program, of China</t>
  </si>
  <si>
    <t>National Natural Science Foundation of China(National Natural Science Foundation of China (NSFC)); Natural Science Basic Research Plan in Shaanxi Province of China(Natural Science Basic Research Plan in Shaanxi Province of China); 111 International Collaboration Program, of China(Ministry of Education, China - 111 Project)</t>
  </si>
  <si>
    <t>This work was supported in part by the National Natural Science Foundation (61375040, 61221063, 61572397), Natural Science Basic Research Plan in Shaanxi Province (2015JM6299, 2015JM6298) and 111 International Collaboration Program, of China.</t>
  </si>
  <si>
    <t>SAGE PUBLICATIONS LTD</t>
  </si>
  <si>
    <t>1 OLIVERS YARD, 55 CITY ROAD, LONDON EC1Y 1SP, ENGLAND</t>
  </si>
  <si>
    <t>0165-5515</t>
  </si>
  <si>
    <t>1741-6485</t>
  </si>
  <si>
    <t>J INF SCI</t>
  </si>
  <si>
    <t>J. Inf. Sci.</t>
  </si>
  <si>
    <t>JUN</t>
  </si>
  <si>
    <t>10.1177/0165551517698305</t>
  </si>
  <si>
    <t>GF9CL</t>
  </si>
  <si>
    <t>WOS:000432273600008</t>
  </si>
  <si>
    <t>Dinh, XT; Pham, HV</t>
  </si>
  <si>
    <t>Xuan Truong Dinh; Hai Van Pham</t>
  </si>
  <si>
    <t>A Proposal of Deep Learning Model for Classifying User Interests on Social Networks</t>
  </si>
  <si>
    <t>ICMLSC 2020: PROCEEDINGS OF THE 4TH INTERNATIONAL CONFERENCE ON MACHINE LEARNING AND SOFT COMPUTING</t>
  </si>
  <si>
    <t>4th International Conference on Machine Learning and Soft Computing (ICMLSC)</t>
  </si>
  <si>
    <t>JAN 17-19, 2020</t>
  </si>
  <si>
    <t>Haiphong City, VIETNAM</t>
  </si>
  <si>
    <t>Sai Gon Univ,Industrial Univ Ho Chi Minh City</t>
  </si>
  <si>
    <t>User Interest; Deep Learning; Convolution Neural Network; Online Social Network</t>
  </si>
  <si>
    <t>In the recent years, there are huge data extracted from social networks in both static and real-time analysis, such as Facebook, Twitter, LinkedIn, and Instagram. Recently, most researchers have investigated in classifying textual contents without user interests/behaviors from huge data of social networks. This paper has presented a novel approach using a Convolution Neural Network with its new contribution of user perceptions from the social network data to classifying the user interests. Experimental results show that the proposed model performs better than the conventional algorithms in terms of classifying user interests. Additionally, the proposed model enhances a quality of classification for user interests tracking real-time in social networks.</t>
  </si>
  <si>
    <t>[Xuan Truong Dinh] CMC Inst Sci &amp; Technol, Hanoi, Vietnam; [Xuan Truong Dinh] Hanoi Univ Sci &amp; Technol, Hanoi, Vietnam; [Hai Van Pham] Hanoi Univ Sci &amp; Technol, Sch Informat &amp; Commun Technol, Hanoi, Vietnam</t>
  </si>
  <si>
    <t>Hanoi University of Science &amp; Technology (HUST); Hanoi University of Science &amp; Technology (HUST)</t>
  </si>
  <si>
    <t>Pham, HV (corresponding author), Hanoi Univ Sci &amp; Technol, Sch Informat &amp; Commun Technol, Hanoi, Vietnam.</t>
  </si>
  <si>
    <t>dxtruong@cmc.com.vn; haipv@soict.hust.edu.vn</t>
  </si>
  <si>
    <t>; V. Pham, A/ Prof. Hai/AAA-5116-2022</t>
  </si>
  <si>
    <t>Dinh, Truong Xuan/0000-0003-0727-7654; V. Pham, A/ Prof. Hai/0000-0001-8325-1662</t>
  </si>
  <si>
    <t>CMC Institute of science and technology (CIST), CMC Corporation, Vietnam</t>
  </si>
  <si>
    <t>This research was funded by CMC Institute of science and technology (CIST), CMC Corporation, Vietnam.</t>
  </si>
  <si>
    <t>978-1-4503-7631-0</t>
  </si>
  <si>
    <t>10.1145/3380688.3380707</t>
  </si>
  <si>
    <t>Computer Science, Artificial Intelligence; Computer Science, Theory &amp; Methods</t>
  </si>
  <si>
    <t>BR1LN</t>
  </si>
  <si>
    <t>WOS:000632789300003</t>
  </si>
  <si>
    <t>A Semantic Social Recommender System Using Ontologies Based Approach For Tunisian Tourism</t>
  </si>
  <si>
    <t>ADCAIJ-ADVANCES IN DISTRIBUTED COMPUTING AND ARTIFICIAL INTELLIGENCE JOURNAL</t>
  </si>
  <si>
    <t>Recommender System; Social Network; collaborative filtering; Social Semantic Web; Ontology; Tourism</t>
  </si>
  <si>
    <t>MULTIAGENT; NETWORK; AGENT</t>
  </si>
  <si>
    <t>Tunisia is well placed in terms of medical tourism and has highly qualified and specialized medical and surgical teams. Integrating social networks in Tunisian medical tourism recommender systems can result in much more accurate recommendations. That is to say, information, interests, and recommendations retrieved from social networks can improve the prediction accuracy. This paper aims to improve traditional recommender systems by incorporating information in social network; including user preferences and influences from social friends. Accordingly, a user interest ontology is developed to make personalized recommendations out of such information. In this paper, we present a semantic social recommender system employing a user interest ontology and a Tunisian Medical Tourism ontology. Our system can improve the quality of recommendation for Tunisian tourism domain. Finally, our social recommendation algorithm is implemented in order to be used in a Tunisia tourism Website to assist users interested in visiting Tunisia for medical purposes.</t>
  </si>
  <si>
    <t>Universite de Sfax; Multimedia, InfoRmation Systems &amp; Advancing Computing Laboratory (MIRACL)</t>
  </si>
  <si>
    <t>Frikha, Mohamed/W-8337-2018; Mhiri, Mohamed/OMK-8712-2025</t>
  </si>
  <si>
    <t>Frikha, Mohamed/0000-0001-7110-9327;</t>
  </si>
  <si>
    <t>EDICIONES UNIV SALAMANCA</t>
  </si>
  <si>
    <t>SALAMANCA</t>
  </si>
  <si>
    <t>APARTADO DE CORREOS 325, SALAMANCA, 00000, SPAIN</t>
  </si>
  <si>
    <t>2255-2863</t>
  </si>
  <si>
    <t>ADCAIJ-ADV DISTRIB C</t>
  </si>
  <si>
    <t>ADCAIJ-Adv. Distrib. Computing Artif. Intell. J.</t>
  </si>
  <si>
    <t>V9W8Z</t>
  </si>
  <si>
    <t>WOS:000422598000007</t>
  </si>
  <si>
    <t>Duan, C; Zhang, WL; Cui, QL; Pei, Y; He, B; Huang, QH</t>
  </si>
  <si>
    <t>Duan, Chao; Zhang, Wenlong; Cui, Qiaoling; Pei, Yu; He, Bin; Huang, Qionghao</t>
  </si>
  <si>
    <t>Enhancing MOOC Recommendation Through Preference-Aware Knowledge Graph Diffusion and Temporal Sequence Modeling</t>
  </si>
  <si>
    <t>INFORMATION</t>
  </si>
  <si>
    <t>course recommendation; knowledge graph; preference-aware graph diffusion; temporal sequence modeling; Bi-LSTM; multi-head attention; MOOC</t>
  </si>
  <si>
    <t>Course recommendation is a critical service in Intelligent Tutoring Systems (ITS) that helps learners discover relevant courses from massive online educational platforms. Despite substantial progress in this field, two key challenges remain unresolved: (1) existing methods fail to leverage the differences in learners' interests across different courses during knowledge propagation processes, and (2) while sequential relationships have been considered in course recommendations, there is still significant room for improvement in effectively integrating sequential patterns with knowledge-graph-based approaches. To overcome these limitations, we propose PGDB (Preference-aware Graph Diffusion network and Bi-LSTM), an innovative end-to-end framework for course recommendation. Our model consists of four key components: First, a course knowledge graph diffusion module recursively collects multiple knowledge triples related to learners to construct their knowledge background. Second, a preference-aware diffusion attention mechanism analyzes learners' preferences for courses and relational paths using multi-head attention, effectively distinguishing semantic diversity across different contexts and capturing varying learner interests during knowledge transmission. Third, a temporal sequence modeling module utilizes bidirectional long short-term memory networks to identify learners' interest evolution patterns, generating learner-dependent representations that efficiently leverage sequential relationships between courses. Finally, a prediction module combines the final representations of learners and courses to output selection probabilities for candidate courses. Extensive experimental results demonstrate that PGDB significantly outperforms state-of-the-art baseline models across multiple evaluation metrics, validating the effectiveness of our approach in addressing data sparsity and sequential modeling challenges in course recommendation systems.</t>
  </si>
  <si>
    <t>[Duan, Chao; Zhang, Wenlong; Cui, Qiaoling; Huang, Qionghao] Zhejiang Normal Univ, Zhejiang Key Lab Intelligent Educ Technol &amp; Applic, Jinhua 321004, Peoples R China; [Pei, Yu] Zhejiang Univ Water Resources &amp; Elect Power, Sch Geomat, Hangzhou 310018, Peoples R China; [He, Bin] Cent China Normal Univ, Natl Engn Res Ctr E Learning, Wuhan 430079, Peoples R China</t>
  </si>
  <si>
    <t>Zhejiang Normal University; Zhejiang University of Water Resources and Electric Power; Central China Normal University</t>
  </si>
  <si>
    <t>Huang, QH (corresponding author), Zhejiang Normal Univ, Zhejiang Key Lab Intelligent Educ Technol &amp; Applic, Jinhua 321004, Peoples R China.;Pei, Y (corresponding author), Zhejiang Univ Water Resources &amp; Elect Power, Sch Geomat, Hangzhou 310018, Peoples R China.</t>
  </si>
  <si>
    <t>duanchao@zjnu.edu.cn; zsdzwl@zjnu.edu.cn; cuiqiaoling@zjnu.edu.cn; peiyu@zjweu.edu.cn; hebin@ccnu.edu.cn; qhhuang@zjnu.edu.cn</t>
  </si>
  <si>
    <t>; Huang, Qionghao/AAD-3677-2020; He, Bin/ODK-9397-2025</t>
  </si>
  <si>
    <t>Duan, Chao/0009-0002-9315-5417; He, Bin/0000-0003-2088-8193;</t>
  </si>
  <si>
    <t>National Natural Science Foundation of China [62177024, 62207027]; University-Industry Collaborative Education Program [220906424035704]; Jinhua Social Sciences Association Project [YB2025112]; Zhejiang Province educational science and planning research project [2023SCG369]; Ministry of Education of the People's Republic of China [20YJC880024]</t>
  </si>
  <si>
    <t>National Natural Science Foundation of China(National Natural Science Foundation of China (NSFC)); University-Industry Collaborative Education Program; Jinhua Social Sciences Association Project; Zhejiang Province educational science and planning research project; Ministry of Education of the People's Republic of China(Ministry of Education of the People's Republic of China)</t>
  </si>
  <si>
    <t>This work was financially supported by the National Natural Science Foundation of China (62177024, 62207027), the Ministry of Education of the People's Republic of China (20YJC880024), Zhejiang Province educational science and planning research project (2023SCG369), University-Industry Collaborative Education Program (220906424035704), Jinhua Social Sciences Association Project (YB2025112). No additional external funding was received for this study.</t>
  </si>
  <si>
    <t>2078-2489</t>
  </si>
  <si>
    <t>Information</t>
  </si>
  <si>
    <t>DEC 3</t>
  </si>
  <si>
    <t>10.3390/info16121061</t>
  </si>
  <si>
    <t>AF1PP</t>
  </si>
  <si>
    <t>WOS:001646666500001</t>
  </si>
  <si>
    <t>Zheng, XH; An, DY; Chen, X; Guo, WZ</t>
  </si>
  <si>
    <t>Zheng, Xianghan; An, Dongyun; Chen, Xing; Guo, Wenzhong</t>
  </si>
  <si>
    <t>Interest prediction in social networks based on Markov chain modeling on clustered users</t>
  </si>
  <si>
    <t>CONCURRENCY AND COMPUTATION-PRACTICE &amp; EXPERIENCE</t>
  </si>
  <si>
    <t>social network; single-Markov chain; multi-Markov chain; interest eigenvalues; clustering</t>
  </si>
  <si>
    <t>KNOWLEDGE</t>
  </si>
  <si>
    <t>Effective user interest prediction is significant for service providers in a set of application scenarios such as user behavior analysis and resource recommendation. However, existing approaches are either incomplete or proprietary. In this paper, user interest prediction based on the Markov chain modeling on clustered users is proposed with the following procedure: collect dataset from 4613 users and more than 16 million messages from Sina Weibo; obtain each user's interest eigenvalue sequence and establish single-Markov chain model; and implement user clustering algorithm for the multi-Markov chain construction in order to divide users into a set of predefined interest categories. The proposed solution is capable of predicting both long-term and short-term user interests based on a suitable selection of the initial state distribution, lambda. The proposed solution also proves that short-term interests are consistent with long-term interests if the influences of social or user-related events that cause interruptions ( e.g., earthquake and birthday) are not considered. Furthermore, experiments show that the proposed solution is feasible and efficient and can achieve a higher accuracy of prediction than that of the other approaches such as Support Vector Machine ( SVM) and K-means. Copyright (C) 2015 John Wiley &amp; Sons, Ltd.</t>
  </si>
  <si>
    <t>[Zheng, Xianghan; An, Dongyun; Chen, Xing; Guo, Wenzhong] Fuzhou Univ, Coll Math &amp; Comp Sci, Fuzhou, Peoples R China; [Zheng, Xianghan; An, Dongyun; Chen, Xing; Guo, Wenzhong] Fujian Key Lab Network Comp &amp; Intelligent Informa, Fuzhou, Peoples R China</t>
  </si>
  <si>
    <t>Fuzhou University</t>
  </si>
  <si>
    <t>Chen, X (corresponding author), Fujian Key Lab Network Comp &amp; Intelligent Informa, Fuzhou, Peoples R China.</t>
  </si>
  <si>
    <t>fzucmcs_311@163.com</t>
  </si>
  <si>
    <t>Technology Innovation Platform Project of Fujian Province [2009J1007]; Program of Fujian Key Project [2013H6011]; Natural Science Foundation of Fujian Province [2013J01228]</t>
  </si>
  <si>
    <t>Technology Innovation Platform Project of Fujian Province; Program of Fujian Key Project; Natural Science Foundation of Fujian Province(Natural Science Foundation of Fujian Province)</t>
  </si>
  <si>
    <t>The authors would like to thank the support of the Technology Innovation Platform Project of Fujian Province under grant no. 2009J1007, the Program of Fujian Key Project under grant no. 2013H6011, and the Natural Science Foundation of Fujian Province under grant no. 2013J01228.</t>
  </si>
  <si>
    <t>1532-0626</t>
  </si>
  <si>
    <t>1532-0634</t>
  </si>
  <si>
    <t>CONCURR COMP-PRACT E</t>
  </si>
  <si>
    <t>Concurr. Comput.-Pract. Exp.</t>
  </si>
  <si>
    <t>SEP 25</t>
  </si>
  <si>
    <t>10.1002/cpe.3572</t>
  </si>
  <si>
    <t>DZ4UV</t>
  </si>
  <si>
    <t>WOS:000385857000013</t>
  </si>
  <si>
    <t>Zarrinkalam, F; Kahani, M; Bagheri, E</t>
  </si>
  <si>
    <t>Zarrinkalam, Fattane; Kahani, Mohsen; Bagheri, Ebrahim</t>
  </si>
  <si>
    <t>User interest prediction over future unobserved topics on social networks</t>
  </si>
  <si>
    <t>INFORMATION RETRIEVAL JOURNAL</t>
  </si>
  <si>
    <t>User modeling; User interest prediction; Wikipedia category hierarchy; Twitter</t>
  </si>
  <si>
    <t>The accurate prediction of users' future interests on social networks allows one to perform future planning by studying how users will react if certain topics emerge in the future. It can improve areas such as targeted advertising and the efficient delivery of services. Despite the importance of predicting user future interests on social networks, existing works mainly focus on identifying user current interests and little work has been done on the prediction of user potential interests in the future. There have been work that attempt to identify a user future interests, however they cannot predict user interests with regard to new topics since these topics have never received any feedback from users in the past. In this paper, we propose a framework that works on the basis of temporal evolution of user interests and utilizes semantic information from knowledge bases such as Wikipedia to predict user future interests and overcome the cold item problem. Through extensive experiments on a real-world Twitter dataset, we demonstrate the effectiveness of our approach in predicting future interests of users compared to state-of-the-art baselines. Moreover, we further show that the impact of our work is especially meaningful when considered in case of cold items.</t>
  </si>
  <si>
    <t>[Zarrinkalam, Fattane; Kahani, Mohsen] Ferdowsi Univ Mashhad, Dept Comp Engn, Mashhad, Iran; [Zarrinkalam, Fattane; Bagheri, Ebrahim] Ryerson Univ, Lab Syst Software &amp; Semant LS3, Toronto, ON, Canada</t>
  </si>
  <si>
    <t>Ferdowsi University Mashhad; Toronto Metropolitan University</t>
  </si>
  <si>
    <t>Kahani, M (corresponding author), Ferdowsi Univ Mashhad, Dept Comp Engn, Mashhad, Iran.</t>
  </si>
  <si>
    <t>kahani@um.ac.ir</t>
  </si>
  <si>
    <t>Zarrinkalam, Fattane/AAI-1083-2019; Kahani, Mohsen/P-6849-2014</t>
  </si>
  <si>
    <t>1386-4564</t>
  </si>
  <si>
    <t>1573-7659</t>
  </si>
  <si>
    <t>INFORM RETRIEVAL J</t>
  </si>
  <si>
    <t>Inf. Retr. J.</t>
  </si>
  <si>
    <t>1-2</t>
  </si>
  <si>
    <t>10.1007/s10791-018-9337-y</t>
  </si>
  <si>
    <t>HO0JD</t>
  </si>
  <si>
    <t>WOS:000460588600005</t>
  </si>
  <si>
    <t>Jin, ZH; Chen, T</t>
  </si>
  <si>
    <t>Fu, W; Yun, L</t>
  </si>
  <si>
    <t>Jin, Zihui; Chen, Ting</t>
  </si>
  <si>
    <t>Construction of Social Network Big Data Storage Model Under Cloud Computing</t>
  </si>
  <si>
    <t>ADVANCED HYBRID INFORMATION PROCESSING, ADHIP 2022, PT I</t>
  </si>
  <si>
    <t>Lecture Notes of the Institute for Computer Sciences Social Informatics and Telecommunications Engineering</t>
  </si>
  <si>
    <t>6th European-Alliance-for-Innovation (EAI) International Conference on Advanced Hybrid Information Processing (ADHIP)</t>
  </si>
  <si>
    <t>SEP 29-30, 2022</t>
  </si>
  <si>
    <t>Changsha, PEOPLES R CHINA</t>
  </si>
  <si>
    <t>European Alliance Innovat</t>
  </si>
  <si>
    <t>Cloud computing; Big data; Social networks; Storage model</t>
  </si>
  <si>
    <t>In order to better store massive network information data effectively, a cloud computing based method for building a big data storage model for social networks is proposed, which combines cloud computing theory to identify user interest data of social network data, constructs a hierarchical user interest conceptual model, and improves the ability of identifying data interest based on Cloud Computing; According to the process of the impact of network information dissemination, the evaluation algorithm of social network data storage is optimized, and the classification management is carried out based on the calculation results, so as to achieve the goal of classification storage of massive data. Finally, the experiment proves that the model built has high practicability in practical applications.</t>
  </si>
  <si>
    <t>[Jin, Zihui] Tianfu Coll Swufe, Chengdu 621050, Peoples R China; [Chen, Ting] Univ Elect Sci &amp; Technol China, Chengdu Coll, Chengdu 611731, Peoples R China</t>
  </si>
  <si>
    <t>University of Electronic Science &amp; Technology of China; Chengdu College of University of Electronic Science &amp; Technology of China</t>
  </si>
  <si>
    <t>Jin, ZH (corresponding author), Tianfu Coll Swufe, Chengdu 621050, Peoples R China.</t>
  </si>
  <si>
    <t>jinzihui@tfswufe.edu.cn</t>
  </si>
  <si>
    <t>1867-8211</t>
  </si>
  <si>
    <t>1867-822X</t>
  </si>
  <si>
    <t>978-3-031-28786-2; 978-3-031-28787-9</t>
  </si>
  <si>
    <t>L N INST COMP SCI SO</t>
  </si>
  <si>
    <t>10.1007/978-3-031-28787-9_16</t>
  </si>
  <si>
    <t>Computer Science, Information Systems; Computer Science, Interdisciplinary Applications; Computer Science, Software Engineering</t>
  </si>
  <si>
    <t>BV2EW</t>
  </si>
  <si>
    <t>WOS:001004080200016</t>
  </si>
  <si>
    <t>Emanuel, EPL; Kirana, A; Chamidah, A</t>
  </si>
  <si>
    <t>Wahyuni, D</t>
  </si>
  <si>
    <t>Emanuel, E. P. L.; Kirana, A.; Chamidah, A.</t>
  </si>
  <si>
    <t>Enhancing students' ability to solve word problems in Mathematics</t>
  </si>
  <si>
    <t>2ND INTERNATIONAL CONFERENCE ON PHYSICS AND MATHEMATICS FOR BIOLOGICAL SCIENCE (2ND ICOPAMBS) 2020</t>
  </si>
  <si>
    <t>Journal of Physics Conference Series</t>
  </si>
  <si>
    <t>2nd International Conference on Physics and Mathematics for Biological Science (ICOPAMBS)</t>
  </si>
  <si>
    <t>AUG 08-09, 2020</t>
  </si>
  <si>
    <t>INDONESIA</t>
  </si>
  <si>
    <t>Word problems are the most important thing in learning in Indonesia. Most of the students met the problems. This research aims to enhance the students' ability in the difficulties of students in solving word problems in social arithmetic. This research is qualitative. Researchers collected data through tests, interviews, and documentation. Data analysis techniques included data collection, data reduction, display (data), and concluding. The results showed that the difficulties in solving word problems in social arithmetic were difficulties in understanding the problems, namely the inability of students to translate the problem that is not able write down what is known and asked; difficulties in transformation, i.e. the inability of students to determine the formula for solving arithmetic problems social; difficulties in the settlement process, namely the inability of students in students perform arithmetic operations to solve the social arithmetic problem. Factors which causes students difficulty that is lazy to read too long questions, difficult to digest words in a problem, lack of student interest in learning mathematics, a way of learning for students who tend to memorize the material so the concept does not clear, students rarely practice the questions, do not understand the counting operations well, motivation low learning, a less conducive classroom, and learning strategies.</t>
  </si>
  <si>
    <t>[Emanuel, E. P. L.; Kirana, A.; Chamidah, A.] Univ Wijaya Kusuma Surabaya, Kota SBY, Indonesia</t>
  </si>
  <si>
    <t>Emanuel, EPL (corresponding author), Univ Wijaya Kusuma Surabaya, Kota SBY, Indonesia.</t>
  </si>
  <si>
    <t>endrayana_fbs@uwks.ac.id</t>
  </si>
  <si>
    <t>putut laksminto emanuel, enayana/0000-0003-1123-100X</t>
  </si>
  <si>
    <t>IOP PUBLISHING LTD</t>
  </si>
  <si>
    <t>BRISTOL</t>
  </si>
  <si>
    <t>DIRAC HOUSE, TEMPLE BACK, BRISTOL BS1 6BE, ENGLAND</t>
  </si>
  <si>
    <t>1742-6588</t>
  </si>
  <si>
    <t>1742-6596</t>
  </si>
  <si>
    <t>J PHYS CONF SER</t>
  </si>
  <si>
    <t>10.1088/1742-6596/1832/1/012056</t>
  </si>
  <si>
    <t>Mathematics, Interdisciplinary Applications; Physics, Multidisciplinary</t>
  </si>
  <si>
    <t>Mathematics; Physics</t>
  </si>
  <si>
    <t>BS0UA</t>
  </si>
  <si>
    <t>WOS:000684374700056</t>
  </si>
  <si>
    <t>Sha, X; Sun, Z; Zhang, J</t>
  </si>
  <si>
    <t>Sha, Xiao; Sun, Zhu; Zhang, Jie</t>
  </si>
  <si>
    <t>Disentangling Multi-Facet Social Relations for Recommendation</t>
  </si>
  <si>
    <t>IEEE TRANSACTIONS ON COMPUTATIONAL SOCIAL SYSTEMS</t>
  </si>
  <si>
    <t>Social networking (online); Encoding; Toy manufacturing industry; Task analysis; Sun; Routing; Optimization; Disentangled embedding learning; graph neural network (GNN); recommender systems; social network</t>
  </si>
  <si>
    <t>Social networks have proven to be effective for high-quality item recommendation. Most social recommenders, however, are insufficient to capture the user preferences over items, as they largely neglect the multi-facet social relations latent in the social network, such as classmates, colleagues, and families. We, therefore, propose a novel disentangled social recommendation (DSR) framework to exploit the multifacet social relations for enhanced item recommendation. Specifically, DSR explicitly disentangles the social relations into multiple facets, and encodes the social influence under each facet into disentangled user embeddings in the social network. The multiple user embeddings are then aggregated via a facet-level attention mechanism, which distinguishes the effective facets for better inferring user interests over items. Extensive experiments show the superiority of DSR against the state-of-the-art methods and its potential in alleviating the data sparsity issue.</t>
  </si>
  <si>
    <t>[Sha, Xiao; Zhang, Jie] Nanyang Technol Univ, Sch Comp Sci &amp; Engn, Singapore 639798, Singapore; [Sun, Zhu] Macquarie Univ, Dept Comp, Sydney, NSW 2109, Australia</t>
  </si>
  <si>
    <t>Nanyang Technological University; Macquarie University</t>
  </si>
  <si>
    <t>Sun, Z (corresponding author), Macquarie Univ, Dept Comp, Sydney, NSW 2109, Australia.</t>
  </si>
  <si>
    <t>shax0001@e.ntu.edu.sg; z.sun@mq.edu.au; zhangj@ntu.edu.sg</t>
  </si>
  <si>
    <t>Zhang, Jiehuang/MGV-4525-2025; Sha, Xiao/IUN-2977-2023; SUN, ZHU/OJU-5550-2025</t>
  </si>
  <si>
    <t>Sha, Xiao/0000-0002-1104-395X; SUN, ZHU/0000-0002-3350-7022</t>
  </si>
  <si>
    <t>2329-924X</t>
  </si>
  <si>
    <t>IEEE T COMPUT SOC SY</t>
  </si>
  <si>
    <t>IEEE Trans. Comput. Soc. Syst.</t>
  </si>
  <si>
    <t>10.1109/TCSS.2021.3108794</t>
  </si>
  <si>
    <t>SEP 2021</t>
  </si>
  <si>
    <t>Computer Science, Cybernetics; Computer Science, Information Systems</t>
  </si>
  <si>
    <t>1R4CJ</t>
  </si>
  <si>
    <t>WOS:000732326600001</t>
  </si>
  <si>
    <t>Kahu, E; Nelson, K; Picton, C</t>
  </si>
  <si>
    <t>Kahu, Ella; Nelson, Karen; Picton, Catherine</t>
  </si>
  <si>
    <t>Student interest as a key driver of engagement for first year students</t>
  </si>
  <si>
    <t>STUDENT SUCCESS</t>
  </si>
  <si>
    <t>SITUATIONAL INTEREST; MOTIVATION</t>
  </si>
  <si>
    <t>Much has been written about the challenges faced by first year students at university. This paper adds to that literature by exploring student interest, known to be associated with persistence and learning. Using data from a qualitative study following 19 students through their first year at a regional Australian university, the paper examines the antecedents and consequences of student interest. Findings show the students' existing individual interests and goals interact with the teaching environment to trigger situational interest. Situational interest then enhances behavioural and cognitive engagement and leads to better learning and grades. Perceived relevance of the learning task is shown to be a particularly important determinant of student interest. Students' emotions, self-efficacy, and their sense of belonging are also important factors in explaining the links between student interest, the teaching environment, and student engagement.</t>
  </si>
  <si>
    <t>[Kahu, Ella; Nelson, Karen; Picton, Catherine] Univ Sunshine Coast, Sippy Downs, Qld, Australia</t>
  </si>
  <si>
    <t>University of the Sunshine Coast</t>
  </si>
  <si>
    <t>Kahu, E (corresponding author), Univ Sunshine Coast, Sippy Downs, Qld, Australia.</t>
  </si>
  <si>
    <t>Kahu, Ella/AAE-8607-2021</t>
  </si>
  <si>
    <t>Kahu, Ella/0000-0002-6958-7730</t>
  </si>
  <si>
    <t>Univ Southern Queensland</t>
  </si>
  <si>
    <t>Toowoomba</t>
  </si>
  <si>
    <t>UniSQ Library, 487-535 West Street, Toowoomba, Qld, AUSTRALIA</t>
  </si>
  <si>
    <t>2205-0795</t>
  </si>
  <si>
    <t>STUD SUCCESS</t>
  </si>
  <si>
    <t>Stud. Success</t>
  </si>
  <si>
    <t>10.5204/ssj.v8i2.379</t>
  </si>
  <si>
    <t>FC2KL</t>
  </si>
  <si>
    <t>WOS:000406666200007</t>
  </si>
  <si>
    <t>Zhu, ZG; Kong, LP; Deng, XY; Tan, B</t>
  </si>
  <si>
    <t>Zhu, Zhiguo; Kong, Liping; Deng, Xiaoyi; Tan, Bo</t>
  </si>
  <si>
    <t>A 2020 perspective on A graph-oriented model for hierarchical user interest in precision social marketing</t>
  </si>
  <si>
    <t>ELECTRONIC COMMERCE RESEARCH AND APPLICATIONS</t>
  </si>
  <si>
    <t>Consumer interest inference; Interest model evaluation; Personalization; Precision social marketing; User interest profiles; User interest representation</t>
  </si>
  <si>
    <t>Currently, with the rapid development and popularity of online social networks, social marketing is in the ascendant, while the lack of precision and personalization has become a prominent issue in current social marketing practices. A fundamental solution to this issue is how to accurately and comprehensively infer user interests. In our earlier research (Zhu et al., 2019), we constructed a user interest graph (UIG) model represented by a hierarchical tree structure with an exponential interest decay scheme. For this study, from a 2020 perspective, this research commentary provides some comments on this line of research in terms of four dimensions for inferring user interests: data acquisition, representation of user interests, construction and enhancement of a user interest profile, and evaluation of the constructed model. Finally, some challenges and opportunities in this domain are discussed for future work.</t>
  </si>
  <si>
    <t>[Zhu, Zhiguo; Tan, Bo] Dongbei Univ Finance &amp; Econ, Sch Management Sci &amp; Engn, Dalian, Liaoning, Peoples R China; [Deng, Xiaoyi] Huaqiao Univ, Sch Business, Quanzhou, Fujian, Peoples R China; [Kong, Liping] Dongbei Univ Finance &amp; Econ, Dalian, Liaoning, Peoples R China</t>
  </si>
  <si>
    <t>Dongbei University of Finance &amp; Economics; Huaqiao University; Dongbei University of Finance &amp; Economics</t>
  </si>
  <si>
    <t>Zhu, ZG (corresponding author), Dongbei Univ Finance &amp; Econ, Sch Management Sci &amp; Engn, Dalian, Liaoning, Peoples R China.</t>
  </si>
  <si>
    <t>zhu_zg@dufe.edu.cn; pltdeng@dlut.edu.cn</t>
  </si>
  <si>
    <t>zhu, zhiguo/K-8534-2015</t>
  </si>
  <si>
    <t>Tan, Bo/0009-0009-9858-828X; Deng, Xiaoyi/0000-0002-5331-4981</t>
  </si>
  <si>
    <t>National Natural Science Foundation of China [71672023, 71772033, 71401058, 71602021]; Humanities and Social Sciences Foundation of the Ministry of Education of China [16YJAZH083]; Innovative Talent Support Plan for Universities in Liaoning Province [WR2019011]; Scientific Research Funds of Education Department of Liaoning Province [LN2019J34]</t>
  </si>
  <si>
    <t>National Natural Science Foundation of China(National Natural Science Foundation of China (NSFC)); Humanities and Social Sciences Foundation of the Ministry of Education of China; Innovative Talent Support Plan for Universities in Liaoning Province; Scientific Research Funds of Education Department of Liaoning Province</t>
  </si>
  <si>
    <t>The authors appreciate the editors of ECRA, who provide us a rare chance to give a 2020 perspective on an earlier-published article. This work was supported and funded by the National Natural Science Foundation of China (No. 71672023, 71772033, 71401058, 71602021); the Humanities and Social Sciences Foundation of the Ministry of Education of China (No. 16YJAZH083); and the Innovative Talent Support Plan for Universities in Liaoning Province (No. WR2019011) and Scientific Research Funds of Education Department of Liaoning Province (No. LN2019J34).</t>
  </si>
  <si>
    <t>1567-4223</t>
  </si>
  <si>
    <t>1873-7846</t>
  </si>
  <si>
    <t>ELECTRON COMMER R A</t>
  </si>
  <si>
    <t>Electron. Commer. Res. Appl.</t>
  </si>
  <si>
    <t>MAY-JUN</t>
  </si>
  <si>
    <t>10.1016/j.elerap.2020.100962</t>
  </si>
  <si>
    <t>Business; Computer Science, Information Systems; Computer Science, Interdisciplinary Applications</t>
  </si>
  <si>
    <t>Business &amp; Economics; Computer Science</t>
  </si>
  <si>
    <t>MS7MH</t>
  </si>
  <si>
    <t>WOS:000554459000009</t>
  </si>
  <si>
    <t>van de Weijer-bergsma, E; van der Ven, SHG</t>
  </si>
  <si>
    <t>van de Weijer-bergsma, Eva; van der Ven, Sanne H. G.</t>
  </si>
  <si>
    <t>Why and for whom does personalizing math problems enhance performance? Testing the mediation of enjoyment and cognitive load at different ability levels</t>
  </si>
  <si>
    <t>LEARNING AND INDIVIDUAL DIFFERENCES</t>
  </si>
  <si>
    <t>Personalization; Mathematics; Working memory; Enjoyment; Cognitive load</t>
  </si>
  <si>
    <t>INTRINSIC MOTIVATION; WORKING-MEMORY; MATHEMATICS ACHIEVEMENT; CONTEXT PERSONALIZATION; SELF-EFFICACY; WORD-PROBLEMS; STUDENTS; INSTRUCTION; COMPUTER; DESIGN</t>
  </si>
  <si>
    <t>In two context personalization studies, we examined (a) enjoyment and cognitive load as two potential mechanisms explaining the effects of context personalization on mathematical word problem performance, and (b) whether individual differences in math, reading and working memory ability moderated these effects. In both studies (Study 1: N = 238; Study 2: N = 149) primary school students from 6th grade completed math word problems in either a personalized condition or a control condition. Students rated their enjoyment and experienced cognitive load after each problem. Moderated mediation models showed that while ability, enjoyment and cognitive load significantly predicted performance, (a) personalization did not affect word problem performance, enjoyment or cognitive load, and (b) the three different abilities did not moderate these relations. The findings are discussed in light of three personalization principles (depth, grain size, ownership) and complexity in different steps of math problem solving.</t>
  </si>
  <si>
    <t>[van de Weijer-bergsma, Eva] Univ Utrecht, Fac Social &amp; Behav Sci, Dept Pedag &amp; Educ Sci, POB 80140, NL-3508 TC Utrecht, Netherlands; [van der Ven, Sanne H. G.] Radboud Univ Nijmegen, Behav Sci Inst, Nijmegen, Netherlands</t>
  </si>
  <si>
    <t>Utrecht University; Radboud University Nijmegen</t>
  </si>
  <si>
    <t>van de Weijer-bergsma, E (corresponding author), Univ Utrecht, Fac Social &amp; Behav Sci, Dept Pedag &amp; Educ Sci, POB 80140, NL-3508 TC Utrecht, Netherlands.</t>
  </si>
  <si>
    <t>e.vandeweijer@uu.nl</t>
  </si>
  <si>
    <t>van der Ven, Sanne/GQZ-3381-2022</t>
  </si>
  <si>
    <t>1041-6080</t>
  </si>
  <si>
    <t>1873-3425</t>
  </si>
  <si>
    <t>LEARN INDIVID DIFFER</t>
  </si>
  <si>
    <t>Learn. Individ. Differ.</t>
  </si>
  <si>
    <t>10.1016/j.lindif.2021.101982</t>
  </si>
  <si>
    <t>MAR 2021</t>
  </si>
  <si>
    <t>RM7YY</t>
  </si>
  <si>
    <t>WOS:000639875600005</t>
  </si>
  <si>
    <t>Haridas, M; Caragea, D</t>
  </si>
  <si>
    <t>Meersman, R; Dillon, T; Herrero, P</t>
  </si>
  <si>
    <t>Haridas, Mandar; Caragea, Doina</t>
  </si>
  <si>
    <t>Exploring Wikipedia and DMoz as Knowledge Bases for Engineering a User Interests Hierarchy for Social Network Applications</t>
  </si>
  <si>
    <t>ON THE MOVE TO MEANINGFUL INTERNET SYSTEMS: OTM 2009, PT 2</t>
  </si>
  <si>
    <t>On the Move Confederated International Conference and Workshops</t>
  </si>
  <si>
    <t>NOV 01-06, 2009</t>
  </si>
  <si>
    <t>Vilamoura, PORTUGAL</t>
  </si>
  <si>
    <t>Algardata SA,Collibra,Lecture Notes Comp Sci,Univ Algarve</t>
  </si>
  <si>
    <t>The outgrowth of social networks in the recent years has resulted in opportunities for interesting data mining problems, such as interest or friendship recommendations. A global ontology over the interests specified by the users of a social network is essential for accurate recommendations. We propose, evaluate and compare three approaches to engineering a hierarchical ontology over user interests. The proposed approaches make use of two popular knowledge bases, Wikipedia and Directory Mozilla, to extract interest definitions and/or relationships between interests. More precisely, the first; approach uses Wikipedia to find interest definitions, the latent semantic analysis technique to measure the similarity between interests based on their definitions, and an agglomerative clustering algorithm to group similar interests into higher level concepts. The second approach uses the Wikipedia Category Graph to extract relationships between interests, while the third approach uses Directory Mozilla to extract relationships between interests. Our results show that the third approach, although the simplest, is the most effective for building a hierarchy over user interests.</t>
  </si>
  <si>
    <t>[Haridas, Mandar; Caragea, Doina] Kansas State Univ, Manhattan, KS 66502 USA</t>
  </si>
  <si>
    <t>Haridas, M (corresponding author), Kansas State Univ, Nichols Hall, Manhattan, KS 66502 USA.</t>
  </si>
  <si>
    <t>mandar@ksu.edu; dcaragea@ksu.edu</t>
  </si>
  <si>
    <t>978-3-642-05150-0</t>
  </si>
  <si>
    <t>BPT85</t>
  </si>
  <si>
    <t>WOS:000279907700031</t>
  </si>
  <si>
    <t>Yao, Y; Geng, JM; Li, WY; Li, SL; Xu, YF</t>
  </si>
  <si>
    <t>Yao, Yuan; Geng, Junmei; Li, Wenyang; Li, Shenglei; Xu, Yifan</t>
  </si>
  <si>
    <t>Exploring Full-cycle DeepSeek-assisted Case-based Learning in Undergraduate Radiology Education: A Respiratory System Example</t>
  </si>
  <si>
    <t>ACADEMIC RADIOLOGY</t>
  </si>
  <si>
    <t>Case-based learning; DeepSeek; Large language models; Medical education; Radiology education</t>
  </si>
  <si>
    <t>Rationale and Objectives: To evaluate the application of DeepSeek-assisted case-based learning (CBL) in respiratory radiology course across the full instructional cycle, including preparation, implementation, and evaluation. Materials and Methods: This prospective, single-center study was conducted in 2025 and involved third-year medical undergraduates. CBL Preparation: Six cases were retrieved from the Hospital Information System (HIS), and six generated via DeepSeek-R1. Preparation times were recorded and compared. CBL Implementation: Students were assigned to either a DeepSeek-assisted group or a traditional CBL group, with discussion time recorded for each subgroup. CBL Evaluation: Teaching effectiveness was evaluated through test scores and questionnaires. Subsequently, DeepSeek-R1 provided personalized feedback to students based on their individual scores. Results: A total of 200 students (mean age 21.02 +/- 0.89 years, 94 males) participated. DeepSeek-generated cases required significantly less time than HIS-retrieved cases (o = 0.016). During implementation, the DeepSeek group spent less discussion time than traditional group (o = 0.026). The DeepSeek-assisted group achieved greater test score improvements compared to the traditional group (o &lt; 0.05). Questionnaire responses indicated higher self-directed learning, greater interest in radiology, improved learning efficiency, and lower perceived learning burden in the DeepSeek-assisted group (o &lt; 0.05). Additionally, personalized feedback generated by DeepSeek was qualitatively reviewed by the radiology teaching department and considered educationally useful. Conclusion: This study demonstrates that DeepSeek-assisted CBL effectively supports respiratory radiology education throughout the entire course process-preparation, implementation, and evaluation-by enhancing efficiency, boosting student interest and engagement, improving performance, and providing valuable post-class feedback.</t>
  </si>
  <si>
    <t>[Yao, Yuan] Shandong Univ, Dept Radiol, Qilu Hosp, Jinan, Shandong, Peoples R China; [Yao, Yuan] Shandong Univ, Qilu Med Imaging Inst, Jinan, Shandong, Peoples R China; [Geng, Junmei] Shandong First Med Univ &amp; Shandong Prov Qianfoshan, Informat Ctr, Affiliated Hosp 1, Jinan, Shandong, Peoples R China; [Li, Wenyang] Shandong Univ, Dept Educ, Qilu Hosp, Jinan, Shandong, Peoples R China; [Li, Shenglei] Shandong First Med Univ &amp; Shandong Prov Qianfoshan, Affiliated Hosp 1, Dept Educ, Jinan, Shandong, Peoples R China; [Xu, Yifan] Shandong First Med Univ &amp; Shandong Prov Qianfoshan, Affiliated Hosp 1, Dept Radiol, Jinan, Shandong, Peoples R China</t>
  </si>
  <si>
    <t>Shandong University; Shandong University; Shandong University</t>
  </si>
  <si>
    <t>Xu, YF (corresponding author), Shandong First Med Univ &amp; Shandong Prov Qianfoshan, Affiliated Hosp 1, Dept Radiol, Jinan, Shandong, Peoples R China.</t>
  </si>
  <si>
    <t>afan0506@126.com</t>
  </si>
  <si>
    <t>Excellence in Teaching Program of the First Affiliated Hospital of Shandong First Medical University</t>
  </si>
  <si>
    <t>This research was supported by the Excellence in Teaching Program of the First Affiliated Hospital of Shandong First Medical University.</t>
  </si>
  <si>
    <t>1076-6332</t>
  </si>
  <si>
    <t>1878-4046</t>
  </si>
  <si>
    <t>ACAD RADIOL</t>
  </si>
  <si>
    <t>Acad. Radiol.</t>
  </si>
  <si>
    <t>10.1016/j.acra.2026.03.026</t>
  </si>
  <si>
    <t>Radiology, Nuclear Medicine &amp; Medical Imaging</t>
  </si>
  <si>
    <t>JH6DZ</t>
  </si>
  <si>
    <t>WOS:001789528800001</t>
  </si>
  <si>
    <t>Uribe-Rios, MY; Jové, T; Fabregat, R; Meneses-Ortegón, JP; Puiggali, J</t>
  </si>
  <si>
    <t>Chova, LG; Martinez, AL; Torres, IC</t>
  </si>
  <si>
    <t>Yolima Uribe-Rios, Mery; Jove, Teodor; Fabregat, Ramon; Pablo Meneses-Ortegon, Juan; Puiggali, Joan</t>
  </si>
  <si>
    <t>UNDERSTANDING HOW HIGH ABILITY STUDENTS LEARN AND STUDY: A PARENTS AND STUDENTS VIEW</t>
  </si>
  <si>
    <t>11TH INTERNATIONAL CONFERENCE OF EDUCATION, RESEARCH AND INNOVATION (ICERI2018)</t>
  </si>
  <si>
    <t>ICERI Proceedings</t>
  </si>
  <si>
    <t>11th Annual International Conference of Education, Research and Innovation (ICERI)</t>
  </si>
  <si>
    <t>NOV 12-14, 2018</t>
  </si>
  <si>
    <t>Seville, SPAIN</t>
  </si>
  <si>
    <t>High ability student; Motivation; Interest; Learning process; Co-creation</t>
  </si>
  <si>
    <t>Among the relevant characteristics of high ability (or gifted) students, generally stand out the student's interests. Mostly, some great capabilities can be wasted in education if the student does not find a personal interest in what he/she is doing, especially in those students. Based on that, our objective is to include the high ability students in the creation of their own learning material awakening the motivation in their education, thought a co-creation process. To reach this goal, a research is being carried out about the high ability students' characteristics, pedagogical models, creation and co-creation models. This paper focused in a special aspect we did not find in literature: the point of view of the high ability students and their parents about how they learn and study, in order to understand and identify what they like or not about their educational process, and what they need about a learning material. Therefore, this paper describes the surveys designed to characterize this learning/study process, their application in a group of high ability students and their parents, and the main results, which helped to guide the research in progress.</t>
  </si>
  <si>
    <t>[Yolima Uribe-Rios, Mery; Jove, Teodor; Fabregat, Ramon; Pablo Meneses-Ortegon, Juan; Puiggali, Joan] Univ Girona, Girona, Spain</t>
  </si>
  <si>
    <t>Universitat de Girona</t>
  </si>
  <si>
    <t>Uribe-Rios, MY (corresponding author), Univ Girona, Girona, Spain.</t>
  </si>
  <si>
    <t>PUIGGALI ALLEPUZ, JUAN/T-9498-2018; /C-6314-2008; /K-3787-2017</t>
  </si>
  <si>
    <t>Ministerio Espanol de Economia y Competitividad [TIN2014-53082-R]; Smart IT Engineering and Services (SITES) consolidated group [GRCT40, 2017 SGR-1551]; Universitat de Girona [IF_UDG2015, MPCUdG2016, GdRCompetUdG2017]</t>
  </si>
  <si>
    <t>Ministerio Espanol de Economia y Competitividad(Spanish Government); Smart IT Engineering and Services (SITES) consolidated group; Universitat de Girona</t>
  </si>
  <si>
    <t>Special thanks to the IF_UDG2015 program and to the Comunicacions I Sistemes Distribuits projects (MPCUdG2016 and GdRCompetUdG2017) from the Universitat de Girona, to the Open Co-creation project (TIN2014-53082-R) financed by Ministerio Espanol de Economia y Competitividad and to the BCDS research group (GRCT40) part of the Smart IT Engineering and Services (SITES) consolidated group (ref. 2017 SGR-1551).</t>
  </si>
  <si>
    <t>IATED-INT ASSOC TECHNOLOGY EDUCATION &amp; DEVELOPMENT</t>
  </si>
  <si>
    <t>VALENICA</t>
  </si>
  <si>
    <t>LAURI VOLPI 6, VALENICA, BURJASSOT 46100, SPAIN</t>
  </si>
  <si>
    <t>2340-1095</t>
  </si>
  <si>
    <t>978-84-09-05948-5</t>
  </si>
  <si>
    <t>ICERI PROC</t>
  </si>
  <si>
    <t>BP9DJ</t>
  </si>
  <si>
    <t>WOS:000568991701121</t>
  </si>
  <si>
    <t>Fornaia, A; Napoli, C; Pappalardo, G; Tramontana, E</t>
  </si>
  <si>
    <t>Fornaia, Andrea; Napoli, Christian; Pappalardo, Giuseppe; Tramontana, Emiliano</t>
  </si>
  <si>
    <t>An AOP-RBPNN approach to infer user interests and mine contents on social media</t>
  </si>
  <si>
    <t>INTELLIGENZA ARTIFICIALE</t>
  </si>
  <si>
    <t>Neural Networks; Online Social Networks; Content Mining; Knowledge Retrieval; Agent Oriented Programming</t>
  </si>
  <si>
    <t>Users engaging in online social networks provide sparse data about themselves, e.g. by participating in groups to discuss some topics, linking to each other, etc. Such sparse data can be carefully used to build both user and group profiles, automatically. We put forward a multi-agent system that collects and analyses data scattered on an online social network. The analysis aims at characterising both users, by inserting them into categories, and groups, with a set of key words. The user classification technology is an especially devised neural network that extracts relevant characteristics from raw data characterising user behaviour, and then provides for unknown users the most likely category. Thanks to the said classification tool, some online activities performed by a given user that are unusual for such a user are automatically detected. Moreover, according to the user interests, contents inserted on public pages, which the user is unaware of, can be automatically found and suggested.</t>
  </si>
  <si>
    <t>[Fornaia, Andrea; Napoli, Christian; Pappalardo, Giuseppe; Tramontana, Emiliano] Univ Catania, Dept Math &amp; Informat, Viale A Doria 6, I-95125 Catania, Italy</t>
  </si>
  <si>
    <t>University of Catania</t>
  </si>
  <si>
    <t>Napoli, C (corresponding author), Univ Catania, Dept Math &amp; Informat, Viale A Doria 6, I-95125 Catania, Italy.</t>
  </si>
  <si>
    <t>napoli@dmi.unict.it</t>
  </si>
  <si>
    <t>Napoli, Christian/H-9398-2012; Tramontana, Emiliano/HCI-6836-2022; Pappalardo, giuseppe/JYQ-6132-2024</t>
  </si>
  <si>
    <t>Napoli, Christian/0000-0002-3336-5853;</t>
  </si>
  <si>
    <t>project PRISMA - Italian Ministry of University [PON04a2 A/F]; project PRIME - Italian Ministry of University and Research within POR FESR Sicilia</t>
  </si>
  <si>
    <t>project PRISMA - Italian Ministry of University; project PRIME - Italian Ministry of University and Research within POR FESR Sicilia</t>
  </si>
  <si>
    <t>This work has been partially supported by project PRISMA PON04a2 A/F funded by the Italian Ministry of University within PON 2007-2013 framework, and by project PRIME funded by the Italian Ministry of University and Research within POR FESR Sicilia 2007-2013 framework.</t>
  </si>
  <si>
    <t>1724-8035</t>
  </si>
  <si>
    <t>2211-0097</t>
  </si>
  <si>
    <t>INTELL ARTIF</t>
  </si>
  <si>
    <t>Intell. Artif.</t>
  </si>
  <si>
    <t>10.3233/IA-150089</t>
  </si>
  <si>
    <t>DK0XJ</t>
  </si>
  <si>
    <t>WOS:000374635400009</t>
  </si>
  <si>
    <t>An, DY; Zheng, XH</t>
  </si>
  <si>
    <t>Bikakis, A; Zheng, X</t>
  </si>
  <si>
    <t>An, Dongyun; Zheng, Xianghan</t>
  </si>
  <si>
    <t>Markov Based Social User Interest Prediction</t>
  </si>
  <si>
    <t>MULTI-DISCIPLINARY TRENDS IN ARTIFICIAL INTELLIGENCE, MIWAI 2015</t>
  </si>
  <si>
    <t>9th International Workshop on Multi-Disciplinary Trends in Artificial Intelligence (MIWAI)</t>
  </si>
  <si>
    <t>NOV 13-15, 2015</t>
  </si>
  <si>
    <t>Fuzhou Univ, Fuzhou, PEOPLES R CHINA</t>
  </si>
  <si>
    <t>Fuzhou Univ</t>
  </si>
  <si>
    <t>Social network; Sole-Markov chain; Enhanced-Markov chain; Interest eigen values</t>
  </si>
  <si>
    <t>In this paper, we propose a new approach to predict users' interest eigenvalues based on multi-Markov chain model, which provides a better personalized service for the users timely. We first collect a dataset from Sina Weibo that includes 4613 users and more than 16 million messages; Then, preprocess data set to obtain users' interest eigenvalues. After that, divide users into several categories and establish multi-Markov chain to predict users' interest eigenvalues. Our experiments show that using multi-Markov model to predict users' interest eigenvalues is feasible and efficient, and could predicting both long-term and short-term user interests based on a suitable selection of the initial state distribution, lambda.</t>
  </si>
  <si>
    <t>[An, Dongyun; Zheng, Xianghan] Fuzhou Univ, Coll Math &amp; Comp Sci, Fuzhou 350002, Peoples R China; [An, Dongyun; Zheng, Xianghan] Fujian Key Lab Network Comp &amp; Intelligent Informa, Fuzhou, Peoples R China</t>
  </si>
  <si>
    <t>An, DY (corresponding author), Fuzhou Univ, Coll Math &amp; Comp Sci, Fuzhou 350002, Peoples R China.</t>
  </si>
  <si>
    <t>dongyun_an@163.com; xianghan.zheng@fzu.edu.cn</t>
  </si>
  <si>
    <t>978-3-319-26181-2; 978-3-319-26180-5</t>
  </si>
  <si>
    <t>10.1007/978-3-319-26181-2_35</t>
  </si>
  <si>
    <t>Computer Science, Artificial Intelligence; Computer Science, Interdisciplinary Applications; Robotics</t>
  </si>
  <si>
    <t>Computer Science; Robotics</t>
  </si>
  <si>
    <t>BE1EH</t>
  </si>
  <si>
    <t>WOS:000367784700036</t>
  </si>
  <si>
    <t>You, QZ; Bhatia, S; Luo, JB</t>
  </si>
  <si>
    <t>You, Quanzeng; Bhatia, Sumit; Luo, Jiebo</t>
  </si>
  <si>
    <t>A picture tells a thousand words-About you! User interest profiling from user generated visual content</t>
  </si>
  <si>
    <t>SIGNAL PROCESSING</t>
  </si>
  <si>
    <t>User profiling; Social multimedia; Multimedia analysis</t>
  </si>
  <si>
    <t>IMAGE</t>
  </si>
  <si>
    <t>Inference of online social network users' attributes and interests has been an active research topic. Accurate identification of users' attributes and interests is crucial for improving the performance of personalization and recommender systems. Most of the existing works have focused on textual content generated by the users and have successfully used it for predicting users' interests and other identifying attributes. However, little attention has been paid to user generated visual content (images) that is becoming increasingly popular and pervasive in recent times. We posit that images posted by users on online social networks are a reflection of topics they are interested in and propose an approach to infer user attributes from images posted by them. We analyze the content of individual images and then aggregate the image-level knowledge to infer user-level interest distribution. We employ image-level similarity to propagate the label information between images, as well as utilize the image category information derived from the user created organization structure to further propagate the category-level knowledge for all images. A large scale social network dataset of 1.5+ million images created from Pinterest is used for evaluation and the experimental results demonstrate the effectiveness of our proposed approach. (C) 2015 Elsevier B.V. All rights reserved.</t>
  </si>
  <si>
    <t>[You, Quanzeng; Luo, Jiebo] Univ Rochester, Dept Comp Sci, Rochester, NY 14627 USA; [Bhatia, Sumit] IBM Almaden Res Ctr, San Jose, CA USA</t>
  </si>
  <si>
    <t>University of Rochester; International Business Machines (IBM); IBM USA</t>
  </si>
  <si>
    <t>Luo, JB (corresponding author), Univ Rochester, Dept Comp Sci, Rochester, NY 14627 USA.</t>
  </si>
  <si>
    <t>qyou@cs.rochester.edu; sumit.bhatia@us.ibm.com; jluo@cs.rochester.edu</t>
  </si>
  <si>
    <t>You, Quanzeng/X-9917-2019; Luo, Jiebo/AAI-7549-2020; Bhatia, Sumit/HGE-1687-2022</t>
  </si>
  <si>
    <t>You, Quanzeng/0000-0003-3608-0607; Luo, Jiebo/0000-0002-4516-9729; Bhatia, Sumit/0000-0002-8146-4100</t>
  </si>
  <si>
    <t>0165-1684</t>
  </si>
  <si>
    <t>1872-7557</t>
  </si>
  <si>
    <t>SIGNAL PROCESS</t>
  </si>
  <si>
    <t>Signal Process.</t>
  </si>
  <si>
    <t>10.1016/j.sigpro.2015.10.032</t>
  </si>
  <si>
    <t>Engineering, Electrical &amp; Electronic</t>
  </si>
  <si>
    <t>Engineering</t>
  </si>
  <si>
    <t>DI5KP</t>
  </si>
  <si>
    <t>WOS:000373538100006</t>
  </si>
  <si>
    <t>Persia, F; Helmer, S; Pugacs, S; Pilato, G</t>
  </si>
  <si>
    <t>Persia, Fabio; Helmer, Sven; Pugacs, Sergejs; Pilato, Giovanni</t>
  </si>
  <si>
    <t>Social Sensing for Improving the User Experience in Orienteering</t>
  </si>
  <si>
    <t>2019 13TH IEEE INTERNATIONAL CONFERENCE ON SEMANTIC COMPUTING (ICSC)</t>
  </si>
  <si>
    <t>IEEE International Conference on Semantic Computing</t>
  </si>
  <si>
    <t>13th IEEE International Conference on Semantic Computing (ICSC)</t>
  </si>
  <si>
    <t>JAN 30-FEB 01, 2019</t>
  </si>
  <si>
    <t>Newport Beach, CA</t>
  </si>
  <si>
    <t>IEEE,IEEE Comp Soc</t>
  </si>
  <si>
    <t>ALGORITHMS; SOLVE</t>
  </si>
  <si>
    <t>We illustrate an application of social sensing for automatically customizing the solutions to orienteering problems with category constraints. The aim is to improve the user satisfaction in tourist trip planning provided by a previously developed efficient and effective algorithm. The system tries to perceive the possible user interests by sensing their social network profile, induced by computing topics arising from their posts. A set of semantic distance between the user profile and the descriptions of the points of interest (POIs) is then computed, giving an ordered list of POIs according to the user interests. The orienteering algorithm is then run taking into account this list of POIs sorted by the semantic closeness to the user posts in social networks. A preliminary running example has been setup and the results are promising in terms of both accuracy and performance.</t>
  </si>
  <si>
    <t>[Persia, Fabio; Helmer, Sven; Pugacs, Sergejs] Free Univ Bozen Bolzano, Fac Comp Sci, Bolzano, Italy; [Pilato, Giovanni] Natl Res Council Italy, Inst High Performance Comp &amp; Networking, Palermo, Italy</t>
  </si>
  <si>
    <t>Free University of Bozen-Bolzano; Consiglio Nazionale delle Ricerche (CNR); Istituto di Calcolo e Reti ad Alte Prestazioni (ICAR-CNR)</t>
  </si>
  <si>
    <t>Persia, F (corresponding author), Free Univ Bozen Bolzano, Fac Comp Sci, Bolzano, Italy.</t>
  </si>
  <si>
    <t>fabio.persia@unibz.it; shelmer@inf.unibz.it; sergejs.pugacs@stud-inf.unibz.it; giovanni.pilato@icar.cnr.it</t>
  </si>
  <si>
    <t>Pilato, Giovanni/I-7516-2013</t>
  </si>
  <si>
    <t>Persia, Fabio/0000-0002-1798-0215</t>
  </si>
  <si>
    <t>2325-6516</t>
  </si>
  <si>
    <t>978-1-5386-6783-5</t>
  </si>
  <si>
    <t>IEEE INT C SEMANT CO</t>
  </si>
  <si>
    <t>10.1109/ICSC.2019.00052</t>
  </si>
  <si>
    <t>BM6QG</t>
  </si>
  <si>
    <t>WOS:000467270600043</t>
  </si>
  <si>
    <t>Leveraging Followee List Memberships for Inferring User Interests for Passive Users on Twitter</t>
  </si>
  <si>
    <t>PROCEEDINGS OF THE 28TH ACM CONFERENCE ON HYPERTEXT AND SOCIAL MEDIA (HT'17)</t>
  </si>
  <si>
    <t>28th ACM International Conference on Hypertext and Social Media (HT)</t>
  </si>
  <si>
    <t>JUL 04-07, 2017</t>
  </si>
  <si>
    <t>Prague, CZECH REPUBLIC</t>
  </si>
  <si>
    <t>Assoc Comp Machinery,ACM SIGWEB,ACM SIGCHI</t>
  </si>
  <si>
    <t>User modeling; Personalization; Twitter; Passive users</t>
  </si>
  <si>
    <t>User modeling for inferring user interests from Online Social Networks (OSNs) such as Twitter has received great attention in the user modeling community with the growing popularity of OSNs. The focus of previous works has been on analyzing user-generated content such as tweets to infer user interests. Therefore, these previous studies were limited to active users who have been actively generating content. On the other hand, with the percentage of passive use of OSNs on the rise, some researchers investigated different types of information about followees (i.e., people that a user is following) such as tweets, usernames, and biographies to infer user interests for passive users who use OSNs for consuming information from followees but who do not produce any content. Although different types of information about followees have been exploited, list memberships (a topical list which other Twitter users can freely add a user into) of followees have not yet been investigated extensively for inferring user interests. In this paper, we investigate list memberships of followees, to infer interest profiles for passive users. To this end, we propose user modeling strategies with two different weighting schemes as well as a refined interest propagation strategy based on previous work. In addition, we investigate whether the information from biographies and list memberships of followees can complement each other, and thus improve the quality of inferred interest profiles for passive users. Results show that leveraging list memberships of followees is useful for inferring user interests when the number of followees is relatively small compared to using biographies of followees. In addition, we found that combining the two different types of information (list memberships and biographies) of followees can improve the quality of user interest profiles significantly compared to a state-of-art method in the context of link recommendations on Twitter.</t>
  </si>
  <si>
    <t>[Piao, Guangyuan; Breslin, John G.] Natl Univ Ireland, Insight Ctr Data Analyt, Galway, Ireland; [Piao, Guangyuan; Breslin, John G.] IDA Business Pk, Galway, Ireland</t>
  </si>
  <si>
    <t>Piao, GY (corresponding author), Natl Univ Ireland, Insight Ctr Data Analyt, Galway, Ireland.;Piao, GY (corresponding author), IDA Business Pk, Galway, Ireland.</t>
  </si>
  <si>
    <t>guangyuan.piao@insight-centre.org; john.breslin@nuigalway.ie</t>
  </si>
  <si>
    <t>; Breslin, John/B-7025-2015</t>
  </si>
  <si>
    <t>Piao, Guangyuan/0000-0003-0516-2802; Breslin, John/0000-0001-5790-050X</t>
  </si>
  <si>
    <t>This publication has emanated from research conducted with the financial support of Science Foundation Ireland (SFI) under Grant Number SFI/12/RC/2289 (Insight Centre for Data Analytics).</t>
  </si>
  <si>
    <t>978-1-4503-4708-2</t>
  </si>
  <si>
    <t>10.1145/3078714.3078730</t>
  </si>
  <si>
    <t>BO0IX</t>
  </si>
  <si>
    <t>WOS:000491264200018</t>
  </si>
  <si>
    <t>Vogt, J; Martin, E; Portmann, E; Mahmud, N</t>
  </si>
  <si>
    <t>Vogt, Joel; Martin, Eugenia; Portmann, Edy; Mahmud, Nasim</t>
  </si>
  <si>
    <t>Towards an SMS-based Social Network for Health Workers in Rural Areas in Myanmar</t>
  </si>
  <si>
    <t>2014 INTERNATIONAL CONFERENCE ON INFORMATICS, ELECTRONICS &amp; VISION (ICIEV)</t>
  </si>
  <si>
    <t>International Conference on Informatics, Electronics and Vision (ICIEV)</t>
  </si>
  <si>
    <t>MAY 23-24, 2014</t>
  </si>
  <si>
    <t>Univ Dhaka, Dhaka, BANGLADESH</t>
  </si>
  <si>
    <t>Univ Dhaka</t>
  </si>
  <si>
    <t>Community health workers; Rural health; mHealth; ICD-10</t>
  </si>
  <si>
    <t>PILOT</t>
  </si>
  <si>
    <t>Seventy percent of the population in Myanmar lives in rural areas. Although health workers are adequately trained, they are overburdened due to understaffing and insufficient supplies. Literature confirms that information and communication technologies can extend the reach of healthcare. In this paper, we present an SMS-based social network that aims to help health workers to interact with other medical professionals through topic-based message delivery. Topics describe interests of users and the content of message. A message is delivered by matching message content with user interests. Users describe topics as ICD-10 codes, a comprehensive medical taxonomy. In this ICD-10 coded SMS, a set of prearranged codes provides a common language for users to send structured information that fits inside an SMS.</t>
  </si>
  <si>
    <t>[Vogt, Joel; Martin, Eugenia] Univ Fribourg, Dept Informat, CH-1700 Fribourg, Switzerland</t>
  </si>
  <si>
    <t>University of Fribourg</t>
  </si>
  <si>
    <t>Vogt, J (corresponding author), Univ Fribourg, Dept Informat, CH-1700 Fribourg, Switzerland.</t>
  </si>
  <si>
    <t>978-1-4799-5180-2</t>
  </si>
  <si>
    <t>Computer Science, Artificial Intelligence; Engineering, Electrical &amp; Electronic</t>
  </si>
  <si>
    <t>BB7ZD</t>
  </si>
  <si>
    <t>WOS:000346137900180</t>
  </si>
  <si>
    <t>Chen, RZ</t>
  </si>
  <si>
    <t>Shahhosseini, AM</t>
  </si>
  <si>
    <t>Chen, Rong-Zheng</t>
  </si>
  <si>
    <t>Collaborative filtering recommendation algorithm based on the characteristics of social network users</t>
  </si>
  <si>
    <t>PROCEEDINGS OF THE 2015 INTERNATIONAL CONFERENCE ON MECHANICS AND MECHATRONICS (ICMM 2015)</t>
  </si>
  <si>
    <t>International Conference on Mechanics and Mechatronics (ICMM)</t>
  </si>
  <si>
    <t>MAR 13-15, 2015</t>
  </si>
  <si>
    <t>Xian Univ Sci &amp; Technol,Anhui Univ Sci Technol,Guangdong Univ Technol</t>
  </si>
  <si>
    <t>Social network; User characteristics; Collaborative filtering algorithm</t>
  </si>
  <si>
    <t>How to extract useful information for the user from the plethora of social networks has become a very difficult problem. To solve this problem, proposing a collaborative filtering algorithm based on the characteristics of social network users. Firstly, according to the characteristics of Internet users in the social network analysis, user activity and user influence forecast algorithm research from the user angle of feature weights; secondly, the establishment of a user interest model, calculate the most similar to the target user adjacent neighbor set; finally, collaborative filtering recommendation model established social network user characteristics the realization of the social network, processing and utilizing the user characteristic data..</t>
  </si>
  <si>
    <t>[Chen, Rong-Zheng] Guangdong Polytech, Dept Informat Engn, Foshan 528041, Peoples R China</t>
  </si>
  <si>
    <t>Guangdong Polytechnic Normal University</t>
  </si>
  <si>
    <t>Chen, RZ (corresponding author), Guangdong Polytech, Dept Informat Engn, Foshan 528041, Peoples R China.</t>
  </si>
  <si>
    <t>rongzhengchen2008@163.com</t>
  </si>
  <si>
    <t>WORLD SCIENTIFIC PUBL CO PTE LTD</t>
  </si>
  <si>
    <t>SINGAPORE</t>
  </si>
  <si>
    <t>PO BOX 128 FARRER RD, SINGAPORE 9128, SINGAPORE</t>
  </si>
  <si>
    <t>978-981-4699-14-3; 978-981-4699-13-6</t>
  </si>
  <si>
    <t>Engineering, Multidisciplinary</t>
  </si>
  <si>
    <t>BK3RR</t>
  </si>
  <si>
    <t>WOS:000435481800136</t>
  </si>
  <si>
    <t>Matarazzo, KL; Durik, AM; Delaney, ML</t>
  </si>
  <si>
    <t>Matarazzo, Kristina L.; Durik, Amanda M.; Delaney, Molly L.</t>
  </si>
  <si>
    <t>The effect of humorous instructional materials on interest in a math task</t>
  </si>
  <si>
    <t>MOTIVATION AND EMOTION</t>
  </si>
  <si>
    <t>Humor; Individual interest; Situational interest; Mathematics</t>
  </si>
  <si>
    <t>SITUATIONAL INTEREST; ACHIEVEMENT GOALS; TEACHERS USE; APPRAISAL; CLASSROOM; MATHEMATICS; INFORMATION; EMOTION; ANXIETY; MODEL</t>
  </si>
  <si>
    <t>Two studies tested the effect of humor, embedded in learning materials, on task interest. College student participants (N (Study 1) = 359, N (Study 2) = 172) learned a new math technique with the presence or absence of humor in the learning program and/or test instructions. Individual interest in math was measured initially and also tested as a factor. The results showed that the effect of humor in the learning program depended on individual interest in math. Humor raised task interest for those with low individual interest in math but slightly lowered task interest for those with high individual interest in math. Mediating variables of this effect were tested across both studies. Although the mediating variables showed inconsistency, humor may affect task interest through affective responses immediately following the instruction, rather than in subsequent interaction with the task.</t>
  </si>
  <si>
    <t>[Matarazzo, Kristina L.; Durik, Amanda M.; Delaney, Molly L.] No Illinois Univ, De Kalb, IL 60115 USA</t>
  </si>
  <si>
    <t>Northern Illinois University</t>
  </si>
  <si>
    <t>Durik, AM (corresponding author), No Illinois Univ, De Kalb, IL 60115 USA.</t>
  </si>
  <si>
    <t>adurik@niu.edu</t>
  </si>
  <si>
    <t>Durik, Amanda/0000-0002-5125-6554</t>
  </si>
  <si>
    <t>SPRINGER/PLENUM PUBLISHERS</t>
  </si>
  <si>
    <t>0146-7239</t>
  </si>
  <si>
    <t>1573-6644</t>
  </si>
  <si>
    <t>MOTIV EMOTION</t>
  </si>
  <si>
    <t>Motiv. Emot.</t>
  </si>
  <si>
    <t>10.1007/s11031-010-9178-5</t>
  </si>
  <si>
    <t>Psychology, Experimental; Psychology, Social</t>
  </si>
  <si>
    <t>641XW</t>
  </si>
  <si>
    <t>WOS:000281167000008</t>
  </si>
  <si>
    <t>Law, C</t>
  </si>
  <si>
    <t>Law, Ching</t>
  </si>
  <si>
    <t>Profiling Users from Online Social Behaviors with Applications for Tencent Social Ads</t>
  </si>
  <si>
    <t>KDD'16: PROCEEDINGS OF THE 22ND ACM SIGKDD INTERNATIONAL CONFERENCE ON KNOWLEDGE DISCOVERY AND DATA MINING</t>
  </si>
  <si>
    <t>22nd ACM SIGKDD International Conference on Knowledge Discovery and Data Mining (KDD)</t>
  </si>
  <si>
    <t>AUG 13-17, 2016</t>
  </si>
  <si>
    <t>San Francisco, CA</t>
  </si>
  <si>
    <t>Assoc Comp Machinery,Assoc Comp Machinery SIGMOD,Assoc Comp Machinery SIGKDD</t>
  </si>
  <si>
    <t>Advertising Technology; Audience Targeting; Social Networks</t>
  </si>
  <si>
    <t>QQ and Wechat are the two largest instant messaging &amp; social networks in China. Tencent Social Ads is the advertising platform for both Wechat and QQ, serving over 10B page views per day for several hundred million users. We strive to understand as much as possible on our users' characteristics, so as to serve the best personalized ads for them. The rich user behaviors on Tencent's diverse products lay a foundation in our user profiles on many dimensions, including demographics, interests, intents, transactions, physical locations, and devices, etc. In this talk, we will share our experience in large scale user data mining based on online social activities. We will discuss the challenges we face and the solutions we have devised so far. Some demographics data are obtained from user input, and thus would have gaps in both accuracy and coverage. We discuss the techniques in calibrating and verifying these data. We infer user interests from their social behaviors. For example, most QQ groups are not labelled properly, but by applying a large-scale topic model on the QQ memberships, we can effectively classify most QQ groups into an interest taxonomy. We also infer user interests from user's physical location check-ins and uploaded photos. User data can be collected from many diverse sources, including behaviors in various Tencent products, click and conversion in ad platform, and even seed customers collected by advertisers. We'll discuss the systems to merge these diverse data to provide a coherent view for our advertisers. High quality user labels are usually sparse. We implemented an algorithm for advertisers to reach more potential customers through user similarity computation based on user features as well as social graph inferences. We'll describe the system's contributions to ads quality. Top advertisers demand rich audience targeting solutions in combination of their own customer data, Tencent data, and possibly 3rd-party data. We'll discuss the data exchange platform that can facilitate collaborative applications with 3rd-party DSPs and DMPs.</t>
  </si>
  <si>
    <t>[Law, Ching] Tencent, Shenzhen, Peoples R China</t>
  </si>
  <si>
    <t>Tencent</t>
  </si>
  <si>
    <t>Law, C (corresponding author), Tencent, Shenzhen, Peoples R China.</t>
  </si>
  <si>
    <t>chinglaw@tencent.com</t>
  </si>
  <si>
    <t>978-1-4503-4232-2</t>
  </si>
  <si>
    <t>10.1145/2939672.2945368</t>
  </si>
  <si>
    <t>BN6JM</t>
  </si>
  <si>
    <t>WOS:000485529800050</t>
  </si>
  <si>
    <t>Jose, JM; Hauff, C; Altingovde, IS; Song, D; Albakour, D; Watt, S; Tait, J</t>
  </si>
  <si>
    <t>Inferring User Interests for Passive Users on Twitter by Leveraging Followee Biographies</t>
  </si>
  <si>
    <t>ADVANCES IN INFORMATION RETRIEVAL, ECIR 2017</t>
  </si>
  <si>
    <t>39th European Conference on Information Retrieval Research (ECIR)</t>
  </si>
  <si>
    <t>APR 08-13, 2017</t>
  </si>
  <si>
    <t>Aberdeen, SCOTLAND</t>
  </si>
  <si>
    <t>Robert Gordon Univ, Sch Comp Sci &amp; Digital Media</t>
  </si>
  <si>
    <t>User modeling based on the user-generated content of users on social networks such as Twitter has been studied widely, and has been used to provide personalized recommendations via inferred user interest profiles. Most previous studies have focused on active users who actively post tweets, and the corresponding inferred user interest profiles are generated by analyzing these users' tweets. However, there are also a great number of passive users who only consume information from Twitter but do not post any tweets. In this paper, we propose a user modeling approach using the biographies (i.e., self descriptions in Twitter profiles) of a user's followees (i.e., the accounts that they follow) to infer user interest profiles for passive users. We evaluate our user modeling strategy in the context of a link recommender system on Twitter. Results show that exploring the biographies of a user's followees improves the quality of user modeling significantly compared to two state-of-the-art approaches leveraging the names and tweets of followees.</t>
  </si>
  <si>
    <t>[Piao, Guangyuan; Breslin, John G.] Natl Univ Ireland Galway, Insight Ctr Data Analyt, IDA Business Pk, Galway, Ireland</t>
  </si>
  <si>
    <t>Piao, GY (corresponding author), Natl Univ Ireland Galway, Insight Ctr Data Analyt, IDA Business Pk, Galway, Ireland.</t>
  </si>
  <si>
    <t>978-3-319-56608-5; 978-3-319-56607-8</t>
  </si>
  <si>
    <t>10.1007/978-3-319-56608-5_10</t>
  </si>
  <si>
    <t>BJ5PR</t>
  </si>
  <si>
    <t>WOS:000426152000010</t>
  </si>
  <si>
    <t>Peña, P; Del Hoyo, R; Vea-Murguía, J; González, C; Mayo, S</t>
  </si>
  <si>
    <t>Bielza, C; Salmeron, A; AlonsoBetanzos, A; Hidalgo, JI; Martinez, L; Troncoso, A; Corchado, E; Corchado, JM</t>
  </si>
  <si>
    <t>Pena, Paula; Del Hoyo, Rafael; Vea-Murguia, Jorge; Gonzalez, Carlos; Mayo, Sergio</t>
  </si>
  <si>
    <t>Automatic Ontology User Profiling for Social Networks from URLs Shared</t>
  </si>
  <si>
    <t>ADVANCES IN ARTIFICIAL INTELLIGENCE, CAEPIA 2013</t>
  </si>
  <si>
    <t>15th Conference of the Spanish-Association-for-Artificial-Intelligence (CAEPIA)</t>
  </si>
  <si>
    <t>SEP 17-20, 2013</t>
  </si>
  <si>
    <t>Madrid, SPAIN</t>
  </si>
  <si>
    <t>Spanish Assoc Artificial Intelligence</t>
  </si>
  <si>
    <t>Twitter; Social Networks; Ontology; RDF; OWL; NoSQL</t>
  </si>
  <si>
    <t>User profiling, defined as the inference of user interests, intentions, characteristics, behaviors and preferences, is nowadays one of the most important keys in personalized services on Internet, such as segmented target advertisements. In this paper, we propose a scalable and automated technique for user ontology profiling in social networks by extracting URL content shared by users in tweets. The new approach models a user profile as a semantic ontology where user interests and intentions are represented. OpenDNS and DBpedia collective knowledge databases are utilized in order to find the interests and intentions categories of the user profile ontology, enhancing the performance of our method and taking the collective categorization of the websites. User profile ontology evolves constantly and is populated with assertions of individuals and relationships of interest and intention from these collective knowledge repositories. Experimental results indicate strongly that the proposed method automatically generates, correctly, the interests and intentions of a user profile.</t>
  </si>
  <si>
    <t>[Pena, Paula; Del Hoyo, Rafael; Vea-Murguia, Jorge; Gonzalez, Carlos; Mayo, Sergio] Aragon Inst Technol, Zaragoza, Spain</t>
  </si>
  <si>
    <t>Peña, P (corresponding author), Aragon Inst Technol, C Maria de Luna 7, Zaragoza, Spain.</t>
  </si>
  <si>
    <t>ppena@ita.es; rdelhoyo@ita.es; jvea@ita.es; cgonzalez@ita.es; smayo@ita.es</t>
  </si>
  <si>
    <t>Peña Larena, Paula/0000-0001-5750-6238; del Hoyo Alonso, Rafael/0000-0003-2755-5500; Vea-murguía, Jorge/0000-0001-7893-8160</t>
  </si>
  <si>
    <t>978-3-642-40642-3; 978-3-642-40643-0</t>
  </si>
  <si>
    <t>BB0LP</t>
  </si>
  <si>
    <t>WOS:000340401800018</t>
  </si>
  <si>
    <t>Hidayat, WN; Pratama, MR; Risky, HSA; Wakhidah, R; Sutikno, TA; Putra, AK</t>
  </si>
  <si>
    <t>Ismail, IE; Hermawan, I; Rasyidin, MYB; Huzaifa, M; Muharram, AT; Marcheeta, N; Kurniawati, D; Yuly, AR; Agustin, M; Nalawati, RE; Nugrahadi, DT; Budiman, I</t>
  </si>
  <si>
    <t>Hidayat, Wahyu Nur; Pratama, Muchammad Ryan; Risky, Hanif Samsu Angga; Wakhidah, Rokhimatul; Sutikno, Tri Atmadji; Putra, Alfyananda Kurnia</t>
  </si>
  <si>
    <t>VIRKOM as Augmented Reality Application for Visualization of Computer Maintenance Learning Material</t>
  </si>
  <si>
    <t>2021 4TH INTERNATIONAL CONFERENCE ON COMPUTER AND INFORMATICS ENGINEERING (IC2IE 2021)</t>
  </si>
  <si>
    <t>4th IEEE International Conference on Computer and Informatics Engineering (IC2IE)</t>
  </si>
  <si>
    <t>SEP 14-15, 2021</t>
  </si>
  <si>
    <t>Jurusan Teknik Informatika Komputer, ELECTR NETWORK</t>
  </si>
  <si>
    <t>Lambung Mangkurat Univ, FMIPA, PS Ilmu Komputer,IEEE Indonesia Sect,Politeknik Negeri Jakarta,Politeknik Negeri Batam,Lambung Mangkurat Univ,IEEE Computat Intelligence Soc,Citra Bunga Nusantara,Minist Res Technol &amp; Higher Educ,Politeknik Negeri Jakarta, Dept Comp &amp; Informat Engn,IC2iE,IEEE</t>
  </si>
  <si>
    <t>Jurusan Teknik Informatika Komputer</t>
  </si>
  <si>
    <t>mobile learning; augmented reality; virtual laboratory; learning media; computer maintenance material</t>
  </si>
  <si>
    <t>Practical learning on computer maintenance for vocational students during the COVID-19 pandemic cannot be implemented optimally. Hardware access problems that are difficult to reach by students cause the learning barriers in this subject to be even greater. Therefore, through this research, a mobile-based learning media was developed to visualize computer component devices with AR technology and 3D animation. The research method used is the ADDIE model. The research begins by diagnosing the problem, describing needs, and finding appropriate solutions for computer maintenance learning. Next, the product design process and user journey are carried out and then develop applications with 3D animation assets and learning materials. Implementation activities go through an evaluation process to media and content experts to determine the validity of the application. The media and content validation instrument consists of 4 aspects with 46 items. This media is equipped with 3D objects that can be used to help students observe computer hardware. Media validation got a value of 79.49% and was included in the valid criteria so that it could be used in learning. Content validation is in the valid category with a value of 80.2%. Several improvements were made to increase the usability and attractiveness of the media so that students' interest in using the media increased. In the future this media can be applied in learning so that it can be seen the impact, both on learning outcomes, student interest and critical thinking on computer troubleshooting.</t>
  </si>
  <si>
    <t>[Hidayat, Wahyu Nur; Pratama, Muchammad Ryan; Risky, Hanif Samsu Angga; Sutikno, Tri Atmadji] Univ Negeri Malang, Elect Engn Dept, Malang, Indonesia; [Wakhidah, Rokhimatul] Politekn Negeri Malang, Informat Technol Dept, Malang, Indonesia; [Putra, Alfyananda Kurnia] Univ Negeri Malang, Geog Dept, Malang, Indonesia</t>
  </si>
  <si>
    <t>Universitas Negeri Malang; State Polytechnic of Malang; Universitas Negeri Malang</t>
  </si>
  <si>
    <t>Hidayat, WN (corresponding author), Univ Negeri Malang, Elect Engn Dept, Malang, Indonesia.</t>
  </si>
  <si>
    <t>wahyu.nur.ft@um.ac.id; muchammad.ryan.1705336@students.um.ac.id; hanif.samsu.1705336@students.um.ac.id; wakhidah@polinema.ac.id; tri.atmadji.ft@um.ac.id; alfyananda.fis@um.ac.id</t>
  </si>
  <si>
    <t>Putra, Alfyananda Kurnia/AFR-1005-2022; Hidayat, Wahyu Nur/AAR-5207-2020</t>
  </si>
  <si>
    <t>Putra, Alfyananda Kurnia/0000-0003-2016-4144; Hidayat, Wahyu Nur/0000-0001-7654-8142</t>
  </si>
  <si>
    <t>978-1-6654-4288-6</t>
  </si>
  <si>
    <t>10.1109/IC2IE53219.2021.9649391</t>
  </si>
  <si>
    <t>Computer Science, Information Systems; Engineering, Multidisciplinary</t>
  </si>
  <si>
    <t>BT7MN</t>
  </si>
  <si>
    <t>WOS:000850131100033</t>
  </si>
  <si>
    <t>Sato, S; Yonezawa, T; Nakazawa, J; Kawasaki, S; Ohta, K; Inamura, H; Tokuda, H</t>
  </si>
  <si>
    <t>Sato, Shoya; Yonezawa, Takuro; Nakazawa, Jin; Kawasaki, Satoshi; Ohta, Ken; Inamura, Hiroshi; Tokuda, Hideyuki</t>
  </si>
  <si>
    <t>City Happenings into Wikipedia Category: Classifying Urban Events by Combining Analyses of Location-based Social Networks and Wikipedia</t>
  </si>
  <si>
    <t>SECOND INTERNATIONAL CONFERENCE ON IOT IN URBAN SPACE (URB-IOT 2016)</t>
  </si>
  <si>
    <t>2nd International Conference on IoT in Urban Space (Urb-IoT)</t>
  </si>
  <si>
    <t>MAY 24-25, 2016</t>
  </si>
  <si>
    <t>Create Net, Tokyo, JAPAN</t>
  </si>
  <si>
    <t>ACM SIGCHI,Yahoo Japan,Cisco Syst,ACM SIGSPATIAL,ACM SIGAPP,European Alliance Innovat</t>
  </si>
  <si>
    <t>Create Net</t>
  </si>
  <si>
    <t>Urban event; classification; SNS; Wikipedia</t>
  </si>
  <si>
    <t>Recently, many researchers have been focusing on the detection and classification of urban events by information analysis on social networks. Previous works mainly use text analysis of users' posts on social networks for detecting urban events. However, this approach has a limitation that the users' posts must mention the event for the analysis to be conducted. We propose a new method for classifying urban events by extracting user interest from the location-based social network information without text analysis. The proposed method includes analyzing common friends of users in the vicinity of the event venue and extracting common the friends' attributes by referring to related Wikipedia information. We designed and implemented the proposed method, and conducted an experiment for evaluating our method. Our experimental result shows that our method can classify events well in cases where participants have similar interests.</t>
  </si>
  <si>
    <t>[Sato, Shoya; Yonezawa, Takuro; Nakazawa, Jin; Tokuda, Hideyuki] Keio Univ, Fujisawa, Kanagawa, Japan; [Kawasaki, Satoshi; Ohta, Ken; Inamura, Hiroshi] NTT Docomo Inc, Yokosuka, Kanagawa, Japan</t>
  </si>
  <si>
    <t>Keio University; NTT Docomo</t>
  </si>
  <si>
    <t>Sato, S (corresponding author), Keio Univ, Fujisawa, Kanagawa, Japan.</t>
  </si>
  <si>
    <t>shoya@ht.sfc.keio.ac.jp; takuro@ht.sfc.keio.ac.jp; jin@ht.sfc.keio.ac.jp; satoshi.kawasaki.vx@nttdocomo.com; ootaken@nttdocomo.com; inamura@nttdocomo.com; hxt@ht.sfc.keio.ac.jp</t>
  </si>
  <si>
    <t>; Ohta, Ken/ABF-1538-2021</t>
  </si>
  <si>
    <t>Inamura, Hiroshi/0000-0002-7278-3150; Yonezawa, Takuro/0000-0001-9781-0402; Ohta, Ken/0000-0003-2360-9874</t>
  </si>
  <si>
    <t>978-1-4503-4204-9</t>
  </si>
  <si>
    <t>10.1145/2962735.2962740</t>
  </si>
  <si>
    <t>BF6RO</t>
  </si>
  <si>
    <t>WOS:000383621200010</t>
  </si>
  <si>
    <t>Dhelim, S; Ning, HS; Aung, N; Huang, RH; Ma, JH</t>
  </si>
  <si>
    <t>Dhelim, Sahraoui; Ning, Huansheng; Aung, Nyothiri; Huang, Runhe; Ma, Jianhua</t>
  </si>
  <si>
    <t>Personality-Aware Product Recommendation System Based on User Interests Mining and Metapath Discovery</t>
  </si>
  <si>
    <t>Big-five model; personality computing; product recommendation; recommendation system; social networks; social computing; user interest mining; user modeling</t>
  </si>
  <si>
    <t>TAXONOMY; TRAITS</t>
  </si>
  <si>
    <t>A recommendation system is an integral part of any modern online shopping or social network platform. The product recommendation system as a typical example of the legacy recommendation systems suffers from two major drawbacks: recommendation redundancy and unpredictability concerning new items (cold start). These limitations take place because the legacy recommendation systems rely only on the user's previous buying behavior to recommend new items. Incorporating the user's social features, such as personality traits and topical interest, might help alleviate the cold start and remove recommendation redundancy. Therefore, in this article, we propose Meta-Interest, a personality-aware product recommendation system based on user interest mining and metapath discovery. Meta-Interest predicts the user's interest and the items associated with these interests, even if the user's history does not contain these items or similar ones. This is done by analyzing the user's topical interests and, eventually, recommending the items associated with the user's interest. The proposed system is personality-aware from two aspects; it incorporates the user's personality traits to predict his/her topics of interest and to match the user's personality facets with the associated items. The proposed system was compared against recent recommendation methods, such as deep-learning-based recommendation system and session-based recommendation systems. Experimental results show that the proposed method can increase the precision and recall of the recommendation system, especially in cold-start settings.</t>
  </si>
  <si>
    <t>[Dhelim, Sahraoui; Ning, Huansheng; Aung, Nyothiri] Univ Sci &amp; Technol Beijing, Sch Comp &amp; Commun Engn, Beijing 100083, Peoples R China; [Huang, Runhe; Ma, Jianhua] Hosei Univ, Fac Comp &amp; Informat Sci, Tokyo 1848584, Japan</t>
  </si>
  <si>
    <t>University of Science &amp; Technology Beijing; Hosei University</t>
  </si>
  <si>
    <t>Ning, HS (corresponding author), Univ Sci &amp; Technol Beijing, Sch Comp &amp; Commun Engn, Beijing 100083, Peoples R China.</t>
  </si>
  <si>
    <t>ninghuansheng@ustb.edu.cn</t>
  </si>
  <si>
    <t>; DHELIM, Sahraoui/L-5176-2017; Aung, Nyo Thiri/AFK-0828-2022; Ma, Jiayi/Y-2470-2019; Dhelim, Sahraoui/L-5176-2017</t>
  </si>
  <si>
    <t>Ning, Huansheng/0000-0001-6413-193X; DHELIM, Sahraoui/0000-0002-3620-1395; , Runhe/0000-0001-5742-3766; Aung, Nyo Thiri/0000-0003-0509-1987;</t>
  </si>
  <si>
    <t>National Natural Science Foundation of China [61872038]; Fundamental Research Funds for the Central Universities [FRF-BD-18-016A]</t>
  </si>
  <si>
    <t>National Natural Science Foundation of China(National Natural Science Foundation of China (NSFC)); Fundamental Research Funds for the Central Universities(Fundamental Research Funds for the Central Universities)</t>
  </si>
  <si>
    <t>This work was supported in part by the National Natural Science Foundation of China under Grant 61872038, and in part by the Fundamental Research Funds for the Central Universities under Grant FRF-BD-18-016A.</t>
  </si>
  <si>
    <t>FEB</t>
  </si>
  <si>
    <t>10.1109/TCSS.2020.3037040</t>
  </si>
  <si>
    <t>QA6LZ</t>
  </si>
  <si>
    <t>WOS:000613556400008</t>
  </si>
  <si>
    <t>Martin, PP; Kubsch, M; Yik, BJ; Burlingham, BT; Graulich, N</t>
  </si>
  <si>
    <t>Martin, Paul P.; Kubsch, Marcus; Yik, Brandon J.; Burlingham, Benjamin T.; Graulich, Nicole</t>
  </si>
  <si>
    <t>Adaptive, but Equitable? Exploring the Impact of Machine Learning-Based Adaptive Support on Educational Debts in Undergraduate Chemistry</t>
  </si>
  <si>
    <t>SCIENCE EDUCATION</t>
  </si>
  <si>
    <t>adaptivity; educational debts; machine learning; personalization; student heterogeneity</t>
  </si>
  <si>
    <t>INTELLIGENT TUTORING SYSTEMS; ACHIEVEMENT GAPS; STUDENTS; METAANALYSIS; LITERACY; SCIENCE; SENSE; KML</t>
  </si>
  <si>
    <t>Students' diverse levels of knowledge and competence-shaped by individual interests and educational debts, including structural, systemic, and institutional barriers-create substantial cognitive heterogeneity in instructional settings. Adequately addressing this heterogeneity is challenging. Emerging studies applying artificial intelligence (AI) in education claim that advanced AI techniques like machine learning (ML) can mitigate educational debts by providing adaptive support. However, previous research offers limited clarity on how learning outcomes vary following AI-based adaptive instruction and which students improve their learning outcomes. To address these issues, this article quantitatively examines the extent to which ML-based adaptivity influences students' learning outcomes over time and identifies which students, considering their intersectional identities, benefit most from this adaptive support. Specifically, we illustrate a semester-long study conducted within an undergraduate organic chemistry course, where an ML model adaptively supported 266 students across four interventions on mechanistic reasoning. We identified five learning trajectories throughout these adaptive interventions. Our findings show that students with higher prior knowledge made greater progress than their peers. Additionally, men without an underrepresented minority (URM) status majoring in chemistry benefited more than URM women who are not chemistry majors. This indicates that the adaptive support maintained and partly exacerbated educational debts. Our study contributes to the literature by analyzing how ML-based adaptivity affects educational debts in undergraduate organic chemistry. In doing so, it adopts a theoretical framework-the enhanced educational debt framework-to assess when different aims of adaptive support are most appropriate in undergraduate education, informing an equity-centered design of adaptive support.</t>
  </si>
  <si>
    <t>[Martin, Paul P.; Graulich, Nicole] Justus Liebig Univ, Inst Chem Educ, Giessen, Germany; [Kubsch, Marcus] Free Univ Berlin, Dept Phys, Berlin, Germany; [Yik, Brandon J.] Univ Georgia, Dept Chem, Athens, GA USA; [Burlingham, Benjamin T.] Indiana Univ, Dept Chem, Bloomington, IN USA</t>
  </si>
  <si>
    <t>Justus Liebig University Giessen; Free University of Berlin; University System of Georgia; University of Georgia; Indiana University System; Indiana University Bloomington</t>
  </si>
  <si>
    <t>Graulich, N (corresponding author), Justus Liebig Univ, Inst Chem Educ, Giessen, Germany.</t>
  </si>
  <si>
    <t>Nicole.Graulich@didaktik.chemie.uni-giessen.de</t>
  </si>
  <si>
    <t>Martin, Paul P/NQF-4064-2025; Yik, Brandon/AAS-6477-2021; Kubsch, Marcus/JBS-2909-2023</t>
  </si>
  <si>
    <t>Martin, Paul P/0000-0001-8648-4250; Yik, Brandon/0000-0001-8124-8451; Burlingham, Benjamin/0009-0009-3500-8487; Kubsch, Marcus/0000-0001-5497-8336</t>
  </si>
  <si>
    <t>German Chemical Industry Association</t>
  </si>
  <si>
    <t>German Chemical Industry Association.</t>
  </si>
  <si>
    <t>0036-8326</t>
  </si>
  <si>
    <t>1098-237X</t>
  </si>
  <si>
    <t>SCI EDUC</t>
  </si>
  <si>
    <t>Sci. Educ.</t>
  </si>
  <si>
    <t>10.1002/sce.70042</t>
  </si>
  <si>
    <t>GH2ZU</t>
  </si>
  <si>
    <t>WOS:001636901800001</t>
  </si>
  <si>
    <t>Peña, P; del Hoyo, R; Vea-Murguía, J; González, C; Mayo, S</t>
  </si>
  <si>
    <t>Raghavan, V; Hu, X; Liau, CJ; Treur, J</t>
  </si>
  <si>
    <t>Pena, Paula; del Hoyo, Rafael; Vea-Murguia, Jorge; Gonzalez, Carlos; Mayo, Sergio</t>
  </si>
  <si>
    <t>Collective Knowledge Ontology User Profiling for Twitter Automatic User Profiling</t>
  </si>
  <si>
    <t>2013 IEEE/WIC/ACM INTERNATIONAL JOINT CONFERENCES ON WEB INTELLIGENCE (WI) AND INTELLIGENT AGENT TECHNOLOGIES (IAT), VOL 1</t>
  </si>
  <si>
    <t>12th IEEE/WIC/ACM International Joint Conferences on Web Intelligence and Intelligent Agent Technology (WI-IAT)</t>
  </si>
  <si>
    <t>NOV 17-20, 2013</t>
  </si>
  <si>
    <t>Atlanta, GA</t>
  </si>
  <si>
    <t>IEEE,Web Intelligence Consortium,Assoc Comp Machinery,IEEE Comp Soc,ebay,Facebook,IEEE Comp Soc Tech Comm Intelligent Informat,ACM SIGART</t>
  </si>
  <si>
    <t>How to model user interests and intentions through user profiling is an important key for providing personalized service on Internet. User profiling can be seen as the inference of user interests, intentions, characteristics, behaviors and preferences. This paper introduces a scalable and automated technique for user profiling by extracting his URLs from publicly available tweets information and using a semantic ontology in which user interests and intentions are characterized. In order to enhance the performance of our method, categorization of websites offered by OpenDNS and DBpedia collective knowledge databases are used to find the interests and intention categories of the user profile ontology. In this context, user profile ontology is populated taking these collective categories and with assertions of individuals, and relationships of interest and intention. As new concepts and relationships are defined and inferred, user profile ontology evolves continuously. Experimental results based on user's tweets confirm strongly that the proposed method improves the automatic acquisition of interests and intentions of a user profile.</t>
  </si>
  <si>
    <t>[Pena, Paula; del Hoyo, Rafael; Vea-Murguia, Jorge; Gonzalez, Carlos; Mayo, Sergio] Aragon Inst Technol, Zaragoza, Spain</t>
  </si>
  <si>
    <t>del Hoyo Alonso, Rafael/0000-0003-2755-5500; Peña Larena, Paula/0000-0001-5750-6238; Vea-murguía, Jorge/0000-0001-7893-8160</t>
  </si>
  <si>
    <t>978-1-4799-2902-3</t>
  </si>
  <si>
    <t>10.1109/WI-IAT.2013.62</t>
  </si>
  <si>
    <t>BA0HL</t>
  </si>
  <si>
    <t>WOS:000331265000063</t>
  </si>
  <si>
    <t>Bhattacharya, P; Zafar, MB; Ganguly, N; Ghosh, S; Gummadi, KP</t>
  </si>
  <si>
    <t>Bhattacharya, Parantapa; Zafar, Muhammad Bilal; Ganguly, Niloy; Ghosh, Saptarshi; Gummadi, Krishna P.</t>
  </si>
  <si>
    <t>Inferring User Interests in the Twitter Social Network</t>
  </si>
  <si>
    <t>PROCEEDINGS OF THE 8TH ACM CONFERENCE ON RECOMMENDER SYSTEMS (RECSYS'14)</t>
  </si>
  <si>
    <t>8th ACM Conference on Recommender Systems (RecSys)</t>
  </si>
  <si>
    <t>OCT 06-10, 2014</t>
  </si>
  <si>
    <t>Foster City,, CA</t>
  </si>
  <si>
    <t>Assoc Comp Machinery,ACM SIGCHI,ACM Special Interest Grp Informat Retrieval,ACM SIGKDD,ACM SIGWEB,ACM SIGecom</t>
  </si>
  <si>
    <t>Twitter; user interests; Lists; Labeled LDA</t>
  </si>
  <si>
    <t>We propose a novel mechanism to infer topics of interest of individual users in the Twitter social network. We observe that in Twitter, a user generally follows experts on various topics of her interest in order to acquire information on those topics. We use a methodology based on social annotations (proposed earlier by us) to first deduce the topical expertise of popular Twitter users, and then transitively infer the interests of the users who follow them. This methodology is a sharp departure from the traditional techniques of inferring interests of a user from the tweets that she posts or receives. We show that the topics of interest inferred by the proposed methodology are far superior than the topics extracted by state-of-the-art techniques such as using topic models (Labeled LDA) on tweets. Based upon the proposed methodology, we build a system Who Likes What, which can infer the interests of millions of Twitter users. To our knowledge, this is the first system that can infer interests for Twitter users at such scale. Hence, this system would be particularly beneficial in developing personalized recommender services over the Twitter platform.</t>
  </si>
  <si>
    <t>[Bhattacharya, Parantapa; Ganguly, Niloy] IIT Kharagpur, Kharagpur, W Bengal, India; [Bhattacharya, Parantapa; Zafar, Muhammad Bilal; Ghosh, Saptarshi; Gummadi, Krishna P.] MPI SWS, Saarbrucken, Germany</t>
  </si>
  <si>
    <t>Indian Institute of Technology System (IIT System); Indian Institute of Technology (IIT) - Kharagpur</t>
  </si>
  <si>
    <t>Bhattacharya, P (corresponding author), IIT Kharagpur, Kharagpur, W Bengal, India.</t>
  </si>
  <si>
    <t>; Ghosh, Saptarshi/Q-2244-2016</t>
  </si>
  <si>
    <t>Gummadi, Krishna/0000-0003-1256-8800; Ganguly, Niloy/0000-0002-3967-186X;</t>
  </si>
  <si>
    <t>Indo-German Max Planck Centre for Computer Science (IMPECS); Tata Consultancy Services</t>
  </si>
  <si>
    <t>This research was supported in part by a grant from the Indo-German Max Planck Centre for Computer Science (IMPECS). P. Bhattacharya was supported by a fellowship grant from Tata Consultancy Services.</t>
  </si>
  <si>
    <t>978-1-4503-2668-1</t>
  </si>
  <si>
    <t>10.1145/2645710.2645765</t>
  </si>
  <si>
    <t>BP9NB</t>
  </si>
  <si>
    <t>WOS:000569706700055</t>
  </si>
  <si>
    <t>Li, JX; Wu, NN; Feng, ZR</t>
  </si>
  <si>
    <t>Li, Jianxin; Wu, Nannan; Feng, Zhirui</t>
  </si>
  <si>
    <t>Model-based non-Gaussian interest topic distribution for user retweeting in social networks</t>
  </si>
  <si>
    <t>NEUROCOMPUTING</t>
  </si>
  <si>
    <t>User interest; Information diffusion; Non-Gaussian topic distribution; Conceit; Altruism</t>
  </si>
  <si>
    <t>Retweeting behavior is critical to dissect information diffusion, innovation propagation and events bursting in networks. However, because of the various contents of tweets, recent work mainly focuses on the influential relationship while unable to derive different pathways of information diffusion. Therefore, our work tries to reveal the pattern by tracking retweeting behavior through user interest and categories of tweets. The key for modeling user interest is modeling topic distribution of tweets, which have nonGaussian characteristics (e.g., power law distribution), thus we present the Latent Topics of user Interest (LTI) model which make full use of the non-Gaussian distribution of topics among tweets to uncover user interest and then predict users' possible actions. After dividing users into conceit users and altruism users by whether they have definite selection when retweeting, and categorizing tweets into repeated hot tweets and novel hot tweets by whether its topics always occur in the training set, we demonstrates a pattern-the conceit users promotes the diffusion of repeated hot tweets, whereas the altruism users expands the diffusion of novel hot tweets, and the pattern is evaluated by the correlation coefficient between types of users and tweets, which is greater than.61 for 10 and 100 million tweets of Weibo 2 and Twitter with respect to 70 and 58 thousand users over a period of one month.(C) 2017 Elsevier B.V. Allrightsreserved.</t>
  </si>
  <si>
    <t>[Li, Jianxin; Wu, Nannan; Feng, Zhirui] Beihang Univ, Sch Comp Sci &amp; Engn, Beijing 100191, Peoples R China</t>
  </si>
  <si>
    <t>Beihang University</t>
  </si>
  <si>
    <t>Li, JX (corresponding author), Beihang Univ, Sch Comp Sci &amp; Engn, Beijing 100191, Peoples R China.</t>
  </si>
  <si>
    <t>lijx@act.buaa.edu.cn; wunannan@act.buaa.edu.cn; fengzr@act.buaa.edu.cn</t>
  </si>
  <si>
    <t>Li, Jianxin/QXK-8965-2026; Wu, Nannan/JHT-5224-2023</t>
  </si>
  <si>
    <t>China973 Plan [2014CB340300]; NSFC program [61472022]; Beijing Advanced Innovation Center for Big Data and Brain Computing; [SKLSDE-2016ZX-11]</t>
  </si>
  <si>
    <t>China973 Plan(National Basic Research Program of China); NSFC program(National Natural Science Foundation of China (NSFC)); Beijing Advanced Innovation Center for Big Data and Brain Computing;</t>
  </si>
  <si>
    <t>This work is supported by China973 Plan (No. 2014CB340300), NSFC program (No. 61472022), SKLSDE-2016ZX-11 and partly by the Beijing Advanced Innovation Center for Big Data and Brain Computing.</t>
  </si>
  <si>
    <t>0925-2312</t>
  </si>
  <si>
    <t>1872-8286</t>
  </si>
  <si>
    <t>Neurocomputing</t>
  </si>
  <si>
    <t>FEB 22</t>
  </si>
  <si>
    <t>10.1016/j.neucom.2017.04.078</t>
  </si>
  <si>
    <t>FU6LV</t>
  </si>
  <si>
    <t>WOS:000423965000010</t>
  </si>
  <si>
    <t>Yu, YX; Wang, LY</t>
  </si>
  <si>
    <t>Destech Publications Inc</t>
  </si>
  <si>
    <t>Yu, Yangxin; Wang, Liuyang</t>
  </si>
  <si>
    <t>Personalized Information Recommender System Research Based on Ontology for Social Network</t>
  </si>
  <si>
    <t>2nd International Conference on Sensors, Instrument and Information Technology (ICSIIT 2015)</t>
  </si>
  <si>
    <t>2nd International Conference on Sensors Instrument and Information Technology (ICSIIT)</t>
  </si>
  <si>
    <t>JUN 27-28, 2015</t>
  </si>
  <si>
    <t>Social Network; Recommender System; Data Mining</t>
  </si>
  <si>
    <t>Data mining emerged as rapidly growing technology in order to extract valuable information and knowledge in large volumes data. One of the serious problems of these environments is information overload problem. Based on the issue that how to obtain the interesting information for users quickly and effectively from large volumes data, in this paper explain the impact of ontology and data mining techniques on improving of content-based social network. At first, three type of ontologies will be constructed from the domain corpus with utilization of text mining, Natural Language Processing (NLP) and WordNet and then they will be used as an input in two kind of Recommender System (RS): one, fully ontology-based and one with enriching the user profile vector with ontology in Vector Space Model (VSM) (proposed method), obtained new content recommendation items based on user interest. The experimental results show that the simple VSM based RS can not only improve the accuracy of the content recommender, but also extend the coverage of content.</t>
  </si>
  <si>
    <t>[Yu, Yangxin; Wang, Liuyang] Huaiyin Inst Technol, Fac Comp Engn, Huaian 223003, Peoples R China</t>
  </si>
  <si>
    <t>Huai'an University</t>
  </si>
  <si>
    <t>Yu, YX (corresponding author), Huaiyin Inst Technol, Fac Comp Engn, Huaian 223003, Peoples R China.</t>
  </si>
  <si>
    <t>Hyyyx@hyit.edu.cn; Wangly@hyit.edu.cn</t>
  </si>
  <si>
    <t>DESTECH PUBLICATIONS, INC</t>
  </si>
  <si>
    <t>LANCASTER</t>
  </si>
  <si>
    <t>439 DUKE STREET, LANCASTER, PA 17602-4967 USA</t>
  </si>
  <si>
    <t>978-1-60595-274-1</t>
  </si>
  <si>
    <t>Computer Science, Theory &amp; Methods; Instruments &amp; Instrumentation</t>
  </si>
  <si>
    <t>Computer Science; Instruments &amp; Instrumentation</t>
  </si>
  <si>
    <t>BF3WN</t>
  </si>
  <si>
    <t>WOS:000380587300067</t>
  </si>
  <si>
    <t>Chen, SN; Yang, LY; Zhang, Y; Zhang, M; Xie, YM; Zhu, ZY; Li, JL</t>
  </si>
  <si>
    <t>Chen, Sinan; Yang, Liuyi; Zhang, Yue; Zhang, Miao; Xie, Yangmei; Zhu, Zhiyi; Li, Jialong</t>
  </si>
  <si>
    <t>Digital Human Technology in E-Learning: Custom Content Solutions</t>
  </si>
  <si>
    <t>APPLIED SCIENCES-BASEL</t>
  </si>
  <si>
    <t>E-Learning; digital human; educational content; web service</t>
  </si>
  <si>
    <t>With advances in digital transformation (DX) in education and digital technologies becoming more deeply integrated into educational settings, global demand for video-based learning materials continues to rise, resulting in substantial effort being required from teachers to create e-learning videos. Furthermore, while many existing services offer visual content, they primarily rely on templates, making it challenging to design custom content that addresses specific needs. In this study, we develop a web service that facilitates e-learning video creation through integrated artificial intelligence (AI) and digital human technology. This service enhances educational content by integrating digital human characters and voice synthesis technologies, aiming to create comprehensive e-learning videos by incorporating visual motion and synchronized audio into educational content. In addition, this service also aims to enable the creation of engaging content through advanced visuals and animations, effectively maintaining learner interest.</t>
  </si>
  <si>
    <t>[Chen, Sinan] Kobe Univ, Ctr Math &amp; Data Sci, 1-1 Rokkodai Cho, Nada, Kobe 6578501, Japan; [Chen, Sinan; Zhang, Yue] Kobe Univ, Fac Engn, Grad Sch Engn, 1-1 Rokkodai Cho, Nada, Kobe 6578501, Japan; [Yang, Liuyi; Zhu, Zhiyi] Kobe Univ, Grad Sch Syst Informat, 1-1 Rokkodai Cho, Nada, Kobe 6578501, Japan; [Zhang, Miao] Kobe Univ, Grad Sch Maritime Sci, Lab Sediment Hazards &amp; Disaster Risk, 5-1-1 Fukae Minamicho,Higashinada Ku, Kobe 6580022, Japan; [Xie, Yangmei] Kobe Univ, Grad Sch Human Dev &amp; Environm, 1-1 Rokkodai Cho, Nada, Kobe 6578501, Japan; [Li, Jialong] Waseda Univ, Dept Comp Sci &amp; Engn, 1-104 Totsukamachi,Shinjuku Ku, Tokyo 1698050, Japan</t>
  </si>
  <si>
    <t>Kobe University; Kobe University; Kobe University; Kobe University; Kobe University; Waseda University</t>
  </si>
  <si>
    <t>Chen, SN (corresponding author), Kobe Univ, Ctr Math &amp; Data Sci, 1-1 Rokkodai Cho, Nada, Kobe 6578501, Japan.;Chen, SN (corresponding author), Kobe Univ, Fac Engn, Grad Sch Engn, 1-1 Rokkodai Cho, Nada, Kobe 6578501, Japan.;Yang, LY (corresponding author), Kobe Univ, Grad Sch Syst Informat, 1-1 Rokkodai Cho, Nada, Kobe 6578501, Japan.</t>
  </si>
  <si>
    <t>chensinan@gold.kobe-u.ac.jp; 211x508x@gsuite.kobe-u.ac.jp; 228t802t@gsuite.kobe-u.ac.jp; 218w402w@gsuite.kobe-u.ac.jp; 247d605d@gsuite.kobe-u.ac.jp; 194x606x@gsuite.kobe-u.ac.jp; lijialong@fuji.waseda.jp</t>
  </si>
  <si>
    <t>; Chen, Sinan/AAZ-7549-2021; LI, Jialong/KMY-2433-2024; Zhiyi, Zhu/QWF-3858-2026</t>
  </si>
  <si>
    <t>yang, liuyi/0009-0007-1908-4514; Zhang, Miao/0000-0003-2894-8103; Chen, Sinan/0000-0002-9898-7370; LI, Jialong/0000-0003-4327-1807; Zhiyi, Zhu/0009-0009-4058-5887</t>
  </si>
  <si>
    <t>CMDS Joint Project Promoting DX Inside &amp; Outside the University [PJ2024-03]; CMDS Joint Project Promoting DX Inside</t>
  </si>
  <si>
    <t>CMDS Joint Project Promoting DX Inside &amp; Outside the University; CMDS Joint Project Promoting DX Inside</t>
  </si>
  <si>
    <t>This research was partially funded by CMDS Joint Project Promoting DX Inside &amp; Outside the University Grant Number PJ2024-03.</t>
  </si>
  <si>
    <t>2076-3417</t>
  </si>
  <si>
    <t>APPL SCI-BASEL</t>
  </si>
  <si>
    <t>Appl. Sci.-Basel</t>
  </si>
  <si>
    <t>MAR 31</t>
  </si>
  <si>
    <t>10.3390/app15073807</t>
  </si>
  <si>
    <t>Chemistry, Multidisciplinary; Engineering, Multidisciplinary; Materials Science, Multidisciplinary; Physics, Applied</t>
  </si>
  <si>
    <t>Chemistry; Engineering; Materials Science; Physics</t>
  </si>
  <si>
    <t>1FI4V</t>
  </si>
  <si>
    <t>WOS:001463685300001</t>
  </si>
  <si>
    <t>Fan, L; Li, BT</t>
  </si>
  <si>
    <t>Baciu, G; Wang, YX; Yao, YY; Kinsner, W; Chan, K; Zadeh, LA</t>
  </si>
  <si>
    <t>Fan, Lisa; Li, Botang</t>
  </si>
  <si>
    <t>Blog-based Online Social Relationship Extraction</t>
  </si>
  <si>
    <t>PROCEEDINGS OF THE 8TH IEEE INTERNATIONAL CONFERENCE ON COGNITIVE INFORMATICS</t>
  </si>
  <si>
    <t>8th IEEE International Conference on Cognitive Informatics (ICCI 2009)</t>
  </si>
  <si>
    <t>JUN 15-17, 2009</t>
  </si>
  <si>
    <t>Hong Kong Polytechn Univ, Hong Kong, PEOPLES R CHINA</t>
  </si>
  <si>
    <t>IEEE Comp Soc,ICCI 09,IJCINI,Hong Kong Polytechn Univ,Univ Calgary</t>
  </si>
  <si>
    <t>Hong Kong Polytechn Univ</t>
  </si>
  <si>
    <t>Web Mining; Social Network; Similarity Measure; Visualization</t>
  </si>
  <si>
    <t>With the number of participants in online social networks increasing dramatically, an intelligent and efficient social relationship management system is necessary for online users. The traditional linear social entity list representation would become problematic while, the network grows larger. In this, paper, we present a system - visoLink which is a social network based on friends ranking by using our proposed user interest similarity measure. A unique approach combining content analysis and usage analysis for user interest mining has been proposed It measures user's interests based on both user's writing and reading interests. This similarity measure between online actors provides the fundamental support for personal social network visualization and the personalized recommendation.</t>
  </si>
  <si>
    <t>[Fan, Lisa; Li, Botang] Univ Regina, Dept Comp Sci, Regina, SK, Canada</t>
  </si>
  <si>
    <t>University of Regina</t>
  </si>
  <si>
    <t>Fan, L (corresponding author), Univ Regina, Dept Comp Sci, Regina, SK, Canada.</t>
  </si>
  <si>
    <t>fan@cs.uregina.ca; li269@cs.uregina.ca</t>
  </si>
  <si>
    <t>978-1-4244-4642-1</t>
  </si>
  <si>
    <t>10.1109/COGINF.2009.5250697</t>
  </si>
  <si>
    <t>BNV22</t>
  </si>
  <si>
    <t>WOS:000275652500066</t>
  </si>
  <si>
    <t>Varshney, D; Kumar, S; Gupta, V</t>
  </si>
  <si>
    <t>Huang, DS; Bevilacqua, V; Premaratne, P</t>
  </si>
  <si>
    <t>Varshney, Devesh; Kumar, Sandeep; Gupta, Vineet</t>
  </si>
  <si>
    <t>Modeling Information Diffusion in Social Networks Using Latent Topic Information</t>
  </si>
  <si>
    <t>INTELLIGENT COMPUTING THEORY</t>
  </si>
  <si>
    <t>10th International Conference on Intelligent Computing (ICIC)</t>
  </si>
  <si>
    <t>AUG 03-06, 2014</t>
  </si>
  <si>
    <t>IEEE Computat Intelligence Soc,Int Neural Network Soc,Natl Sci Fdn China,Tongji Univ,N Univ China,Taiyuan Normal Univ,Taiyuan Univ Sci &amp; Technol</t>
  </si>
  <si>
    <t>Social Network Analysis; Information Diffusion; Diffusion Network; Topic Modeling; Social Media Analysis</t>
  </si>
  <si>
    <t>In present scenario, social networking and microblogging sites have become dynamic and widely used media for communication. Here people share information on various topics through which they express their likes and interests. Analyzing the process of information diffusion on these platforms not only helps in understanding the underlying social dynamics, but is also important for various applications like marketing and advertising. In this paper, we explore a novel problem in social network analysis which is to identify the active edges in the diffusion of a message in the social network. We cast this task as a binary classification problem of detecting whether a link in the social network participates in the propagation of a given message. We propose a learning-based framework which uses user interests and content similarity modeled using latent topic information, along with the features related to the social network. We evaluate our model on data obtained from a well-known social network platform - Twitter. The experiments show a significant improvement over the existing methods.</t>
  </si>
  <si>
    <t>[Varshney, Devesh; Kumar, Sandeep] IIT Roorkee, Dept Comp Sci, Roorkee, Uttar Pradesh, India; [Gupta, Vineet] Adobe Res India Labs, Bangalore, Karnataka, India</t>
  </si>
  <si>
    <t>Indian Institute of Technology System (IIT System); Indian Institute of Technology (IIT) - Roorkee</t>
  </si>
  <si>
    <t>Varshney, D (corresponding author), IIT Roorkee, Dept Comp Sci, Roorkee, Uttar Pradesh, India.</t>
  </si>
  <si>
    <t>devu.var@gmail.com; sgargfec@iitr.ac.in; vineetgupta10@gmail.com</t>
  </si>
  <si>
    <t>Gupta, Vineet/IQR-6047-2023; Kumar, Sandeep/AAW-6570-2020; Varshney, Devesh/L-1774-2016; Kumar, Sandeep/AAW-6570-2020; Kumar, Sandeep/AAW-6570-2020</t>
  </si>
  <si>
    <t>Gupta, Vineet/0000-0002-4096-2533; Kumar, Sandeep/0000-0003-0747-6776; Varshney, Devesh/0000-0003-3857-8716; Kumar, Sandeep/0000-0002-3250-4866; Kumar, Sandeep/0000-0001-9633-407X</t>
  </si>
  <si>
    <t>978-3-319-09333-8; 978-3-319-09332-1</t>
  </si>
  <si>
    <t>BB7GO</t>
  </si>
  <si>
    <t>WOS:000345518700016</t>
  </si>
  <si>
    <t>Mining user interests over active topics on social networks</t>
  </si>
  <si>
    <t>INFORMATION PROCESSING &amp; MANAGEMENT</t>
  </si>
  <si>
    <t>User interest detection; Social network analysis; Homophily; Topic relatedness; Semantic annotation</t>
  </si>
  <si>
    <t>LINK-PREDICTION; INFORMATION; GENERATION</t>
  </si>
  <si>
    <t>Inferring users' interests from their activities on social networks has been an emerging research topic in the recent years. Most existing approaches heavily rely on the explicit contributions (posts) of a user and overlook users' implicit interests, i.e., those potential user interests that the user did not explicitly mention but might have interest in. Given a set of active topics present in a social network in a specified time interval, our goal is to build an interest profile for a user over these topics by considering both explicit and implicit interests of the user. The reason for this is that the interests of free-riders and cold start users who constitute a large majority of social network users, cannot be directly identified from their explicit contributions to the social network. Specifically, to infer users' implicit interests, we propose a graph-based link prediction schema that operates over a representation model consisting of three types of information: user explicit contributions to topics, relationships between users, and the relatedness between topics. Through extensive experiments on different variants of our representation model and considering both homogeneous and heterogeneous link prediction, we investigate how topic relatedness and users' homophily relation impact the quality of inferring users' implicit interests. Comparison with state-of-the-art baselines on a real-world Twitter dataset demonstrates the effectiveness of our model in inferring users' interests in terms of perplexity and in the context of retweet prediction application. Moreover, we further show that the impact of our work is especially meaningful when considered in case of free-riders and cold start users.</t>
  </si>
  <si>
    <t>[Zarrinkalam, Fattane; Bagheri, Ebrahim] Ryerson Univ, Lab Syst Software &amp; Semant LS3, Toronto, ON, Canada; [Zarrinkalam, Fattane; Kahani, Mohsen] Ferdowsi Univ Mashhad, Dept Comp Engn, Mashhad, Iran</t>
  </si>
  <si>
    <t>Toronto Metropolitan University; Ferdowsi University Mashhad</t>
  </si>
  <si>
    <t>; Kahani, Mohsen/P-6849-2014; Zarrinkalam, Fattane/AAI-1083-2019</t>
  </si>
  <si>
    <t>Bagheri, Ebrahim/0000-0002-5148-6237; Kahani, Mohsen/0000-0002-2603-6066;</t>
  </si>
  <si>
    <t>ELSEVIER SCI LTD</t>
  </si>
  <si>
    <t>London</t>
  </si>
  <si>
    <t>125 London Wall, London, ENGLAND</t>
  </si>
  <si>
    <t>0306-4573</t>
  </si>
  <si>
    <t>1873-5371</t>
  </si>
  <si>
    <t>INFORM PROCESS MANAG</t>
  </si>
  <si>
    <t>Inf. Process. Manage.</t>
  </si>
  <si>
    <t>10.1016/j.ipm.2017.12.003</t>
  </si>
  <si>
    <t>FX4DG</t>
  </si>
  <si>
    <t>WOS:000426022300014</t>
  </si>
  <si>
    <t>Xu, RW; Liu, GF; Hua, XM; Ye, SQ; Zhang, XY; Lu, JW</t>
  </si>
  <si>
    <t>Huang, JZ; Pan, Y; Hammer, B; Khan, MK; Xie, X; Cui, L; He, Y</t>
  </si>
  <si>
    <t>Xu, Rongwei; Liu, Guanfeng; Hua, Xianmei; Ye, Shiqi; Zhang, Xuyun; Lu, Junwen</t>
  </si>
  <si>
    <t>Attention-aware Multi-hop Trust Inference in Online Social Networks</t>
  </si>
  <si>
    <t>2022 IEEE 9TH INTERNATIONAL CONFERENCE ON DATA SCIENCE AND ADVANCED ANALYTICS (DSAA)</t>
  </si>
  <si>
    <t>Proceedings of the International Conference on Data Science and Advanced Analytics</t>
  </si>
  <si>
    <t>9th IEEE International Conference on Data Science and Advanced Analytics (DSAA)</t>
  </si>
  <si>
    <t>OCT 13-16, 2022</t>
  </si>
  <si>
    <t>IEEE,IEEE Comp Soc,IEEE Computat Intelligence Soc,ACM SIGKDD,Amer Stat Assoc,China Comp Confederat,Shenzhen Univ,Chinese Acad Sci, Shenzhen Inst Advance Technol,Shenzhen Univ Technol,Shenzhen Assoc Artificial Intelligence,Guangming Lab Artificial Intelligence &amp; Digital Econ</t>
  </si>
  <si>
    <t>attention aware; multi-hop; online social networks; trust inference</t>
  </si>
  <si>
    <t>SELECTION</t>
  </si>
  <si>
    <t>Social trust relationship prediction targets using attributes to quantify the interrelationships in trust between users. Most of the existing algorithms do not consider the heterogeneity and semantics of information included in online social networks, leading to low adaptability in capturing user preferences. What's more, they only focus on directly connected nodes, and treat all the information propagation paths equally, leading to the lack of structure context information. Given the incomplete graph structure on online social networks constructed by existing algorithms, they can hardly have good performance in the trust prediction. In order to solve the above-mentioned problems, we propose a novel Attention-aware Multi-hop Trust Inference (AMTI) model which could capture different features on both nodes and paths adaptively based on the complex contexts and take multi-hop neighbors into account. Specifically, in our model, we construct a heterogeneous graph of three types of nodes: User, Interest, and Relationship as well as two different meta-paths: User-Interest-User, and User-RelativeUser. Then, we adopt a two-level attention mechanism to obtain the attention value on both the node level and path level. To incorporate the multi-hop neighbors' information, we develop a 2-hop attention diffusion to aggregate the information from the indirectly connected nodes. The experimental results on realworld datasets have demonstrated that AMTI outperforms the state-of-the-art methods in terms of the accuracy of social trust prediction.</t>
  </si>
  <si>
    <t>[Xu, Rongwei; Liu, Guanfeng; Zhang, Xuyun] Macquarie Univ, Sch Comp, Fac Sci &amp; Engn, Sydney, NSW, Australia; [Hua, Xianmei] Hong Kong Polytech Univ Hung Hom, Kowloon, Hong Kong, Peoples R China; [Ye, Shiqi] Xiamen Univ, Gregory &amp; Paula Chow Inst Econ Res, Xiamen, Peoples R China; [Lu, Junwen] Xiamen Univ Technol, Sch Comp &amp; Informat Engn, Xiamen, Peoples R China</t>
  </si>
  <si>
    <t>Macquarie University; Hong Kong Polytechnic University; Xiamen University; Xiamen University of Technology</t>
  </si>
  <si>
    <t>Liu, GF (corresponding author), Macquarie Univ, Sch Comp, Fac Sci &amp; Engn, Sydney, NSW, Australia.</t>
  </si>
  <si>
    <t>rongwei.xu@students.mq.edu.au; guanfeng.liu@mq.edu.au; sophie.hua@connect.polyu.hk; shiqi.ye.c@gmail.com; xuyun.zhang@mq.edu.au; jwlu@xmut.edu.cn</t>
  </si>
  <si>
    <t>LU, JUNWEN/LWJ-3154-2024; Liu, Guanfeng/KHV-9757-2024; Zhang, Xuyun/ADR-2749-2022</t>
  </si>
  <si>
    <t>Liu, Guanfeng/0000-0001-8980-4950; Zhang, Xuyun/0000-0001-7353-4159</t>
  </si>
  <si>
    <t>ARC DECRA [DE210101458]</t>
  </si>
  <si>
    <t>ARC DECRA(Australian Research Council)</t>
  </si>
  <si>
    <t>This work is supported by ARC DECRA (project No. DE210101458).</t>
  </si>
  <si>
    <t>2472-1573</t>
  </si>
  <si>
    <t>978-1-6654-7330-9</t>
  </si>
  <si>
    <t>PR INT CONF DATA SC</t>
  </si>
  <si>
    <t>10.1109/DSAA54385.2022.10032362</t>
  </si>
  <si>
    <t>BV0BB</t>
  </si>
  <si>
    <t>WOS:000967751000087</t>
  </si>
  <si>
    <t>Wang, H; Huang, XL; Li, L</t>
  </si>
  <si>
    <t>Wang, Hao; Huang, Xiaoling; Li, Lei</t>
  </si>
  <si>
    <t>Microblog oriented interest extraction with both content and network structure</t>
  </si>
  <si>
    <t>INTELLIGENT DATA ANALYSIS</t>
  </si>
  <si>
    <t>User interests extraction; neighborhood network; microblog; social network; information processing</t>
  </si>
  <si>
    <t>Microblog is an important social media platform, which is a microcosm of microblog users' real life, which it possible to obtain user's real intention and interests by identifying user interest from microblog. In the literature, most existing approaches for extracting user interests usually make use of only the information contained either in the textual posts, or in the social network structure of microblog. In this paper, we propose a systematic framework for interest extraction taking both the textual and social network information of microblog into account to get high quality tags. We first extract users' candidate interests based on the content of microblog, then propose a graph-based approach UNITE based on social network information for ranking user interest, finally introduce a more reasonable and objective metric for evaluation. Experimental results on Sina Weibo, one of the most popular microblog in China, demonstrate that our proposed approach makes dramatic improvements over state-of-the-art baselines.</t>
  </si>
  <si>
    <t>[Wang, Hao; Huang, Xiaoling; Li, Lei] Hefei Univ Technol, Sch Comp Sci &amp; Informat Engn, Hefei 230009, Anhui, Peoples R China; [Huang, Xiaoling] Chuzhou Univ, Sch Comp &amp; Informat Engn, Chuzhou 239000, Anhui, Peoples R China</t>
  </si>
  <si>
    <t>Hefei University of Technology; Chuzhou University</t>
  </si>
  <si>
    <t>Huang, XL (corresponding author), Hefei Univ Technol, Sch Comp Sci &amp; Informat Engn, Hefei 230009, Anhui, Peoples R China.</t>
  </si>
  <si>
    <t>hxl@chzu.edu.cn</t>
  </si>
  <si>
    <t>; Li, Lei/AGF-3677-2022</t>
  </si>
  <si>
    <t>Huang, Xiaoling/0000-0002-7221-8055; Li, Lei/0000-0002-5374-7293</t>
  </si>
  <si>
    <t>National Key Research and Development Program of China [2016YFB1000900]; National Natural Science Foundation of China (NSFC) [61503114]; Key Project of Anhui University Science Research [KJ2017A418]</t>
  </si>
  <si>
    <t>National Key Research and Development Program of China(National Key Research &amp; Development Program of China); National Natural Science Foundation of China (NSFC)(National Natural Science Foundation of China (NSFC)); Key Project of Anhui University Science Research</t>
  </si>
  <si>
    <t>This research has been supported by the National Key Research and Development Program of China under grant 2016YFB1000900, the National Natural Science Foundation of China (NSFC) under grant 61503114, and the Key Project of Anhui University Science Research under grant KJ2017A418.</t>
  </si>
  <si>
    <t>IOS PRESS</t>
  </si>
  <si>
    <t>NIEUWE HEMWEG 6B, 1013 BG AMSTERDAM, NETHERLANDS</t>
  </si>
  <si>
    <t>1088-467X</t>
  </si>
  <si>
    <t>1571-4128</t>
  </si>
  <si>
    <t>INTELL DATA ANAL</t>
  </si>
  <si>
    <t>Intell. Data Anal.</t>
  </si>
  <si>
    <t>10.3233/IDA-173414</t>
  </si>
  <si>
    <t>GF5MN</t>
  </si>
  <si>
    <t>WOS:000432011700004</t>
  </si>
  <si>
    <t>Rathore, NC; Tripathy, S</t>
  </si>
  <si>
    <t>Rathore, Nemi Chandra; Tripathy, Somanath</t>
  </si>
  <si>
    <t>Epidemic model based visibility estimation in Online Social Networks</t>
  </si>
  <si>
    <t>2018 INTERNATIONAL CONFERENCE ON ADVANCES IN COMPUTING, COMMUNICATIONS AND INFORMATICS (ICACCI)</t>
  </si>
  <si>
    <t>7th International Conference on Computing, Communications and Informatics (ICACCI)</t>
  </si>
  <si>
    <t>SEP 19-22, 2018</t>
  </si>
  <si>
    <t>Bangalore, INDIA</t>
  </si>
  <si>
    <t>PES Inst Technol, Bangalore South Campus,IEEE,IEEE Communicat Soc,IEEE Photon Soc,IEEE Robot &amp; Automat Soc</t>
  </si>
  <si>
    <t>On-line Social Network; Privacy; Visibility Prediction; Information Diffusion; Forwarding Probability; Keyword Extraction</t>
  </si>
  <si>
    <t>The emergence of various Online Social Network (OSN) services has revolutionized the way people express themselves among their social connections and to the world. Twitter is one of the most popular OSNs, which allows its users to share ideas with their followers and public, in the form of tweets. Visibility prediction of a tweet is an interesting issue that might be useful in estimating privacy risk caused by the tweet. In this paper, we propose a technique inspired by epidemic models to predict the visibility of a tweet. Our model exploits user interest and relationship strength to predict the visibility of a tweet. The evaluation results show that one can predict the total number of likes and re-tweets of a tweet with the accuracy of approximately 89%.</t>
  </si>
  <si>
    <t>[Rathore, Nemi Chandra; Tripathy, Somanath] Indian Inst Technol Patna, Dept Comp Sci &amp; Engn, Patna, Bihar, India</t>
  </si>
  <si>
    <t>Indian Institute of Technology (IIT) - Patna; Indian Institute of Technology System (IIT System)</t>
  </si>
  <si>
    <t>Rathore, NC (corresponding author), Indian Inst Technol Patna, Dept Comp Sci &amp; Engn, Patna, Bihar, India.</t>
  </si>
  <si>
    <t>nemi@iitp.ac.in; som@iitp.ac.in</t>
  </si>
  <si>
    <t>Rathore, Nemi Chandra/AAA-6868-2022; Tripathy, Somanath/JMC-2884-2023</t>
  </si>
  <si>
    <t>Rathore, Nemi Chandra/0000-0002-5062-8707;</t>
  </si>
  <si>
    <t>978-1-5386-5314-2</t>
  </si>
  <si>
    <t>Computer Science, Theory &amp; Methods; Engineering, Electrical &amp; Electronic; Telecommunications</t>
  </si>
  <si>
    <t>BL7WI</t>
  </si>
  <si>
    <t>WOS:000455682100369</t>
  </si>
  <si>
    <t>Jia, T; Jian, M; Wu, LF; He, YH</t>
  </si>
  <si>
    <t>Jia, Ting; Jian, Meng; Wu, Lifang; He, Yonghao</t>
  </si>
  <si>
    <t>Modular Manifold Ranking for Image Recommendation</t>
  </si>
  <si>
    <t>2018 IEEE FOURTH INTERNATIONAL CONFERENCE ON MULTIMEDIA BIG DATA (BIGMM)</t>
  </si>
  <si>
    <t>4th IEEE International Conference on Multimedia Big Data (BigMM)</t>
  </si>
  <si>
    <t>SEP 13-16, 2018</t>
  </si>
  <si>
    <t>Xian, PEOPLES R CHINA</t>
  </si>
  <si>
    <t>Manifold ranking; modularity; user interest; image recommendation; social networking</t>
  </si>
  <si>
    <t>With the rapid development of social networking, user requirement suffers more and more from intention gap of user interest and semantic gap of multimedia. It becomes urgent to investigate personalized recommendation. In this paper, we propose modular manifold ranking (MMR) for image recommendation. MMR attempts to construct global image manifold over CNN based features extraction to involve content relations in recommendation. Specifically, manifold modularity is introduced to perform a flexible manifold learning for large scale database in a manner of manifold decomposition. MMR employed manifold ranking to propagate users' interests to the whole image manifold and estimate user-image correlation for image recommendation. The experimental analysis illustrates that the proposed method successfully extends the scalability of manifold ranking and achieves good performance in social image recommendation compared with its competitors.</t>
  </si>
  <si>
    <t>[Jia, Ting; Jian, Meng; Wu, Lifang; He, Yonghao] Beijing Univ Technol, Fac Informat Technol, Beijing, Peoples R China</t>
  </si>
  <si>
    <t>jiatingkl@emails.bjut.edu.cn; jianmeng648@163.com; lfwu@bjut.edu.cn; hyh@bjut.edu.cn</t>
  </si>
  <si>
    <t>National Natural Science Foundation of China [61702022]; China Postdoctoral Science Foundation funded project of China [2018T110019]; Beijing excellent young talent cultivation project of China [2017000020124G075]; Beijing University of Technology Ri Xin cultivation project</t>
  </si>
  <si>
    <t>National Natural Science Foundation of China(National Natural Science Foundation of China (NSFC)); China Postdoctoral Science Foundation funded project of China(China Postdoctoral Science Foundation); Beijing excellent young talent cultivation project of China; Beijing University of Technology Ri Xin cultivation project</t>
  </si>
  <si>
    <t>This work was supported by the National Natural Science Foundation of China under Grant (NO. 61702022), China Postdoctoral Science Foundation funded project of China under Grant (NO. 2018T110019), Beijing excellent young talent cultivation project of China under Grant (NO. 2017000020124G075) and Beijing University of Technology Ri Xin cultivation project.</t>
  </si>
  <si>
    <t>978-1-5386-5321-0</t>
  </si>
  <si>
    <t>BR0SW</t>
  </si>
  <si>
    <t>WOS:000630423400072</t>
  </si>
  <si>
    <t>Chen, RC; Hendry; Liu, LJ</t>
  </si>
  <si>
    <t>Chen, Rung-Ching; Hendry; Liu, Lijuan</t>
  </si>
  <si>
    <t>ENHANCING PERSONAL RECOMMENDATION SYSTEM USING FAMILIARITY FACTOR ON SOCIAL NETWORK</t>
  </si>
  <si>
    <t>INTERNATIONAL JOURNAL OF INNOVATIVE COMPUTING INFORMATION AND CONTROL</t>
  </si>
  <si>
    <t>Social network; Recommendation system; Ontology; Personal user index</t>
  </si>
  <si>
    <t>USER INTEREST; INTELLIGENCE; ANALYTICS; ONTOLOGY</t>
  </si>
  <si>
    <t>Social media has become one of the most popular web platforms, with an enormous user base. Many application systems use social media information to generate search results. A recommendation system is one of technologies that may have applications on social media. Numerous studies investigate recommendation systems by combining semantic web reasoning mechanisms. They exploit technologies such as ontologies to achieve intelligent recommendations. Users may then more easily use mobile devices to obtain digital content. We propose a novel method to personalize a recommendation system through the user's affecting index to exploit user similarity and familiarity between users.</t>
  </si>
  <si>
    <t>[Chen, Rung-Ching; Hendry; Liu, Lijuan] Chaoyang Univ Technol, Dept Informat Management, 168 Jifeng E Rd, Taichung 41349, Taiwan</t>
  </si>
  <si>
    <t>Chen, RC (corresponding author), Chaoyang Univ Technol, Dept Informat Management, 168 Jifeng E Rd, Taichung 41349, Taiwan.</t>
  </si>
  <si>
    <t>crching@cyut.edu.tw; s10314905@cyut.edu.tw; ljliu@cyut.edu.tw</t>
  </si>
  <si>
    <t>Ministry of Science and Technology, Taiwan [MOST103-2221-E-324-028, MOST104-2221-E-324-019-MY2]</t>
  </si>
  <si>
    <t>Ministry of Science and Technology, Taiwan</t>
  </si>
  <si>
    <t>This paper is supported by Ministry of Science and Technology, Taiwan, with project number: MOST103-2221-E-324-028 and MOST104-2221-E-324-019-MY2.</t>
  </si>
  <si>
    <t>ICIC INT</t>
  </si>
  <si>
    <t>KUMAMOTO</t>
  </si>
  <si>
    <t>TOKAI UNIV, 9-1-1, TOROKU, KUMAMOTO, 862-8652, JAPAN</t>
  </si>
  <si>
    <t>1349-4198</t>
  </si>
  <si>
    <t>1349-418X</t>
  </si>
  <si>
    <t>INT J INNOV COMPUT I</t>
  </si>
  <si>
    <t>Int. J. Innov. Comp. Inf. Control</t>
  </si>
  <si>
    <t>10.24507/ijicic.13.06.2025</t>
  </si>
  <si>
    <t>FP1MZ</t>
  </si>
  <si>
    <t>WOS:000417378700018</t>
  </si>
  <si>
    <t>Li, MY; Gao, ZY; Du, SG; Zhu, HJ; Dong, MX; Ota, K</t>
  </si>
  <si>
    <t>Li, Muyuan; Gao, Zhaoyu; Du, Suguo; Zhu, Haojin; Dong, Mianxiong; Ota, Kaoru</t>
  </si>
  <si>
    <t>PriMatch: Fairness-aware Secure Friend Discovery Protocol in Mobile Social Network</t>
  </si>
  <si>
    <t>2012 IEEE GLOBAL COMMUNICATIONS CONFERENCE (GLOBECOM)</t>
  </si>
  <si>
    <t>IEEE Global Communications Conference</t>
  </si>
  <si>
    <t>IEEE Global Communications Conference (GLOBECOM)</t>
  </si>
  <si>
    <t>DEC 03-07, 2012</t>
  </si>
  <si>
    <t>Anaheim, CA</t>
  </si>
  <si>
    <t>Mobile Social Network; Friend Discovery; Profile/Interest Match; Privacy Preserving; Fairness</t>
  </si>
  <si>
    <t>SET OPERATIONS</t>
  </si>
  <si>
    <t>Mobile social networks are expected to substantially enrich interaction with ubiquitous computing environments by integrating social context information into local interactions. However, in mobile social networks, the mobile users may face the risk of leaking their personal information and their location privacy. In this study, we first model the secure friend discovery process as a generalized privacy-preserving interest/profile matching problem. Then, we identify a new security threat arising from existing secure friend discovery protocols, coined as runaway attack, which is expected to introduce serious fairness issue. To address this new threat, we introduce a novel blind vector transformation technique, which could hide the correlation between the original vector and the transformed result. Based on it, we propose our fairness-aware privacy preserving interest/profile matching protocol, which enables one party to match its interest with the profile of another, without revealing its real interest and profile and vice versa. The detailed security analysis as well as real-world implementations demonstrate the effectiveness and the efficiency of the proposed protocol.</t>
  </si>
  <si>
    <t>[Li, Muyuan; Gao, Zhaoyu; Du, Suguo; Zhu, Haojin] Shanghai Jiao Tong Univ, Shanghai 200030, Peoples R China</t>
  </si>
  <si>
    <t>Shanghai Jiao Tong University</t>
  </si>
  <si>
    <t>Li, MY (corresponding author), Shanghai Jiao Tong Univ, Shanghai 200030, Peoples R China.</t>
  </si>
  <si>
    <t>leilmyxwz@sjtu.edu.cn; oversky710@sjtu.edu.cn; sgdu@sjtu.edu.cn; zhu-hj@sjtu.edu.cn; mx.dong@ieee.org; k.ota@ieee.org</t>
  </si>
  <si>
    <t>Ota, Kaoru/HDR-5303-2022; Zhu, Haojin/AFM-0905-2022; Dong, Mianxiong/O-7489-2019</t>
  </si>
  <si>
    <t>Ota, Kaoru/0000-0002-3382-1652; Zhu, Haojin/0000-0001-5079-4556; Dong, Mianxiong/0000-0002-2788-3451</t>
  </si>
  <si>
    <t>2334-0983</t>
  </si>
  <si>
    <t>978-1-4673-0921-9; 978-1-4673-0920-2</t>
  </si>
  <si>
    <t>IEEE GLOB COMM CONF</t>
  </si>
  <si>
    <t>Engineering, Electrical &amp; Electronic; Telecommunications</t>
  </si>
  <si>
    <t>Engineering; Telecommunications</t>
  </si>
  <si>
    <t>BGD24</t>
  </si>
  <si>
    <t>WOS:000322375101014</t>
  </si>
  <si>
    <t>Maekawa, S; Saeyor, S; Sakaki, T; Onizuka, M</t>
  </si>
  <si>
    <t>Maekawa, Seiji; Saeyor, Santi; Sakaki, Takeshi; Onizuka, Makoto</t>
  </si>
  <si>
    <t>Effective Candidate Selection and Interpretable Interest Extraction for Follower Prediction on Social Media</t>
  </si>
  <si>
    <t>2021 IEEE/WIC/ACM INTERNATIONAL CONFERENCE ON WEB INTELLIGENCE AND INTELLIGENT AGENT TECHNOLOGY (WI-IAT 2021)</t>
  </si>
  <si>
    <t>DEC 14-17, 2021</t>
  </si>
  <si>
    <t>IEEE Comp Soc Techn Comm Intelligent Informat,Web Intelligence Consortium,ACM-SIGAI,Univ Oxford,Univ Queensland,Deakin Univ,Southeast Univ,Nanjing Univ Finance &amp; Economics,Beijing Union Medical College,IOS Press,PIESAT Int Information Technol Ltd,Tao Technol</t>
  </si>
  <si>
    <t>social media; API restrictions; link prediction; interpretability</t>
  </si>
  <si>
    <t>USER INTEREST</t>
  </si>
  <si>
    <t>We address the problem of predicting new followers for a company account given that the number of social network API calls is limited, in order to enhance the marketing communication effectiveness on social media. The contributions of this paper are three-fold: 1) filtering methods that select promising candidate accounts with high precision while effectively reducing the number of API calls, 2) a new method for extracting interpretable feature vectors (interest vectors) from each account by utilizing standardized categories for marketing communication, and 3) a follower prediction model by utilizing the above candidate selection methods and interpretable interest vectors. Experiments on Twitter data confirm that our follower prediction model performs well with a small number of API calls and clarify which dimension of interest vectors (interest category) contributes to prediction performance.</t>
  </si>
  <si>
    <t>[Maekawa, Seiji; Onizuka, Makoto] Osaka Univ, Suita, Osaka, Japan; [Saeyor, Santi; Sakaki, Takeshi] Hottolink Inc, Chiyoda Ku, Tokyo, Japan</t>
  </si>
  <si>
    <t>University of Osaka</t>
  </si>
  <si>
    <t>Maekawa, S (corresponding author), Osaka Univ, Suita, Osaka, Japan.</t>
  </si>
  <si>
    <t>maekawa.seiji@ist.osaka-u.ac.jp; santi@hottolink.co.jp; t.sakaki@hottolink.co.jp; onizuka@ist.osaka-u.ac.jp</t>
  </si>
  <si>
    <t>; Maekawa, Seiji/IUM-5590-2023</t>
  </si>
  <si>
    <t>onizuka, makoto/0000-0001-5559-8300; Maekawa, Seiji/0000-0003-4283-0929</t>
  </si>
  <si>
    <t>JSPS KAKENHI [JP20H00583]</t>
  </si>
  <si>
    <t>JSPS KAKENHI(Ministry of Education, Culture, Sports, Science and Technology, Japan (MEXT)Japan Society for the Promotion of ScienceGrants-in-Aid for Scientific Research (KAKENHI))</t>
  </si>
  <si>
    <t>This work was supported by JSPS KAKENHI Grant Numbers JP20H00583.</t>
  </si>
  <si>
    <t>978-1-4503-9115-3</t>
  </si>
  <si>
    <t>10.1145/3486622.3493954</t>
  </si>
  <si>
    <t>Computer Science, Artificial Intelligence; Computer Science, Information Systems; Computer Science, Software Engineering; Computer Science, Theory &amp; Methods</t>
  </si>
  <si>
    <t>BU7PW</t>
  </si>
  <si>
    <t>WOS:000943059300015</t>
  </si>
  <si>
    <t>Walkington, C; Sherman, M; Petrosino, A</t>
  </si>
  <si>
    <t>Walkington, Candace; Sherman, Milan; Petrosino, Anthony</t>
  </si>
  <si>
    <t>Playing the game of story problems: Coordinating situation-based reasoning with algebraic representation</t>
  </si>
  <si>
    <t>JOURNAL OF MATHEMATICAL BEHAVIOR</t>
  </si>
  <si>
    <t>Algebra; Story problems; Word problems; Problem solving; Mathematics education</t>
  </si>
  <si>
    <t>WORD-PROBLEM; INDIVIDUAL INTEREST; MATHEMATICS; INSTRUCTION; STUDENTS; CONTEXT; PERSONALIZATION; COMPREHENSION; KNOWLEDGE; TEACHERS</t>
  </si>
  <si>
    <t>This study critically examines a key justification used by educational stakeholders for placing mathematics in context -the idea that contextualization provides students with access to mathematical ideas. We present interviews of 24 ninth grade students from a low-performing urban school solving algebra story problems, some of which were personalized to their experiences. Using a situated cognition framework, we discuss how students use informal strategies and situational knowledge when solving story problems, as well how they engage in non-coordinative reasoning where situation-based reasoning is disconnected from symbol-based reasoning and other problem-solving actions. Results suggest that if contextualization is going to provide students with access to algebraic ideas, supports need to be put in place for students to make connections between formal algebraic representation, informal arithmetic-based reasoning, and situational knowledge.</t>
  </si>
  <si>
    <t>[Walkington, Candace; Petrosino, Anthony] Univ Texas Austin, Dept Curriculum &amp; Instruct, Austin, TX 78712 USA; [Sherman, Milan] Portland State Univ, Portland, OR 97207 USA</t>
  </si>
  <si>
    <t>University of Texas System; University of Texas Austin; Portland State University</t>
  </si>
  <si>
    <t>Walkington, C (corresponding author), Univ Wisconsin, Wisconsin Ctr Educ Res, 1025 Johnson St, Madison, WI 53706 USA.</t>
  </si>
  <si>
    <t>c.walkington1@gmail.com; milan3@pdx.edu; ajpetrosino@austin.utexas.edu</t>
  </si>
  <si>
    <t>Petrosino, Anthony/0000-0002-2048-8993; Walkington, Candace/0000-0002-2338-8760</t>
  </si>
  <si>
    <t>STE 800, 230 PARK AVE, NEW YORK, NY 10169 USA</t>
  </si>
  <si>
    <t>0732-3123</t>
  </si>
  <si>
    <t>1873-8028</t>
  </si>
  <si>
    <t>J MATH BEHAV</t>
  </si>
  <si>
    <t>J. Math. Behav.</t>
  </si>
  <si>
    <t>10.1016/j.jmathb.2011.12.009</t>
  </si>
  <si>
    <t>V0J0L</t>
  </si>
  <si>
    <t>WOS:000216272600002</t>
  </si>
  <si>
    <t>Huang, XL; Wang, H; Li, L; Zhu, Y; Hu, CX</t>
  </si>
  <si>
    <t>Huang, Xiaoling; Wang, Hao; Li, Lei; Zhu, Yi; Hu, Chengxiang</t>
  </si>
  <si>
    <t>Microbloggers' interest inference using a subgraph stream</t>
  </si>
  <si>
    <t>Information processing; microblog; social network; subgraph stream; user interest inference</t>
  </si>
  <si>
    <t>Inferring user interest over large-scale microblogs have attracted much attention in recent years. However, the emergence of the massive data, dynamic change of information and persistence of microblogs pose challenges to interest inference. Most of the existing approaches rarely take into account the combination of these microbloggers' characteristics within the model, which may incur information loss with nontrivial magnitude in real-time extraction of user interest and massive social data processing. To address these problems, in this paper, we propose a novel User-Networked Interest Topic Extraction in the form of Subgraph Stream (UNITE_SS) for microbloggers' interest inference. To be specific, we develop several strategies for the construction of subgraph stream to select the better strategy for user interest inference. Moreover, the information of microblogs in each subgraph is utilized to obtain a real-time and effective interest for microbloggers. The experimental evaluation on a large dataset from Sina Weibo, one of the most popular microblogs in China, demonstrates that the proposed approach outperforms the state-of-the-art baselines in terms of precision, mean reciprocal rank (MRR) as well as runtime from the effectiveness and efficiency perspectives.</t>
  </si>
  <si>
    <t>[Huang, Xiaoling; Wang, Hao; Li, Lei] Hefei Univ Technol, Lab Knowledge Engn Big Data, Hefei 230009, Anhui, Peoples R China; [Huang, Xiaoling; Wang, Hao; Li, Lei] Hefei Univ Technol, Sch Comp Sci &amp; Informat Engn, Hefei, Anhui, Peoples R China; [Huang, Xiaoling; Hu, Chengxiang] Chuzhou Univ, Sch Comp &amp; Informat Engn, Chuzhou, Anhui, Peoples R China; [Zhu, Yi] Yangzhou Univ, Sch Informat Engn, Yangzhou, Jiangsu, Peoples R China</t>
  </si>
  <si>
    <t>Hefei University of Technology; Hefei University of Technology; Chuzhou University; Yangzhou University</t>
  </si>
  <si>
    <t>Li, L (corresponding author), Hefei Univ Technol, Lab Knowledge Engn Big Data, Hefei 230009, Anhui, Peoples R China.</t>
  </si>
  <si>
    <t>lilei@hfut.edu.cn</t>
  </si>
  <si>
    <t>Zhu, Yi/AAB-3410-2020; Li, Lei/AGF-3677-2022</t>
  </si>
  <si>
    <t>Huang, Xiaoling/0000-0002-7221-8055</t>
  </si>
  <si>
    <t>National Key Research and Development Program of China [2016YFB1000900]; National Natural Science Foundation of China (NSFC) [61503114, 61906060]; Key Project of the Natural Science Foundation of Educational Commission of Anhui Province [KJ2019A0642, KJ2018A0432]; Anhui Provincial Natural Science Foundation [1808085MF177, 2008085MF224]; Project of the Natural Science Foundation of Educational Commission of Anhui Province [KJ2018B03]</t>
  </si>
  <si>
    <t>National Key Research and Development Program of China(National Key Research &amp; Development Program of China); National Natural Science Foundation of China (NSFC)(National Natural Science Foundation of China (NSFC)); Key Project of the Natural Science Foundation of Educational Commission of Anhui Province; Anhui Provincial Natural Science Foundation(Natural Science Foundation of Anhui Province); Project of the Natural Science Foundation of Educational Commission of Anhui Province</t>
  </si>
  <si>
    <t>This work was supported in part by the National Key Research and Development Program of China under grant 2016YFB1000900, the National Natural Science Foundation of China (NSFC) under grant 61503114 and 61906060, the Key Project of the Natural Science Foundation of Educational Commission of Anhui Province under grants KJ2019A0642 and KJ2018A0432, the Anhui Provincial Natural Science Foundation under 1808085MF177 and 2008085MF224, and the Project of the Natural Science Foundation of Educational Commission of Anhui Province under grant KJ2018B03.</t>
  </si>
  <si>
    <t>10.3233/IDA-195042</t>
  </si>
  <si>
    <t>QU9PY</t>
  </si>
  <si>
    <t>WOS:000627613100010</t>
  </si>
  <si>
    <t>Ji, WY; Meng, XW; Zhang, YJ</t>
  </si>
  <si>
    <t>Ji, Weiyu; Meng, Xiangwu; Zhang, Yujie</t>
  </si>
  <si>
    <t>SPATM: A Social Period-Aware Topic Model for Personalized Venue Recommendation</t>
  </si>
  <si>
    <t>IEEE TRANSACTIONS ON KNOWLEDGE AND DATA ENGINEERING</t>
  </si>
  <si>
    <t>Games; Switches; Data models; Social network services; Training; Telecommunications; Collaboration; Location-based social network; social-period-aware; topic modeling; latent Dirichlet allocation; Alias sampling; Gaussian LDA; personalized venues recommendation</t>
  </si>
  <si>
    <t>Personalized venues recommendation is essential to help people find attractive venue to visit as growth of location-based social networks. Existing approaches never distinguish user individual interests from her social preferences, which leads to a bottleneck of modeling user check-in behaviors accurately. In this paper, we find the differences between user interests and her social preferences clearly and investigate the time law of user check-in behaviors in depth. Consequently, we propose a social-period-aware topic model (SPATM) to learn the influence weights of both user interests and her social preferences on making-decision for each check-in time automatically. Especially, we model latent topic by leveraging smaller size of dynamic activities instead of static categories, which can alleviate the data sparsity problem by using more co-occurrent activities information. Moreover, our approach can automatically judge whether a user's social preference is periodic or aperiodic and learn the periodicity of periodic one. Furthermore, the Alias Sampling based training approach is introduced to improve sampling efficiency. The results demonstrate our proposed model is effective and outperforms the state-of-the-art approaches in terms of effectiveness and efficiency. Besides, SPATM can learn semantically coherent latent topics and geographically dispersed latent social topics which are useful to explain recommendation.</t>
  </si>
  <si>
    <t>[Ji, Weiyu; Meng, Xiangwu; Zhang, Yujie] Beijing Univ Posts &amp; Telecommun, Beijing Key Lab Intelligent Telecommun Software &amp;, Beijing 100876, Peoples R China; [Ji, Weiyu; Meng, Xiangwu; Zhang, Yujie] Beijing Univ Posts &amp; Telecommun, Sch Comp Sci, Natl Pilot Software Engn Sch, Beijing 100876, Peoples R China</t>
  </si>
  <si>
    <t>Beijing University of Posts &amp; Telecommunications; Beijing University of Posts &amp; Telecommunications</t>
  </si>
  <si>
    <t>Meng, XW (corresponding author), Beijing Univ Posts &amp; Telecommun, Beijing Key Lab Intelligent Telecommun Software &amp;, Beijing 100876, Peoples R China.;Meng, XW (corresponding author), Beijing Univ Posts &amp; Telecommun, Sch Comp Sci, Natl Pilot Software Engn Sch, Beijing 100876, Peoples R China.</t>
  </si>
  <si>
    <t>jiwy1111@bupt.edu.cn; mengxw@bupt.edu.cn; zhangyj@bupt.edu.cn</t>
  </si>
  <si>
    <t>; Meng, Xiangwu/HGD-5144-2022</t>
  </si>
  <si>
    <t>Ji, Weiyu/0000-0002-4685-9916;</t>
  </si>
  <si>
    <t>Mutual Project of Beijing Municipal Education Commission of China</t>
  </si>
  <si>
    <t>This work was supported by the Mutual Project of Beijing Municipal Education Commission of China.</t>
  </si>
  <si>
    <t>10662 LOS VAQUEROS CIRCLE, PO BOX 3014, LOS ALAMITOS, CA 90720-1314 USA</t>
  </si>
  <si>
    <t>1041-4347</t>
  </si>
  <si>
    <t>1558-2191</t>
  </si>
  <si>
    <t>IEEE T KNOWL DATA EN</t>
  </si>
  <si>
    <t>IEEE Trans. Knowl. Data Eng.</t>
  </si>
  <si>
    <t>AUG 1</t>
  </si>
  <si>
    <t>10.1109/TKDE.2020.3029070</t>
  </si>
  <si>
    <t>Computer Science, Artificial Intelligence; Computer Science, Information Systems; Engineering, Electrical &amp; Electronic</t>
  </si>
  <si>
    <t>VL2UJ</t>
  </si>
  <si>
    <t>WOS:000822377600004</t>
  </si>
  <si>
    <t>Katariya, S; Bose, J; Tappashetty, S; Reddy, MV; Sharma, A</t>
  </si>
  <si>
    <t>Katariya, Sharvil; Bose, Joy; Tappashetty, Shambhu; Reddy, Mopuru Vinod; Sharma, Amritansh</t>
  </si>
  <si>
    <t>A Privacy Preserving Approach to Generating Personalized Recommendations Based on Short Text Classification</t>
  </si>
  <si>
    <t>IEEE INDICON: 15TH IEEE INDIA COUNCIL INTERNATIONAL CONFERENCE</t>
  </si>
  <si>
    <t>Annual IEEE India Conference</t>
  </si>
  <si>
    <t>15th IEEE-India-Council International Conference (IEEE INDICON)</t>
  </si>
  <si>
    <t>DEC 16-18, 2018</t>
  </si>
  <si>
    <t>Amrita Vishwa Vidyapeetham, Coimbatore, INDIA</t>
  </si>
  <si>
    <t>IEEE India Council,IEEE Madras Sect,Indian Inst Technol Madras,Inst Elect &amp; Telecommunicat Engineers,Comp Soc India,H&amp;R BLOCK,Soliton</t>
  </si>
  <si>
    <t>Amrita Vishwa Vidyapeetham</t>
  </si>
  <si>
    <t>Calendar data; SMS data; short text classification; recommendation system</t>
  </si>
  <si>
    <t>Nowadays with the discussion around issues like General Data Protection Regulation (GDPR), concerns about user privacy have risen. Machine learning models often require user data to be uploaded to external servers. In this paper, we explore how to balance user privacy with the need to run machine learning on the user's data in the form of short texts, including SMS and calendar titles, to generate personalized recommendations of products from service providers. First, we run a classification algorithm on the short texts to generate a vector of user interest categories, which can be uploaded to an external server without compromising on the user's privacy, since the actual data is never uploaded. After this, on the server we run a classification algorithm on recommendations from third party providers to re-categorize each recommendation as a vector of user interest categories. Finally, we match the two vectors to determine which recommendations will be the most relevant for the user. We conducted a small user study to validate our approach and found that our recommendations matched the users' actual interests with an acceptable accuracy.</t>
  </si>
  <si>
    <t>[Katariya, Sharvil; Bose, Joy; Tappashetty, Shambhu; Reddy, Mopuru Vinod; Sharma, Amritansh] Samsung R&amp;D Inst, Bangalore, Karnataka, India</t>
  </si>
  <si>
    <t>Katariya, S (corresponding author), Samsung R&amp;D Inst, Bangalore, Karnataka, India.</t>
  </si>
  <si>
    <t>sha.katariya@samsung.com; joy.bose@ieee.org; shambhu.t@samsung.com; vinod.m@samsung.com; amr.sharma@samsung.com</t>
  </si>
  <si>
    <t>Bose, Joy/G-5012-2012</t>
  </si>
  <si>
    <t>2325-940X</t>
  </si>
  <si>
    <t>978-1-5386-8235-7</t>
  </si>
  <si>
    <t>ANNU IEEE IND CONF</t>
  </si>
  <si>
    <t>Automation &amp; Control Systems; Computer Science, Software Engineering; Computer Science, Theory &amp; Methods; Engineering, Electrical &amp; Electronic; Instruments &amp; Instrumentation; Telecommunications</t>
  </si>
  <si>
    <t>Automation &amp; Control Systems; Computer Science; Engineering; Instruments &amp; Instrumentation; Telecommunications</t>
  </si>
  <si>
    <t>BR0BD</t>
  </si>
  <si>
    <t>WOS:000627617700133</t>
  </si>
  <si>
    <t>Calabrese, JE; Williams, AM; Capraro, MM</t>
  </si>
  <si>
    <t>Novotna, J; Moraova, H</t>
  </si>
  <si>
    <t>Calabrese, Julia E.; Williams, Ashley M.; Capraro, Mary Margaret</t>
  </si>
  <si>
    <t>PROBLEM-POSING STRATEGIES: SHOWCASING ELEMENTARY STUDENT RESPONSES</t>
  </si>
  <si>
    <t>OPPORTUNITIES IN LEARNING AND TEACHING ELEMENTARY MATHEMATICS</t>
  </si>
  <si>
    <t>International Symposium on Elementary Mathematics Teaching (SEMT)</t>
  </si>
  <si>
    <t>AUG 18-22, 2019</t>
  </si>
  <si>
    <t>Charles Univ, Fac Educ, Prague, CZECH REPUBLIC</t>
  </si>
  <si>
    <t>Charles Univ, Fac Educ</t>
  </si>
  <si>
    <t>elementary; instructional strategies; mathematics education; problem posing</t>
  </si>
  <si>
    <t>Problem-posing instruction is becoming an important component in mathematics classrooms. The aim of the present study was to demonstrate how research-based problem-posing strategies can be enacted in elementary mathematics classrooms. Participants (n=137) were second-, third-, and fourth-grade students. Four research-based problem-posing strategies: manipulatives, games, real-life applications, and student interest were implemented. Researchers qualitatively analyzed student responses. Overall, the four strategies used encouraged students to create reasonable and solvable word problems</t>
  </si>
  <si>
    <t>[Calabrese, Julia E.; Williams, Ashley M.; Capraro, Mary Margaret] Texas A&amp;M Univ, College Stn, TX 77843 USA</t>
  </si>
  <si>
    <t>Calabrese, JE (corresponding author), Texas A&amp;M Univ, College Stn, TX 77843 USA.</t>
  </si>
  <si>
    <t>jcalabrese@tamu.edu; amcraft91@tamu.edu; mmcapraro@tamu.edu</t>
  </si>
  <si>
    <t>CHARLES UNIV, FAC EDUC</t>
  </si>
  <si>
    <t>PRAGUE 1</t>
  </si>
  <si>
    <t>M D RETTIGOV 4, PRAGUE 1, 116 39, CZECH REPUBLIC</t>
  </si>
  <si>
    <t>978-80-7603-069-5</t>
  </si>
  <si>
    <t>Education, Scientific Disciplines</t>
  </si>
  <si>
    <t>BO2CL</t>
  </si>
  <si>
    <t>WOS:000505160800009</t>
  </si>
  <si>
    <t>S</t>
  </si>
  <si>
    <t>Godoy, D; Amandi, A</t>
  </si>
  <si>
    <t>Nayak, R; Ichalkaranje, N; Jain, LC</t>
  </si>
  <si>
    <t>Godoy, Daniela; Amandi, Analia</t>
  </si>
  <si>
    <t>Modeling Interests of Web Users for Recommendation: A User Profiling Approach and Trends</t>
  </si>
  <si>
    <t>EVOLUTION OF THE WEB IN ARTIFICIAL INTELLIGENCE ENVIRONMENTS</t>
  </si>
  <si>
    <t>Studies in Computational Intelligence</t>
  </si>
  <si>
    <t>AGENTS</t>
  </si>
  <si>
    <t>In order to personalize Web-based tasks, personal agents rely oil representations of user interests and preferences contained in user profiles. In consequence, a critical component for these agents is their capacity to acquire and model user interest categories as well as adapt them to changes in user interests over time. In this chapter, we address the problem of modeling the information preferences of Web users and its distinctive characteristics. We discuss the limitations of current profiling approaches and present a novel user profiling technique, named WebProfiler, developed to support incremental learning and adaptation of user profiles in agents assisting users with Web-based tasks. This technique aims at acquiring comprehensible user profiles that accurately capture user interests starting from observation of user behavior on the Web.</t>
  </si>
  <si>
    <t>[Godoy, Daniela] Univ Nacl Ctr Prov Bs As, ISISTAN Res Inst, Buenos Aires, DF, Argentina; Consejo Nacl Invest Cient &amp; Tecn, RA-1033 Buenos Aires, DF, Argentina</t>
  </si>
  <si>
    <t>Consejo Nacional de Investigaciones Cientificas y Tecnicas (CONICET)</t>
  </si>
  <si>
    <t>Godoy, D (corresponding author), Univ Nacl Ctr Prov Bs As, ISISTAN Res Inst, CP 7000, Buenos Aires, DF, Argentina.</t>
  </si>
  <si>
    <t>dgodoy@exa.unicen.edu.ar; amandi@exa.unicen.edu.ar</t>
  </si>
  <si>
    <t>Godoy, Daniela/W-2190-2017</t>
  </si>
  <si>
    <t>Godoy, Daniela/0000-0002-5185-4570</t>
  </si>
  <si>
    <t>1860-949X</t>
  </si>
  <si>
    <t>1860-9503</t>
  </si>
  <si>
    <t>978-3-540-79139-3</t>
  </si>
  <si>
    <t>STUD COMPUT INTELL</t>
  </si>
  <si>
    <t>10.1007/978-3-540-79140-9</t>
  </si>
  <si>
    <t>Computer Science, Artificial Intelligence; Telecommunications</t>
  </si>
  <si>
    <t>Book Citation Index – Science (BKCI-S)</t>
  </si>
  <si>
    <t>Computer Science; Telecommunications</t>
  </si>
  <si>
    <t>BJO23</t>
  </si>
  <si>
    <t>WOS:000266888400003</t>
  </si>
  <si>
    <t>Reber, R; Canning, EA; Harackiewicz, JM</t>
  </si>
  <si>
    <t>Reber, Rolf; Canning, Elizabeth A.; Harackiewicz, Judith M.</t>
  </si>
  <si>
    <t>Personalized Education to Increase Interest</t>
  </si>
  <si>
    <t>CURRENT DIRECTIONS IN PSYCHOLOGICAL SCIENCE</t>
  </si>
  <si>
    <t>personalized education; interest; context personalization; choice; utility-value intervention</t>
  </si>
  <si>
    <t>INTRINSIC MOTIVATION; MATHEMATICS; PERFORMANCE; STUDENTS; CONTEXT; CHOICE; INTERVENTION; DESIGN</t>
  </si>
  <si>
    <t>A long-standing ideal of school education has been to connect instruction to a student's life outside school in order to render subject matter interesting. New technologies enable instructors to personalize learning materials to increase situational interest. After distinguishing three main methods to personalize education (context personalization, choice, and active personalization), we review recent intervention studies designed to increase situational interest, which is necessary for the emergence of individual interest. Across all three kinds of interventions, some studies point to the possibility of increasing interest for students low in initial interest. Despite progress in developing personalized interventions for school practice, research on the theoretical mechanisms behind the success of the interventions has just begun.</t>
  </si>
  <si>
    <t>[Reber, Rolf] Univ Oslo, Dept Psychol, POB 1094, N-0317 Oslo, Norway; [Canning, Elizabeth A.] Indiana Univ, Dept Psychol, Bloomington, IN 47405 USA; [Harackiewicz, Judith M.] Univ Wisconsin, Dept Psychol, Madison, WI 53706 USA</t>
  </si>
  <si>
    <t>University of Oslo; Indiana University System; Indiana University Bloomington; University of Wisconsin System; University of Wisconsin Madison</t>
  </si>
  <si>
    <t>Reber, R (corresponding author), Univ Oslo, Dept Psychol, POB 1094, N-0317 Oslo, Norway.</t>
  </si>
  <si>
    <t>rolf.reber@psykologi.uio.no</t>
  </si>
  <si>
    <t>Canning, Elizabeth/AAE-8705-2019; Reber, Rolf/G-6510-2011</t>
  </si>
  <si>
    <t>Canning, Elizabeth/0000-0002-6864-2224; Reber, Rolf/0000-0002-6669-7109</t>
  </si>
  <si>
    <t>National Institutes of Health [R01-GM102703]</t>
  </si>
  <si>
    <t>National Institutes of Health(United States Department of Health &amp; Human ServicesNational Institutes of Health (NIH) - USA)</t>
  </si>
  <si>
    <t>J. M. Harackiewicz was supported by National Institutes of Health Grant R01-GM102703.</t>
  </si>
  <si>
    <t>0963-7214</t>
  </si>
  <si>
    <t>1467-8721</t>
  </si>
  <si>
    <t>CURR DIR PSYCHOL SCI</t>
  </si>
  <si>
    <t>Curr. Dir. Psychol.</t>
  </si>
  <si>
    <t>10.1177/0963721418793140</t>
  </si>
  <si>
    <t>Psychology, Multidisciplinary</t>
  </si>
  <si>
    <t>HE2HE</t>
  </si>
  <si>
    <t>WOS:000453096500009</t>
  </si>
  <si>
    <t>Wan, L; Wang, H; Hong, YM; Li, R; Chen, W; Huang, Z</t>
  </si>
  <si>
    <t>Wan, Lin; Wang, Han; Hong, Yuming; Li, Ran; Chen, Wei; Huang, Zhou</t>
  </si>
  <si>
    <t>iTourSPOT: a context-aware framework for next POI recommendation in location-based social networks</t>
  </si>
  <si>
    <t>INTERNATIONAL JOURNAL OF DIGITAL EARTH</t>
  </si>
  <si>
    <t>Next POI recommendation; context-aware recommendation; location-based social network; geo-tagged photos</t>
  </si>
  <si>
    <t>WEATHER PREFERENCES; TOURISM; CLIMATE</t>
  </si>
  <si>
    <t>The rising prosperity of Location-based Social Networks (LBSNs) witnessed an explosion in the availability of geo-tagged social media data, which enables tremendous location-aware online services, especially next point of interest (POI) recommendation. However, previous next POI recommendation studies usually adopt fix-length time windows for user check-in sequence modeling, leading to a limited capacity in capturing fine-grained user temporal preferences that easily change over time. Besides, existing methods often directly leverage multi-modal contexts as auxiliary to alleviate the data sparsity issue, which fails to fully exploit the sequential patterns of contextual information for inferring user interest drift. To address the above challenges, we propose a novel framework named iTourSPOT which extends traditional collaborative filtering methods with a context-aware POI embedding architecture. For enhancing temporal interests modeling capacity, we associate the context feature extraction with varying-length sessions and incorporate check-in frequencies of POIs as prior knowledge to instruct the session representation learning of our model. Moreover, a collaborative sequence transduction model is designed for joint context sequence modeling and session-based POI recommendation. Experimental results on a real-world geo-tagged photo dataset clearly demonstrate the effectiveness of the proposed framework when compared with state-of-the-art baseline methods, especially in both sparse and cold-start scenarios.</t>
  </si>
  <si>
    <t>[Wan, Lin; Hong, Yuming] China Univ Geosci, Sch Comp Sci, Wuhan, Peoples R China; [Wang, Han; Huang, Zhou] Peking Univ, Inst Remote Sensing &amp; Geog Informat Syst, Beijing 100871, Peoples R China; [Wang, Han; Huang, Zhou] Peking Univ, Beijing Key Lab Spatial Informat Integrat &amp; Its A, Beijing 100871, Peoples R China; [Li, Ran] Hubei Geol Environm Stn, Informat Ctr, Wuhan, Peoples R China; [Chen, Wei] China Univ Min &amp; Technol, Coll Geosci &amp; Surveying Engn, Beijing, Peoples R China</t>
  </si>
  <si>
    <t>China University of Geosciences; Peking University; Peking University; China University of Mining &amp; Technology</t>
  </si>
  <si>
    <t>Huang, Z (corresponding author), Peking Univ, Inst Remote Sensing &amp; Geog Informat Syst, Beijing 100871, Peoples R China.;Huang, Z (corresponding author), Peking Univ, Beijing Key Lab Spatial Informat Integrat &amp; Its A, Beijing 100871, Peoples R China.</t>
  </si>
  <si>
    <t>huangzhou@pku.edu.cn</t>
  </si>
  <si>
    <t>Huang, Zhou/D-8911-2011; Wang, Han/GXV-5537-2022; chen, wei/GWZ-5380-2022</t>
  </si>
  <si>
    <t>Huang, Zhou/0000-0002-1255-1913; Wan, Lin/0000-0001-5020-0164; Wang, Han/0000-0002-6970-9806; chen, wei/0000-0002-2585-9984</t>
  </si>
  <si>
    <t>National Natural Science Foundation of China [41830645, 41971331]</t>
  </si>
  <si>
    <t>National Natural Science Foundation of China(National Natural Science Foundation of China (NSFC))</t>
  </si>
  <si>
    <t>This research was supported by grants from the National Natural Science Foundation of China [grant numbers 41830645, 41971331].</t>
  </si>
  <si>
    <t>TAYLOR &amp; FRANCIS LTD</t>
  </si>
  <si>
    <t>2-4 PARK SQUARE, MILTON PARK, ABINGDON OR14 4RN, OXON, ENGLAND</t>
  </si>
  <si>
    <t>1753-8947</t>
  </si>
  <si>
    <t>1753-8955</t>
  </si>
  <si>
    <t>INT J DIGIT EARTH</t>
  </si>
  <si>
    <t>Int. J. Digit. Earth</t>
  </si>
  <si>
    <t>DEC 31</t>
  </si>
  <si>
    <t>10.1080/17538947.2022.2122611</t>
  </si>
  <si>
    <t>Geography, Physical; Remote Sensing</t>
  </si>
  <si>
    <t>Physical Geography; Remote Sensing</t>
  </si>
  <si>
    <t>4S2AU</t>
  </si>
  <si>
    <t>WOS:000857251200001</t>
  </si>
  <si>
    <t>Wang, J; Pouwelse, J; Fokker, J; de Vries, AP; Reinders, MJT</t>
  </si>
  <si>
    <t>Wang, Jun; Pouwelse, Johan; Fokker, Jenneke; de Vries, Arjen P.; Reinders, Marcel J. T.</t>
  </si>
  <si>
    <t>Personalization on a peer-to-peer television system</t>
  </si>
  <si>
    <t>MULTIMEDIA TOOLS AND APPLICATIONS</t>
  </si>
  <si>
    <t>Tribler; BuddyCast; peer-to-peer (P2P) television system; personalization; collaborative filtering; recommender system</t>
  </si>
  <si>
    <t>We introduce personalization on Tribler, a peer-to-peer (P2P) television system. Personalization allows users to browse programs much more efficiently according to their taste. It also enables to build social networks that can improve the performance of current P2P systems considerably, by increasing content availability, trust and the realization of proper incentives to exchange content. This paper presents a novel scheme, called BuddyCast, that builds such a social network for a user by exchanging user interest profiles using exploitation and exploration principles. Additionally, we show how the interest of a user in TV programs can be predicted from the zapping behavior by the introduced user-item relevance models, thereby avoiding the explicit rating of TV programs. Further, we present how the social network of a user can be used to realize a truly distributed recommendation of TV programs. Finally, we demonstrate a novel user interface for the personalized peer-to-peer television system that encompasses a personalized tag-based navigation to browse the available distributed content. The user interface also visualizes the social network of a user, thereby increasing community feeling which increases trust amongst users and within available content and creates incentives of to exchange content within the community.</t>
  </si>
  <si>
    <t>[Wang, Jun; Pouwelse, Johan; Reinders, Marcel J. T.] Delft Univ Technol, Fac Elect Engn Math &amp; Comp Sci, Delft, Netherlands; [Fokker, Jenneke] Delft Univ Technol, Fac Ind Design Engn, Delft, Netherlands; [de Vries, Arjen P.] CWI, NL-1009 AB Amsterdam, Netherlands</t>
  </si>
  <si>
    <t>Delft University of Technology; Delft University of Technology; Centrum Wiskunde &amp; Informatica (CWI)</t>
  </si>
  <si>
    <t>Wang, J (corresponding author), Delft Univ Technol, Fac Elect Engn Math &amp; Comp Sci, Delft, Netherlands.</t>
  </si>
  <si>
    <t>jun.wang@tudelft.nl; j.e.fokker@tudelft.nl; arjen@acm.org</t>
  </si>
  <si>
    <t>de Vries, Arjen/AAX-4970-2020</t>
  </si>
  <si>
    <t>de Vries, Arjen/0000-0002-2888-4202; pouwelse, johan/0000-0002-9882-1506</t>
  </si>
  <si>
    <t>1380-7501</t>
  </si>
  <si>
    <t>MULTIMED TOOLS APPL</t>
  </si>
  <si>
    <t>Multimed. Tools Appl.</t>
  </si>
  <si>
    <t>10.1007/s11042-006-0075-6</t>
  </si>
  <si>
    <t>Computer Science, Information Systems; Computer Science, Software Engineering; Computer Science, Theory &amp; Methods; Engineering, Electrical &amp; Electronic</t>
  </si>
  <si>
    <t>241LT</t>
  </si>
  <si>
    <t>WOS:000251658600006</t>
  </si>
  <si>
    <t>Li, X; Zhang, RC; Li, JX</t>
  </si>
  <si>
    <t>Li, Xue; Zhang, Richong; Li, Jianxin</t>
  </si>
  <si>
    <t>User Interest Propagation and Its Application in Recommender System</t>
  </si>
  <si>
    <t>2017 IEEE 29TH INTERNATIONAL CONFERENCE ON TOOLS WITH ARTIFICIAL INTELLIGENCE (ICTAI 2017)</t>
  </si>
  <si>
    <t>Proceedings-International Conference on Tools With Artificial Intelligence</t>
  </si>
  <si>
    <t>29th Annual IEEE International Conference on Tools with Artificial Intelligence (ICTAI)</t>
  </si>
  <si>
    <t>NOV 06-08, 2017</t>
  </si>
  <si>
    <t>Boston, MA</t>
  </si>
  <si>
    <t>user interest prediction; social networks; factor graph</t>
  </si>
  <si>
    <t>TRUST</t>
  </si>
  <si>
    <t>User interest prediction plays an important role in online services, such as electronic commerce, social network, and online advertising. This information is not always explicitly available for online systems. To identify the interests, existing studies merely focused on modeling the relationships between user generated contents and user interests. However, the interests of a user should not only be inferred by user generated contents, but also the relationships between users which might imply the user interests. In this paper, our goal is to unveil the true interests of users based on user generated contents as well as relationships between users. We built a probabilistic user interests model and proposed a user interests propagation algorithm (UIP) to tackle this problem. A factor graph-based approach is utilized to estimate the distribution of the interests of users. We conducted experiments on real-world datasets to validate the effectiveness of the model. Furthermore, we integrated our UIP algorithm with the classical matrix factorization algorithm to deal with the rating prediction task. Experimental studies confirm the superiority of the proposed approach.</t>
  </si>
  <si>
    <t>[Li, Xue; Zhang, Richong; Li, Jianxin] Beihang Univ, State Key Lab Software Dev Environm, Beijing 100191, Peoples R China</t>
  </si>
  <si>
    <t>Li, X (corresponding author), Beihang Univ, State Key Lab Software Dev Environm, Beijing 100191, Peoples R China.</t>
  </si>
  <si>
    <t>lixue@act.buaa.edu.cn; zhangrc@act.buaa.edu.cn; lijx@act.buaa.edu.cn</t>
  </si>
  <si>
    <t>Li, Jianxin/QXK-8965-2026</t>
  </si>
  <si>
    <t>China 973 program [2014CB340305, 2015CB358700]; NSFC [61772059]; Beijing Advanced Innovation Center for Big Data and Brain Computing; [SKLSDE-2016ZX-09]</t>
  </si>
  <si>
    <t>China 973 program(National Basic Research Program of China); NSFC(National Natural Science Foundation of China (NSFC)); Beijing Advanced Innovation Center for Big Data and Brain Computing;</t>
  </si>
  <si>
    <t>This work is supported partly by China 973 program (No. 2014CB340305, 2015CB358700), partly by NSFC 61772059, partly by SKLSDE-2016ZX-09 and by the Beijing Advanced Innovation Center for Big Data and Brain Computing.</t>
  </si>
  <si>
    <t>1082-3409</t>
  </si>
  <si>
    <t>978-1-5386-3876-7</t>
  </si>
  <si>
    <t>PROC INT C TOOLS ART</t>
  </si>
  <si>
    <t>10.1109/ICTAI.2017.00043</t>
  </si>
  <si>
    <t>BK3OG</t>
  </si>
  <si>
    <t>WOS:000435294700032</t>
  </si>
  <si>
    <t>Zhang, JF; Jiang, WJ; Zhang, JR; Wu, J; Wang, GJ</t>
  </si>
  <si>
    <t>Zhang, Jifeng; Jiang, Wenjun; Zhang, Jinrui; Wu, Jie; Wang, Guojun</t>
  </si>
  <si>
    <t>Exploring Weather Data to Predict Activity Attendance in Event-based Social Network: From the Organizer's View</t>
  </si>
  <si>
    <t>ACM TRANSACTIONS ON THE WEB</t>
  </si>
  <si>
    <t>Attendance prediction; event-based social networks; weather factors; event classification</t>
  </si>
  <si>
    <t>Event-based social networks (EBSNs) connect online and offline lives. They allow online users with similar interests to get together in real life. Attendance prediction for activities in EBSNs has attracted a lot of attention and several factors have been studied. However, the prediction accuracy is not very good for some special activities, such as outdoor activities. Moreover, a very important factor, the weather, has not been well exploited. In this work, we strive to understand how the weather factor impacts activity attendance, and we explore it to improve attendance prediction from the organizer's view. First, we classify activities into two categories: the outdoor and the indoor activities. We study the different ways that weather factors may impact these two kinds of activities. We also introduce a new factor of event duration. By integrating the above factors with user interest and user-event distance, we build a model of attendance prediction with the weather named GBT-W, based on the Gradient Boosting Tree. Furthermore, we develop a platform to help event organizers estimate the possible number of activity attendance with different settings (e.g., different weather, location) to effectively plan their events. We conduct extensive experiments, and the results show that our method has a better prediction performance on both the outdoor and the indoor activities, which validates the reasonability of considering weather and duration.</t>
  </si>
  <si>
    <t>[Zhang, Jifeng; Jiang, Wenjun; Zhang, Jinrui] Hunan Univ, Coll Comp Sci &amp; Elect Engn, South Lushan Rd 2, Changsha 410082, Hunan, Peoples R China; [Wu, Jie] Temple Univ, Dept Comp &amp; Informat Sci, SERC 362,1925 N 12th St, Philadelphia, PA 19122 USA; [Wang, Guojun] Guangzhou Univ, Sch Comp Sci, Guangzhou 510006, Guangdong, Peoples R China</t>
  </si>
  <si>
    <t>Hunan University; Pennsylvania Commonwealth System of Higher Education (PCSHE); Temple University; Guangzhou University</t>
  </si>
  <si>
    <t>Jiang, WJ (corresponding author), Hunan Univ, Coll Comp Sci &amp; Elect Engn, South Lushan Rd 2, Changsha 410082, Hunan, Peoples R China.</t>
  </si>
  <si>
    <t>jifengzhang@hnu.edu.cn; jiangwenjunn@hnu.edu.cn; JRZhang@hnu.edu.cn; jiewu@temple.edu; csgjwang@gzhu.edu.cn</t>
  </si>
  <si>
    <t>Jiang, Wenjun/AAQ-8271-2020; Wang, Guojun/G-1674-2015</t>
  </si>
  <si>
    <t>NSFC [61632009]; Science and Technology Program of Changsha City [kq2004017]; Guangdong Provincial NSF [2017A030308006]; Open project of Zhejiang Lab [2019KE0AB02]; NSF [CNS 1824440, CNS 1828363]</t>
  </si>
  <si>
    <t>NSFC(National Natural Science Foundation of China (NSFC)); Science and Technology Program of Changsha City; Guangdong Provincial NSF; Open project of Zhejiang Lab; NSF(National Science Foundation (NSF))</t>
  </si>
  <si>
    <t>This research was supported by NSFC grant 61632009, the Science and Technology Program of Changsha City kq2004017, Guangdong Provincial NSF Grant 2017A030308006, Open project of Zhejiang Lab 2019KE0AB02, and in part by NSF grants CNS 1824440 and CNS 1828363.</t>
  </si>
  <si>
    <t>1601 Broadway, 10th Floor, NEW YORK, NY USA</t>
  </si>
  <si>
    <t>1559-1131</t>
  </si>
  <si>
    <t>1559-114X</t>
  </si>
  <si>
    <t>ACM T WEB</t>
  </si>
  <si>
    <t>ACM Trans. Web</t>
  </si>
  <si>
    <t>10.1145/3440134</t>
  </si>
  <si>
    <t>Computer Science, Information Systems; Computer Science, Software Engineering</t>
  </si>
  <si>
    <t>SK2LV</t>
  </si>
  <si>
    <t>WOS:000656052300005</t>
  </si>
  <si>
    <t>Khattab, S; ElKorany, A; Salah, A</t>
  </si>
  <si>
    <t>Fred, A; Dietz, J; Aveiro, D; Liu, K; Bernardino, J; Filipe, J</t>
  </si>
  <si>
    <t>Khattab, Salma; ElKorany, Abeer; Salah, Akram</t>
  </si>
  <si>
    <t>Enhancing Community Detection in Social Network using Ontology</t>
  </si>
  <si>
    <t>KEOD: PROCEEDINGS OF THE 8TH INTERNATIONAL JOINT CONFERENCE ON KNOWLEDGE DISCOVERY, KNOWLEDGE ENGINEERING AND KNOWLEDGE MANAGEMENT - VOL. 2</t>
  </si>
  <si>
    <t>8th International Joint Conference on Knowledge Discovery, Knowledge Engineering and Knowledge Management (KDIR)</t>
  </si>
  <si>
    <t>NOV 09-11, 2016</t>
  </si>
  <si>
    <t>Porto, PORTUGAL</t>
  </si>
  <si>
    <t>Ontology; Semantic User Profile; Similarity; Modularity; Community Detection</t>
  </si>
  <si>
    <t>In recent years, social networks have been spread widely. Within social network, people tend to form communities in order to have more chances to share opinions, experiences and expertise. Users in social networks belong to the same community according to their behaviour and common interest. This paper presents a semantic approach for community extraction based on identifying the interest of user in order to group them into communities. An ontological user profile is created indicating user interest that is associated with items domain ontology. A set of experiments was applied using real dataset (BookCrossing) to measure the accuracy of the proposed semantic-based framework.</t>
  </si>
  <si>
    <t>[Khattab, Salma; ElKorany, Abeer; Salah, Akram] Cairo Univ, Fac Comp &amp; Informat, Dept Comp Sci, Giza, Egypt</t>
  </si>
  <si>
    <t>Egyptian Knowledge Bank (EKB); Cairo University</t>
  </si>
  <si>
    <t>Khattab, S (corresponding author), Cairo Univ, Fac Comp &amp; Informat, Dept Comp Sci, Giza, Egypt.</t>
  </si>
  <si>
    <t>khattab, sherif/H-3172-2011; Elkorany, Abeer/HGC-8479-2022</t>
  </si>
  <si>
    <t>khattab, sherif/0000-0002-0141-8543; Elkorany, Abeer/0000-0003-3626-7850</t>
  </si>
  <si>
    <t>SCITEPRESS</t>
  </si>
  <si>
    <t>SETUBAL</t>
  </si>
  <si>
    <t>AV D MANUELL, 27A 2 ESQ, SETUBAL, 2910-595, PORTUGAL</t>
  </si>
  <si>
    <t>978-989-758-203-5</t>
  </si>
  <si>
    <t>10.5220/0006067801500156</t>
  </si>
  <si>
    <t>BG7AI</t>
  </si>
  <si>
    <t>WOS:000391112200016</t>
  </si>
  <si>
    <t>Falisse, JB; Huysentruyt, M; Olofsgard, A</t>
  </si>
  <si>
    <t>Falisse, Jean-Benoit; Huysentruyt, Marieke; Olofsgard, Anders</t>
  </si>
  <si>
    <t>INCENTIVISING TEXTBOOKS FOR SELF-STUDY: EXPERIMENTAL EVIDENCE FROM THE DEMOCRATIC REPUBLIC OF THE CONGO</t>
  </si>
  <si>
    <t>ECONOMIC JOURNAL</t>
  </si>
  <si>
    <t>EDUCATION EXPERIMENTAL-EVIDENCE; DEVELOPING-COUNTRIES; TEST-SCORES; OUTCOMES; SCHOOLS; INSTRUCTION; TECHNOLOGY; KNOWLEDGE; INPUTS</t>
  </si>
  <si>
    <t>We designed and randomly evaluated the impact of textbooks for a self-study scheme in eastern areas of the Democratic Republic of the Congo targeting student achievement in primary schools. Students in treatment schools were 7 percentage points more likely to pass the national exam, and those who passed obtained higher scores. We also evidence higher scores on a French language test. The effects are primarily driven by student interest in textbooks, frequency of doing homework and motivation to go to school and continue education. Student achievement can thus be improved by intensified and diversified use of existing learning materials in poor and fragile settings.</t>
  </si>
  <si>
    <t>Univ Edinburgh, Edinburgh Futures Inst, Edinburgh, Midlothian, Scotland; Ctr African Studies, Edinburgh Futures, Edinburgh, Midlothian, Scotland; HEC Paris, Jouy En Josas, France; Stockholm Inst Transit Econ SITE, Stockholm, Sweden; Stockholm Sch Econ, Stockholm, Sweden</t>
  </si>
  <si>
    <t>University of Edinburgh; Hautes Etudes Commerciales (HEC) Paris; Stockholm School of Economics</t>
  </si>
  <si>
    <t>Huysentruyt, M (corresponding author), HEC Paris, Strategy &amp; Business Policy, 1 Rue Liberat, Jouy En Josas, France.</t>
  </si>
  <si>
    <t>huysentruyt@hec.fr</t>
  </si>
  <si>
    <t>Falisse, Jean-Benoît/J-9815-2015</t>
  </si>
  <si>
    <t>Falisse, Jean-Benoît/0000-0002-0291-731X</t>
  </si>
  <si>
    <t>World Bank, through the Results in Education for All Children (REACH) program</t>
  </si>
  <si>
    <t>We are deeply grateful for support from Cordaid in facilitating this research. We are particularly indebted to Adolphe Malanga, Emmanuel Muzi, Liliane Rwezangabo Milimbo, Kamala Kaghoma and Patrice Kiziba Yafali for excellent project management, supervision of surveys and data gathering, and to Alinda Bosch, Mamadou Sylla, Christian Bahizi and Manuela Jansen for continuous support and facilitation. We also thank Bluesquare (and especially Julie Vanhamme and Antoine Legrand) for their assistance with the RBF data and the surveys. We are also grateful to Abhijeet Singh, Pamela Campa, Sam Jones, Isaac Mbiti, Dagmara Celik Katreniak and seminar participants at the S&amp;O 2019 Research Day at HEC Paris, the ASWEDE 2019 Research Conference at Uppsala University, the 2019 NOVAFRICA Conference in Lisbon, the 2019 CSAE Conference in Oxford and Stockholm School of Economics for helpful comments. Excellent research assistance was provided by Edvard Von Sydow and Cecilia Smitt Meyer. Finally, this research was made possible by generous financial support from the World Bank, through the Results in Education for All Children (REACH) program. The analysis follows the pre-analysis plan published on 8 May 2018 at the AEA RCT Registry. The RCT ID is AEARCTR-0001845. Ethical approval was obtained from the Edinburgh School of Social and Political Science Ethics Committee (Application No. 237871).</t>
  </si>
  <si>
    <t>OXFORD UNIV PRESS</t>
  </si>
  <si>
    <t>GREAT CLARENDON ST, OXFORD OX2 6DP, ENGLAND</t>
  </si>
  <si>
    <t>0013-0133</t>
  </si>
  <si>
    <t>1468-0297</t>
  </si>
  <si>
    <t>ECON J</t>
  </si>
  <si>
    <t>Econ. J.</t>
  </si>
  <si>
    <t>10.1093/ej/ueae039</t>
  </si>
  <si>
    <t>SEP 2024</t>
  </si>
  <si>
    <t>Economics</t>
  </si>
  <si>
    <t>Business &amp; Economics</t>
  </si>
  <si>
    <t>O7I1K</t>
  </si>
  <si>
    <t>WOS:001319161100001</t>
  </si>
  <si>
    <t>Huang, WM</t>
  </si>
  <si>
    <t>Li, D</t>
  </si>
  <si>
    <t>Huang Wenmin</t>
  </si>
  <si>
    <t>A Needs Analysis Approach to the Design of College English Elective Courses: A Descriptive Account of Chinese College Students' Needs</t>
  </si>
  <si>
    <t>PROCEEDINGS OF THE 2018 6TH INTERNATIONAL EDUCATION, ECONOMICS, SOCIAL SCIENCE, ARTS, SPORTS AND MANAGEMENT ENGINEERING CONFERENCE (IEESASM 2018)</t>
  </si>
  <si>
    <t>Advances in Social Science Education and Humanities Research</t>
  </si>
  <si>
    <t>6th International Education, Economics, Social Science, Arts, Sports and Management Engineering Conference (IEESASM)</t>
  </si>
  <si>
    <t>DEC 29-30, 2018</t>
  </si>
  <si>
    <t>Qingdao, PEOPLES R CHINA</t>
  </si>
  <si>
    <t>needs analysis; College English elective courses; independently-run colleges students</t>
  </si>
  <si>
    <t>This descriptive NA research with 455 participants studies the Chinese independently-run college learners' needs, to help teachers design College English elective courses. It finds that the learners' target needs include to pass English exams for future career and academic study, and to talk fluently in English; students' learning needs are to satisfy the personal interest, to learn autonomously with passionate and knowledgeable teachers in a relaxed atmosphere with authentic, creative and enlightening class activities with authentic learning materials, and to develop their cognition in the first and the second academic years. Proposals for College English elective courses design are made accordingly.</t>
  </si>
  <si>
    <t>[Huang Wenmin] Guangxi Normal Univ, Lijiang Coll, Guilin 541004, Peoples R China</t>
  </si>
  <si>
    <t>Guangxi Normal University</t>
  </si>
  <si>
    <t>Huang, WM (corresponding author), Guangxi Normal Univ, Lijiang Coll, Guilin 541004, Peoples R China.</t>
  </si>
  <si>
    <t>ATLANTIS PRESS</t>
  </si>
  <si>
    <t>PARIS</t>
  </si>
  <si>
    <t>29 AVENUE LAVMIERE, PARIS, 75019, FRANCE</t>
  </si>
  <si>
    <t>2352-5398</t>
  </si>
  <si>
    <t>978-94-6252-657-0</t>
  </si>
  <si>
    <t>ADV SOC SCI EDUC HUM</t>
  </si>
  <si>
    <t>Social Sciences, Interdisciplinary</t>
  </si>
  <si>
    <t>Social Sciences - Other Topics</t>
  </si>
  <si>
    <t>BM7OG</t>
  </si>
  <si>
    <t>WOS:000468221900046</t>
  </si>
  <si>
    <t>Ding, F; Liu, Y; Cheng, H; Xiong, F; Si, XM; Shen, B</t>
  </si>
  <si>
    <t>Xu, H</t>
  </si>
  <si>
    <t>Ding, Fei; Liu, Yun; Cheng, Hui; Xiong, Fei; Si, Xia-meng; Shen, Bo</t>
  </si>
  <si>
    <t>Read and Reply Behaviors in a BBS Social Network</t>
  </si>
  <si>
    <t>2ND IEEE INTERNATIONAL CONFERENCE ON ADVANCED COMPUTER CONTROL (ICACC 2010), VOL. 4</t>
  </si>
  <si>
    <t>2nd IEEE International Conference on Advanced Computer Control</t>
  </si>
  <si>
    <t>MAR 27-29, 2010</t>
  </si>
  <si>
    <t>Shenyang, PEOPLES R CHINA</t>
  </si>
  <si>
    <t>online social networks; data analysis; user behavior; BBS</t>
  </si>
  <si>
    <t>Understanding user' read and reply behaviors are important both for the study of online social network properties and the modeling of information dissemination and trend prediction. Our dataset is crawled from a famous Chinese BBS social network. By analyzing the read and reply datas of users, we observe that distributions of discussion size and user participation level follow the power-law distribution, agreeing with former empirical and analytical investigations. But the distribution of user interest does not exhibit a power-law property. Statistics from hot posts show that read and reply behaviors vary among different topic categories. For every 100 users interested in a post, one or two of them in average would join the discussion. In addition, investigation concerning time property of replies shows that decay functions with periodical fluctuations are suitable to describe the short-term evolution.</t>
  </si>
  <si>
    <t>[Ding, Fei; Liu, Yun; Cheng, Hui; Xiong, Fei; Si, Xia-meng; Shen, Bo] Beijing Jiaotong Univ, Key Lab Commun &amp; Informat Syst, Beijing Municipal Commiss Educ, Beijing 100044, Peoples R China</t>
  </si>
  <si>
    <t>Beijing Jiaotong University; Beijing Municipal Commission of Education</t>
  </si>
  <si>
    <t>Ding, F (corresponding author), Beijing Jiaotong Univ, Key Lab Commun &amp; Informat Syst, Beijing Municipal Commiss Educ, Beijing 100044, Peoples R China.</t>
  </si>
  <si>
    <t>02211279@bjtu.edu.cn; liuyun@bjtu.edu.cn; 07111013@bjtu.edu.cn; 07120126@bjtu.edu.cn; 05120329@bjtu.edu.cn; bshen@bjtu.edu.cn</t>
  </si>
  <si>
    <t>Si, Xia-Meng/AGD-1247-2022</t>
  </si>
  <si>
    <t>978-1-4244-5847-9</t>
  </si>
  <si>
    <t>10.1109/ICACC.2010.5486884</t>
  </si>
  <si>
    <t>Automation &amp; Control Systems; Engineering, Electrical &amp; Electronic</t>
  </si>
  <si>
    <t>Automation &amp; Control Systems; Engineering</t>
  </si>
  <si>
    <t>BUG30</t>
  </si>
  <si>
    <t>WOS:000289202000129</t>
  </si>
  <si>
    <t>Lee, J; Park, H; Kwon, K; Jeon, Y; Jung, S; Chung, IJ</t>
  </si>
  <si>
    <t>Park, JJ; Jin, H; Jeong, YS; Khan, MK</t>
  </si>
  <si>
    <t>Lee, Jeungmin; Park, Hansaem; Kwon, Kyunglag; Jeon, Yunwan; Jung, Sungwoo; Chung, In-Jeong</t>
  </si>
  <si>
    <t>An Approach for User Interests Extraction Using Decision Tree and Social Network Analysis</t>
  </si>
  <si>
    <t>ADVANCED MULTIMEDIA AND UBIQUITOUS ENGINEERING: FUTURETECH &amp; MUE</t>
  </si>
  <si>
    <t>11th International Scientific Conference on Future Information Technology (FutureTech) / 10th International Conference on Multimedia and Ubiquitous Engineering (MUE)</t>
  </si>
  <si>
    <t>APR 20-22, 2016</t>
  </si>
  <si>
    <t>Beijing, PEOPLES R CHINA</t>
  </si>
  <si>
    <t>Social network service (SNS); Social network analysis (SNA); Friend-Of-A-Friend (FOAF); Interests extraction</t>
  </si>
  <si>
    <t>In this paper, we propose an effective extraction method for acquiring the interests of users from Social Network Services (SNSs). In the proposed approach, a domain ontology generated by a decision tree is first used to classify domain webpages and each user. A Social Network Analysis (SNA) method is then used to analyze the tags from the Friend-Of-A-Friend (FOAF) profiles of each user; after which, we obtained the interests of the users. The results of an experiment conducted to obtain the interests of 2012 USA presidential candidates indicate that the precision and accuracy of our approach are 91.5 and 93.1 % in classifying the users, respectively.</t>
  </si>
  <si>
    <t>[Lee, Jeungmin; Park, Hansaem; Kwon, Kyunglag; Jeon, Yunwan; Jung, Sungwoo; Chung, In-Jeong] Korea Univ, Seoul, South Korea</t>
  </si>
  <si>
    <t>Korea University</t>
  </si>
  <si>
    <t>Chung, IJ (corresponding author), Korea Univ, Seoul, South Korea.</t>
  </si>
  <si>
    <t>wjdals543@korea.ac.kr; park11232000@korea.ac.kr; helpnara@korea.ac.kr; juw123@korea.ac.kr; sigran0@korea.ac.kr; chung@korea.ac.kr</t>
  </si>
  <si>
    <t>Kwon, Kyunglag/0000-0002-5020-8921</t>
  </si>
  <si>
    <t>978-981-10-1536-6; 978-981-10-1535-9</t>
  </si>
  <si>
    <t>10.1007/978-981-10-1536-6_72</t>
  </si>
  <si>
    <t>Mathematics; Multidisciplinary Sciences; Physics, Mathematical</t>
  </si>
  <si>
    <t>Mathematics; Science &amp; Technology - Other Topics; Physics</t>
  </si>
  <si>
    <t>BH3QS</t>
  </si>
  <si>
    <t>WOS:000399933600072</t>
  </si>
  <si>
    <t>Kim, J; Choi, D; Ko, B; Lee, E; Kim, P</t>
  </si>
  <si>
    <t>Kim, Jeongin; Choi, Dongjin; Ko, Byeongkyu; Lee, Eunji; Kim, Pankoo</t>
  </si>
  <si>
    <t>RETRACTED: Extracting User Interests on Facebook (Retracted Article)</t>
  </si>
  <si>
    <t>INTERNATIONAL JOURNAL OF DISTRIBUTED SENSOR NETWORKS</t>
  </si>
  <si>
    <t>Article; Retracted Publication</t>
  </si>
  <si>
    <t>Recently, through the rapid development of smart devices, Facebook has been publicly recognized as a representative social network service. Facebook has profile information that is the basis to form network relationship between people as well as closed information sharing between users. Also, social plug-in Like is a feature that Facebook includes. Current researches based on Facebook have a problem of not considering this Like feature. This paper has proposed the method of extracting user's interest by using Term Frequency of nouns and Likes. Posts and Likes were collected through Facebook Open API. Collected Posts were preprocessed and Term Frequency of nouns was calculated. After calculating weights of user interests by using Term Frequency of nouns and Likes, user interests were extracted by higher ranked user interests weighting.</t>
  </si>
  <si>
    <t>[Kim, Jeongin; Choi, Dongjin; Ko, Byeongkyu; Lee, Eunji; Kim, Pankoo] Chosun Univ, Dept Comp Engn, KS-008 Kwangju, South Korea</t>
  </si>
  <si>
    <t>Chosun University</t>
  </si>
  <si>
    <t>Kim, P (corresponding author), Chosun Univ, Dept Comp Engn, KS-008 Kwangju, South Korea.</t>
  </si>
  <si>
    <t>pkkim@chosun.ac.kr</t>
  </si>
  <si>
    <t>Chosun University(Chosun University)</t>
  </si>
  <si>
    <t>This study was supported by research fund from Chosun University, 2014.</t>
  </si>
  <si>
    <t>1550-1329</t>
  </si>
  <si>
    <t>1550-1477</t>
  </si>
  <si>
    <t>INT J DISTRIB SENS N</t>
  </si>
  <si>
    <t>Int. J. Distrib. Sens. Netw.</t>
  </si>
  <si>
    <t>10.1155/2014/146967</t>
  </si>
  <si>
    <t>Computer Science, Information Systems; Telecommunications</t>
  </si>
  <si>
    <t>AL1HE</t>
  </si>
  <si>
    <t>WOS:000338875600001</t>
  </si>
  <si>
    <t>Jiang, B; Sha, Y</t>
  </si>
  <si>
    <t>Koziel, S; Leifsson, L; Lees, M; Krzhizhanovskaya, VV; Dongarra, J; Sloot, PMA</t>
  </si>
  <si>
    <t>Jiang, Bo; Sha, Ying</t>
  </si>
  <si>
    <t>Modeling Temporal Dynamics of User Interests in Online Social Networks</t>
  </si>
  <si>
    <t>INTERNATIONAL CONFERENCE ON COMPUTATIONAL SCIENCE, ICCS 2015 COMPUTATIONAL SCIENCE AT THE GATES OF NATURE</t>
  </si>
  <si>
    <t>Procedia Computer Science</t>
  </si>
  <si>
    <t>15th Annual International Conference on Computational Science (ICCS)</t>
  </si>
  <si>
    <t>JUN 01-03, 2015</t>
  </si>
  <si>
    <t>Reykjavik Univ, Reykjavik, ICELAND</t>
  </si>
  <si>
    <t>Elsevier,Univ Amsterdam,NTU Singapore,Univ Tennessee</t>
  </si>
  <si>
    <t>Reykjavik Univ</t>
  </si>
  <si>
    <t>online social network; user interests; semantic enrichment; time-sensitive</t>
  </si>
  <si>
    <t>Recent years have witnessed an explosive growth of Online Social Networks (OSNs), which serve as a fertile ground for research such as, characterizing individual and group behaviors, identifying information diffusion patterns, and building new recommendation system. This paper explores user interests in social network. While user interests has been extensively studied as the fundamental solution, it neglects the point that a user may change her interests due to social status shift over time. In this paper, we explore two main problems: how user interests change over time and whether user interests have hierarchy. To this end, we first formulate the user interests problem, then adopt semantic enrichment method to determine user interests, and finally employ the topic hierarchy tree model to capture user interests change over time and identify interest hierarchy. Experimental results demonstrate user interests can be divided into primary interest and secondary interest. the primary interest of user hold stability in a long-term period; the secondary interest, however, is more likely to keep up with hot topics or events in the moment. Meanwhile, We also test and compare our model with two existing systems - Who likes what? and TUMS, the result shows that our model can be profiled a more fine-grained user interests.</t>
  </si>
  <si>
    <t>[Jiang, Bo; Sha, Ying] Chinese Acad Sci, Inst Informat Engn, Beijing, Peoples R China</t>
  </si>
  <si>
    <t>Chinese Academy of Sciences; Institute of Information Engineering, CAS</t>
  </si>
  <si>
    <t>Jiang, B (corresponding author), Chinese Acad Sci, Inst Informat Engn, Beijing, Peoples R China.</t>
  </si>
  <si>
    <t>jiangbo@iie.ac.cn; shaying@iie.ac.cn</t>
  </si>
  <si>
    <t>Jiang, Bo/ABK-3910-2022</t>
  </si>
  <si>
    <t>ELSEVIER SCIENCE BV</t>
  </si>
  <si>
    <t>SARA BURGERHARTSTRAAT 25, PO BOX 211, 1000 AE AMSTERDAM, NETHERLANDS</t>
  </si>
  <si>
    <t>1877-0509</t>
  </si>
  <si>
    <t>PROCEDIA COMPUT SCI</t>
  </si>
  <si>
    <t>10.1016/j.procs.2015.05.275</t>
  </si>
  <si>
    <t>Computer Science, Interdisciplinary Applications; Computer Science, Theory &amp; Methods</t>
  </si>
  <si>
    <t>BE6DP</t>
  </si>
  <si>
    <t>WOS:000373939100051</t>
  </si>
  <si>
    <t>Liu, HY; Deng, SU; Wu, LF; Jian, M; Yang, BW; Zhang, D</t>
  </si>
  <si>
    <t>Liu, Haiying; Deng, Sinuo; Wu, Lifang; Jian, Meng; Yang, Bowen; Zhang, Dai</t>
  </si>
  <si>
    <t>Recommendations for Different Tasks Based on the Uniform Multimodal Joint Representation</t>
  </si>
  <si>
    <t>multimodal joint representation; content curation social networks; different recommend tasks; content based recommend systems</t>
  </si>
  <si>
    <t>Content curation social networks (CCSNs), such as Pinterest and Huaban, are interest driven and content centric. On CCSNs, user interests are represented by a set of boards, and a board is composed of various pins. A pin is an image with a description. All entities, such as users, boards, and categories, can be represented as a set of pins. Therefore, it is possible to implement entity representation and the corresponding recommendations on a uniform representation space from pins. Furthermore, lots of pins are re-pinned from others and the pin's re-pin sequences are recorded on CCSNs. In this paper, a framework which can learn the multimodal joint representation of pins, including text representation, image representation, and multimodal fusion, is proposed. Image representations are extracted from a multilabel convolutional neural network. The multiple labels of pins are automatically obtained by the category distributions in the re-pin sequences, which benefits from the network architecture. Text representations are obtained with the word2vec tool. Two modalities are fused with a multimodal deep Boltzmann machine. On the basis of the pin representation, different recommendation tasks are implemented, including recommending pins or boards to users, recommending thumbnails to boards, and recommending categories to boards. Experimental results on a dataset from Huaban demonstrate that the multimodal joint representation of pins contains the information of user interests. Furthermore, the proposed multimodal joint representation outperformed unimodal representation in different recommendation tasks. Experiments were also performed to validate the effectiveness of the proposed recommendation methods.</t>
  </si>
  <si>
    <t>[Liu, Haiying; Deng, Sinuo; Wu, Lifang; Jian, Meng; Yang, Bowen; Zhang, Dai] Beijing Univ Technol, Fac Informat Technol, Beijing 100124, Peoples R China; [Liu, Haiying] North China Univ Sci &amp; Technol, Coll Artificial Intelligence, Tangshan 063009, Peoples R China</t>
  </si>
  <si>
    <t>Beijing University of Technology; North China University of Science &amp; Technology</t>
  </si>
  <si>
    <t>Wu, LF (corresponding author), Beijing Univ Technol, Fac Informat Technol, Beijing 100124, Peoples R China.</t>
  </si>
  <si>
    <t>liuhaiying@emails.bjut.edu.cn; dsn0w@emails.bjut.edu.cn; lfwu@bjut.edu.cn; mjian@bjut.edu.cn; yangbowen108@emails.bjut.edu.cn; zhangd1@chinatelecom.cn</t>
  </si>
  <si>
    <t>10.3390/app10186170</t>
  </si>
  <si>
    <t>OG3FO</t>
  </si>
  <si>
    <t>WOS:000581774600001</t>
  </si>
  <si>
    <t>Barbosa, R; Santos, R</t>
  </si>
  <si>
    <t>Barbosa, Ricardo; Santos, Ricardo</t>
  </si>
  <si>
    <t>Layer by Layer: A Multidimensional Approach to Online Social Profiles</t>
  </si>
  <si>
    <t>2017 COMPUTING CONFERENCE</t>
  </si>
  <si>
    <t>Computing Conference</t>
  </si>
  <si>
    <t>JUL 18-20, 2017</t>
  </si>
  <si>
    <t>United Kingdon, London, ENGLAND</t>
  </si>
  <si>
    <t>Sci &amp; Information Org,IEEE,Nat Res</t>
  </si>
  <si>
    <t>Online Social Networks; Multidimensional Interests Network; Personality; Self-presentation</t>
  </si>
  <si>
    <t>Online social networks allow users to socialise with others, reveal a lot about themselves by sharing their personal preferences in a freely way, and also construct and manage their identities via self-presentation. This network of interests is often represented in a single network and it is difficult for organisations to obtain insights from it, or even measuring the impact of their online content. By dividing an 'unidimensional' interest network into individual layers of networks, it is possible to obtain insights about the impact of content, user interests, or even understand patterns of usage. This paper contains a model proposition for a multidimensional network of interests based on online interest networks and the online behaviour that is driven by personality characteristics.</t>
  </si>
  <si>
    <t>[Barbosa, Ricardo; Santos, Ricardo] Polytech Porto, CIICESI, ESTG, P PORTO Sch Technol &amp; Management, Porto, Portugal</t>
  </si>
  <si>
    <t>Instituto Politecnico do Porto</t>
  </si>
  <si>
    <t>Barbosa, R (corresponding author), Polytech Porto, CIICESI, ESTG, P PORTO Sch Technol &amp; Management, Porto, Portugal.</t>
  </si>
  <si>
    <t>8090242@estg.ipp.pt; rjs@estg.ipp.pt</t>
  </si>
  <si>
    <t>Barbosa, Ricardo/HZH-8263-2023; Santos, Ricardo/B-6444-2018</t>
  </si>
  <si>
    <t>Barbosa, Ricardo/0000-0002-4395-4483; Santos, Ricardo/0000-0002-2139-5414</t>
  </si>
  <si>
    <t>978-1-5090-5443-5</t>
  </si>
  <si>
    <t>BJ6TC</t>
  </si>
  <si>
    <t>WOS:000426944400117</t>
  </si>
  <si>
    <t>Guan, WL; Song, XM; Gan, T; Lin, JY; Chang, XJ; Nie, LQ</t>
  </si>
  <si>
    <t>Guan, Weili; Song, Xuemeng; Gan, Tian; Lin, Junyu; Chang, Xiaojun; Nie, Liqiang</t>
  </si>
  <si>
    <t>Cooperation Learning From Multiple Social Networks: Consistent and Complementary Perspectives</t>
  </si>
  <si>
    <t>IEEE TRANSACTIONS ON CYBERNETICS</t>
  </si>
  <si>
    <t>Feature extraction; Kernel; Task analysis; Cybernetics; Gallium nitride; Twitter; Cooperation learning; multiple social networks; source complementarity; source consistency</t>
  </si>
  <si>
    <t>KERNEL; ALGORITHM</t>
  </si>
  <si>
    <t>GWI survey(1) has highlighted the flourishing use of multiple social networks: the average number of social media accounts per Internet user is 5.54, and among them, 2.82 are being used actively. Indeed, users tend to express their views in more than one social media site. Hence, merging social signals of the same user across different social networks together, if available, can facilitate the downstream analyses. Previous work has paid little attention on modeling the cooperation among the following factors when fusing data from multiple social networks: 1) as data from different sources characterizes the characteristics of the same social user, the source consistency merits our attention; 2) due to their different functional emphases, some aspects of the same user captured by different social networks can be just complementary and results in the source complementarity; and 3) different sources can contribute differently to the user characterization and hence lead to the different source confidence. Toward this end, we propose a novel unified model, which co-regularizes source consistency, complementarity, and confidence to boost the learning performance with multiple social networks. In addition, we derived its theoretical solution and verified the model with the real-world application of user interest inference. Extensive experiments over several state-of-the-art competitors have justified the superiority of our model. (1) http://tinyurl.com/zk6kgc9</t>
  </si>
  <si>
    <t>[Guan, Weili; Chang, Xiaojun] Monash Univ, Fac Informat Technol, Clayton Campus, Clayton, Vic 3800, Australia; [Song, Xuemeng; Gan, Tian; Lin, Junyu; Nie, Liqiang] Shandong Univ, Dept Comp Sci &amp; Technol, Qingdao 266237, Peoples R China</t>
  </si>
  <si>
    <t>Monash University; Shandong University</t>
  </si>
  <si>
    <t>Song, XM; Gan, T (corresponding author), Shandong Univ, Dept Comp Sci &amp; Technol, Qingdao 266237, Peoples R China.</t>
  </si>
  <si>
    <t>honeyguan@gmail.com; sxmustc@gmail.com; gantian@sdu.edu.cn; linjunyu1120@gmail.com; cxj273@gmail.com; nieliqiang.sdu@gmail.com</t>
  </si>
  <si>
    <t>; Chang, Xiaojun/A-2055-2015</t>
  </si>
  <si>
    <t>Gan, Tian/0000-0003-3197-5698; Chang, Xiaojun/0000-0002-7778-8807</t>
  </si>
  <si>
    <t>National Natural Science Foundation of China [61772310, 61702300, 61702302, 61802231, U1836216]; Project of Thousand Youth Talents; Shandong Provincial Natural Science and Foundation [ZR2019JQ23, ZR2019QF001]; Young Scholars Program of Shandong University</t>
  </si>
  <si>
    <t>National Natural Science Foundation of China(National Natural Science Foundation of China (NSFC)); Project of Thousand Youth Talents; Shandong Provincial Natural Science and Foundation; Young Scholars Program of Shandong University</t>
  </si>
  <si>
    <t>This work was supported in part by the National Natural Science Foundation of China under Grant 61772310, Grant 61702300, Grant 61702302, Grant 61802231, and Grant U1836216, in part by the Project of Thousand Youth Talents 2016, in part by the Shandong Provincial Natural Science and Foundation under Grant ZR2019JQ23 and Grant ZR2019QF001, and in part by the Young Scholars Program of Shandong University. This article was recommended by Associate Editor J. Liu.</t>
  </si>
  <si>
    <t>2168-2267</t>
  </si>
  <si>
    <t>2168-2275</t>
  </si>
  <si>
    <t>IEEE T CYBERNETICS</t>
  </si>
  <si>
    <t>IEEE T. Cybern.</t>
  </si>
  <si>
    <t>10.1109/TCYB.2019.2951207</t>
  </si>
  <si>
    <t>Automation &amp; Control Systems; Computer Science, Artificial Intelligence; Computer Science, Cybernetics</t>
  </si>
  <si>
    <t>Automation &amp; Control Systems; Computer Science</t>
  </si>
  <si>
    <t>UQ5BR</t>
  </si>
  <si>
    <t>WOS:000696078900017</t>
  </si>
  <si>
    <t>Kapanipathi, P; Jain, P; Venkataramani, C; Sheth, A</t>
  </si>
  <si>
    <t>Kapanipathi, Pavan; Jain, Prateek; Venkataramani, Chitra; Sheth, Amit</t>
  </si>
  <si>
    <t>Hierarchical Interest Graph from Tweets</t>
  </si>
  <si>
    <t>WWW'14 COMPANION: PROCEEDINGS OF THE 23RD INTERNATIONAL CONFERENCE ON WORLD WIDE WEB</t>
  </si>
  <si>
    <t>23rd International Conference on World Wide Web (WWW)</t>
  </si>
  <si>
    <t>APR 07-11, 2014</t>
  </si>
  <si>
    <t>Seoul, SOUTH KOREA</t>
  </si>
  <si>
    <t>Assoc Comp Machinery,IW3C2,ACM SIGWEB,NAVER,Google,Microsoft,SK Planet,Facebook,Yahoo! Labs,Daum,European Patent Off,LG Elect,Baidu,Kaggle,Samsung,Korea Tourism Org,Korean Federat Sci &amp; Technol Soc,Seoul Metropolitan Govt,Korea Inst Informat Scientists &amp; Engineers,Int World Wide Web Conf Steering Comm,Korea Adv Inst Sci &amp; Technol,Korean Agcy Technol &amp; Stand</t>
  </si>
  <si>
    <t>Hierarchical Interest Graph; Personalization; Social Semantic Web; Twitter; Wikipedia; User Profiles</t>
  </si>
  <si>
    <t>Industry and researchers have identified numerous ways to monetize microblogs for personalization and recommendation. A common challenge across these different works is the identification of user interests. Although techniques have been developed to address this challenge, a flexible approach that spans multiple levels of granularity in user interests has not been forthcoming. In this work, we focus on exploiting hierarchical semantics of concepts to infer richer user interests expressed as a Hierarchical Interest Graph. To create such graphs, we utilize users' tweets to first ground potential user interests to structured background knowledge such as Wikipedia Category Graph. We then adapt spreading activation theory to assign user interest score to each category in the hierarchy. The Hierarchical Interest Graph not only comprises of users' explicitly mentioned interests determined from Twitter, but also their implicit interest categories inferred from the background knowledge source.</t>
  </si>
  <si>
    <t>[Kapanipathi, Pavan; Sheth, Amit] Wright State Univ, Knoesis Ctr, Dayton, OH 45435 USA; [Jain, Prateek; Venkataramani, Chitra] IBM TJ Watson Res Ctr, Yorktown Hts, NY USA</t>
  </si>
  <si>
    <t>University System of Ohio; Wright State University Dayton; International Business Machines (IBM); IBM USA</t>
  </si>
  <si>
    <t>Kapanipathi, P (corresponding author), Wright State Univ, Knoesis Ctr, Dayton, OH 45435 USA.</t>
  </si>
  <si>
    <t>pavan@knoesis.org; jainpr@us.ibm.com; chitrav@us.ibm.com; amit@knoesis.org</t>
  </si>
  <si>
    <t>Sheth, Amit/ABC-4600-2020</t>
  </si>
  <si>
    <t>NSF SoCS program [IIS-1111182]</t>
  </si>
  <si>
    <t>NSF SoCS program</t>
  </si>
  <si>
    <t>The first author was visiting IBM TJ Watson as a research intern when this work was performed. This work is also supported by NSF (IIS-1111182) SoCS program.</t>
  </si>
  <si>
    <t>978-1-4503-2745-9</t>
  </si>
  <si>
    <t>10.1145/2567948.2577353</t>
  </si>
  <si>
    <t>BL8AJ</t>
  </si>
  <si>
    <t>WOS:000455947000102</t>
  </si>
  <si>
    <t>Zamenjani, BS</t>
  </si>
  <si>
    <t>Zamenjani, Bahareh Shams</t>
  </si>
  <si>
    <t>Marketing based on user behavior in Facebook social network through recommender system design</t>
  </si>
  <si>
    <t>SECOND INTERNATIONAL CONGRESS ON TECHNOLOGY, COMMUNICATION AND KNOWLEDGE (ICTCK 2015)</t>
  </si>
  <si>
    <t>2nd International Congress on Technology, Communication and Knowledge (ICTCK)</t>
  </si>
  <si>
    <t>NOV 11-12, 2015</t>
  </si>
  <si>
    <t>Islamic Azad Univ, Mashhad Branch, Mashhad, IRAN</t>
  </si>
  <si>
    <t>IEEE,IEEE Iran Sect,CIVILICA,Ferdowsi Univ Mashhad, Ctr Excellence Soft Comp &amp; Intelligent Informat Proc</t>
  </si>
  <si>
    <t>Islamic Azad Univ, Mashhad Branch</t>
  </si>
  <si>
    <t>marketing; social network; profiles; recommender system; user modeling</t>
  </si>
  <si>
    <t>the influence of social networks among people and at the same time inevitable spread of commercial use of them. Accordingly, in order to sell products, recommender systems designed based on user behavior on social networks, providing a variety of commercial offers tailored to the user. The accuracy of recommender systems that make recommendations to users, and how many of the proposals are accepted by the users is important. In this paper, a recommender system is designed based on user behavior in social network Facebook in two acts and suggests that users purchase their favorite products. The first step is to examine user behavior based on user interests will be given an offer to buy products. In the second stage recommender system uses data mining techniques and suggestions to the user that is associated with their previous purchases. This is real data and the real results of it and it is valid, as well as the results show a high level of accuracy recommender system is designed to offer suggestions to users.</t>
  </si>
  <si>
    <t>[Zamenjani, Bahareh Shams] Amirkabir Univ Technol, Dept Comp Engn &amp; Informat Technol, Tehran, Iran</t>
  </si>
  <si>
    <t>Amirkabir University of Technology</t>
  </si>
  <si>
    <t>Zamenjani, BS (corresponding author), Amirkabir Univ Technol, Dept Comp Engn &amp; Informat Technol, Tehran, Iran.</t>
  </si>
  <si>
    <t>B_shams_1364@yahoo.com</t>
  </si>
  <si>
    <t>978-1-4673-9762-9</t>
  </si>
  <si>
    <t>BG0ZR</t>
  </si>
  <si>
    <t>WOS:000386604900029</t>
  </si>
  <si>
    <t>Antolic, G; Brkic, L</t>
  </si>
  <si>
    <t>Biljanovic, P; Koricic, M; Skala, K; Grbac, TG; CicinSain, M; Sruk, V; Ribaric, S; Gros, S; Vrdoljak, B; Mauher, M; Tijan, E; Hormot, F</t>
  </si>
  <si>
    <t>Antolic, Goran; Brkic, Ljiljana</t>
  </si>
  <si>
    <t>Recommender System Based on the Analysis of Publicly Available Data</t>
  </si>
  <si>
    <t>2017 40TH INTERNATIONAL CONVENTION ON INFORMATION AND COMMUNICATION TECHNOLOGY, ELECTRONICS AND MICROELECTRONICS (MIPRO)</t>
  </si>
  <si>
    <t>40th International Convention on Information and Communication Technology, Electronics and Microelectronics (MIPRO)</t>
  </si>
  <si>
    <t>MAY 22-26, 2017</t>
  </si>
  <si>
    <t>Opatija, CROATIA</t>
  </si>
  <si>
    <t>A recommender system is a software system aimed to make recommendations. To be able to do that, recommender system feature several components, such as: data collection and processing, recommender model, recommendation post-processing and a user interface. Recommender systems apply one or the combination of few of the recommendation techniques. In this paper we present recommender system developed to provide users with recommendations in accordance with their interests in different domains. We deduce user interests based on his activities and posts in social network. Social network used as a source of information on user (Facebook) provides Open API allowing access to the information about the user collected on the social network. Thanks to this data we are overcoming the so-called cold start problem and building user profile. A recommender system is commonly associated with only one domain, while the recommender system described in this paper is able to generate recommendations from different domains (movies and music). In addition to recommendations related with the specific domain, our system is able to recommend the web articles (unstructured text), relevant to the user that may belong to more than one category of interest.</t>
  </si>
  <si>
    <t>[Antolic, Goran; Brkic, Ljiljana] Univ Zagreb, Fac Elect Engn &amp; Comp, Zagreb, Croatia</t>
  </si>
  <si>
    <t>University of Zagreb</t>
  </si>
  <si>
    <t>Antolic, G (corresponding author), Univ Zagreb, Fac Elect Engn &amp; Comp, Zagreb, Croatia.</t>
  </si>
  <si>
    <t>goran.antolic@fer.hr; ljiljana.brkic@fer.hr</t>
  </si>
  <si>
    <t>978-953-233-092-2</t>
  </si>
  <si>
    <t>Computer Science, Information Systems; Computer Science, Interdisciplinary Applications; Engineering, Electrical &amp; Electronic; Telecommunications</t>
  </si>
  <si>
    <t>BJ6PJ</t>
  </si>
  <si>
    <t>WOS:000426903800240</t>
  </si>
  <si>
    <t>Jiang, Y; Shen, YY; Sen Chen,</t>
  </si>
  <si>
    <t>Jiang, Yan; Shen, Yingying; Sen Chen</t>
  </si>
  <si>
    <t>Design of Artificial Intelligence based Teaching Assistance System for Online Basic Disaster Rescue Medicine Courses</t>
  </si>
  <si>
    <t>2025 INTERNATIONAL CONFERENCE ON INTELLIGENT COMPUTING AND KNOWLEDGE EXTRACTION, ICICKE</t>
  </si>
  <si>
    <t>2025 International Conference on Intelligent Computing and Knowledge Extraction-ICICKE</t>
  </si>
  <si>
    <t>JUN 06-07, 2025</t>
  </si>
  <si>
    <t>Bengaluru, INDIA</t>
  </si>
  <si>
    <t>Institute of Electrical and Electronics Engineers Inc</t>
  </si>
  <si>
    <t>disaster rescue medicine; online teaching; web technology; teaching assistance system; BERT</t>
  </si>
  <si>
    <t>COVID-19</t>
  </si>
  <si>
    <t>Disaster rescue medicine is an integral component of emergency medical education, with the goal of educating students in the necessary knowledge and life-saving skills used during emergency situations. The current educational methods are plagued by several drawbacks such as inflexible content delivery, absence of real-time interaction, limited remote access, and insufficient testing of practical decision-making abilities. The conventional systems tend to be static and do not involve learners in interactive, real-time rescue contexts. In order to tackle these challenges, this work suggests a Web-Enabled BERT-based Teaching Assistance System specifically designed for the  Basic Disaster Rescue Medicine course. The system architecture consists of modular content delivery with web technologies, simulation-based interactive case practice, real-time skill testing, and an intelligent feedback loop that adjusts learning materials according to user performance. The major innovations encompass dynamic rendering of learning material, asynchronous support for remote learners, and inbuilt behaviour tracking to monitor performance and decision validity. Experimental evaluation of the platform included comparative testing against standard learning environments. Experimental findings establish a significant improvement in learner interest, knowledge retention, and emergency response preparedness. Performance measures comprise accuracy at 97.8%, precision at 97.8%, recall at 97.5%, and F1-score at 97.5%, which signify high efficacy of the proposed system. This web-based system is a breakthrough towards scalable, interactive, and result-oriented training in emergency medical education with high potential to be further enriched through AI-based adaptation and immersion simulations.</t>
  </si>
  <si>
    <t>[Jiang, Yan] Hubei Univ Med, Dept Cardiovasc Dis Treatment Ctr, Taihe Hosp, Shiyan, Peoples R China; [Shen, Yingying] Hubei Univ Med, Dept Crit Care Med, Taihe Hosp, Shiyan, Peoples R China; [Sen Chen] Hubei Univ Med, Dept Clin Skills Training Ctr, Shiyan, Peoples R China</t>
  </si>
  <si>
    <t>Hubei University of Medicine; Hubei University of Medicine; Hubei University of Medicine</t>
  </si>
  <si>
    <t>Sen Chen, (corresponding author), Hubei Univ Med, Dept Clin Skills Training Ctr, Shiyan, Peoples R China.</t>
  </si>
  <si>
    <t>20150556@hbmu.edu.cn</t>
  </si>
  <si>
    <t>Shen, Yingying/GQO-9549-2022</t>
  </si>
  <si>
    <t>University-Industry Collaborative Education Program of MOE [230705618143002]</t>
  </si>
  <si>
    <t>University-Industry Collaborative Education Program of MOE</t>
  </si>
  <si>
    <t>University-Industry Collaborative Education Program of MOE (No. 230705618143002).</t>
  </si>
  <si>
    <t>979-8-3315-3682-4; 979-8-3315-3681-7</t>
  </si>
  <si>
    <t>10.1109/ICICKE65317.2025.11136672</t>
  </si>
  <si>
    <t>Computer Science, Artificial Intelligence; Computer Science, Interdisciplinary Applications</t>
  </si>
  <si>
    <t>BZ3ZU</t>
  </si>
  <si>
    <t>WOS:001575314000215</t>
  </si>
  <si>
    <t>Vu, T; Perez, V</t>
  </si>
  <si>
    <t>Thuy Vu; Perez, Victor</t>
  </si>
  <si>
    <t>Interest Mining from User Tweets</t>
  </si>
  <si>
    <t>PROCEEDINGS OF THE 22ND ACM INTERNATIONAL CONFERENCE ON INFORMATION &amp; KNOWLEDGE MANAGEMENT (CIKM'13)</t>
  </si>
  <si>
    <t>22nd ACM International Conference on Information and Knowledge Management (CIKM)</t>
  </si>
  <si>
    <t>OCT 27-NOV 01, 2013</t>
  </si>
  <si>
    <t>Assoc Comp Machinery,ACM Special Interest Grp Informat Retrieval,ACM SIGWEB</t>
  </si>
  <si>
    <t>keyword/keyphrase extraction; keyword/keyphrase ranking; topic modeling; data processing; social networks; Twitter</t>
  </si>
  <si>
    <t>We build a system to extract user interests from Twitter messages. Specifically, we extract interest candidates using linguistic patterns and rank them using four different keyphrase ranking techniques: TFIDF, TextRank, LDA-TextRank, and Relevance-Interestingness-Rank (RI-Rank). We also explore the complementary relation between TFIDF and TextRank in ranking interest candidates. Top ranked interests are evaluated with user feedback gathered from an online survey. The results show that TFIDF and TextRank are both suitable for extracting user interests from tweets. Moreover, the combination of TFIDF and TextRank consistently yields the highest user positive feedback.</t>
  </si>
  <si>
    <t>[Thuy Vu; Perez, Victor] Univ Calif Los Angeles, Dept Comp Sci, Los Angeles, CA 90095 USA</t>
  </si>
  <si>
    <t>University of California System; University of California Los Angeles</t>
  </si>
  <si>
    <t>Vu, T (corresponding author), Univ Calif Los Angeles, Dept Comp Sci, Los Angeles, CA 90095 USA.</t>
  </si>
  <si>
    <t>thuyvu@cs.ucla.edu; vperez@cs.ucla.edu</t>
  </si>
  <si>
    <t>/ABC-1732-2020</t>
  </si>
  <si>
    <t>978-1-4503-2263-8</t>
  </si>
  <si>
    <t>10.1145/2505515.2507883</t>
  </si>
  <si>
    <t>BS4QZ</t>
  </si>
  <si>
    <t>WOS:000722225900261</t>
  </si>
  <si>
    <t>Wang, XJ; Sui, Y; Tao, YR; Zhang, QQ; Wei, JH</t>
  </si>
  <si>
    <t>Wang, Xiujuan; Sui, Yi; Tao, Yuanrui; Zhang, Qianqian; Wei, Jianhua</t>
  </si>
  <si>
    <t>Detecting Abnormal Social Network Accounts with Hurst of Interest Distribution</t>
  </si>
  <si>
    <t>SECURITY AND COMMUNICATION NETWORKS</t>
  </si>
  <si>
    <t>With the rapid development of the Internet since the beginning of the 21st century, social networks have provided a significant amount of convenience for work, study, and entertainment. Specifically, because of the irreplaceable superiority of social platforms in disseminating information, criminals have thus updated the main methods of social engineering attacks. Detecting abnormal accounts on social networks in a timely manner can effectively prevent the occurrence of malicious Internet events. Different from previous research work, in this work, a method of anomaly detection called Hurst of Interest Distribution is proposed based on the stability of user interest quantifiable from the content of users' tweets, so as to detect abnormal accounts. In detail, the Latent Dirichlet Allocation model is adopted to classify blog content on Twitter into topics to calculate and obtain the topic distribution of tweets sent by a single user within a period of time. Then, the stability degree of the user's tweet topic preference is calculated according to the Hurst index to determine whether the account is compromised. Through experiments, the Hurst indexes of normal and abnormal accounts are found to be significantly different, and the detection rate of abnormal accounts using the proposed method can reach up to 97.93%.</t>
  </si>
  <si>
    <t>[Wang, Xiujuan; Sui, Yi; Tao, Yuanrui; Zhang, Qianqian; Wei, Jianhua] Beijing Univ Technol, Fac Informat Technol, Beijing 100124, Peoples R China</t>
  </si>
  <si>
    <t>Sui, Y (corresponding author), Beijing Univ Technol, Fac Informat Technol, Beijing 100124, Peoples R China.</t>
  </si>
  <si>
    <t>xjwang@bjut.edu.cn; 17864307856@163.com; stormshot@sina.com; 1737306921@qq.com; weijianhua@bjut.edu.cn</t>
  </si>
  <si>
    <t>Tao, Yuanrui/0000-0003-3210-5256; Sui, Yi/0000-0002-9099-8980; , Qianqian/0000-0001-7528-4229</t>
  </si>
  <si>
    <t>National Key R&amp;D Program of China [2017YFB0802803]; Beijing Natural Science Foundation [4202002]; Research Project of the Department of Computer Science in Beijing University of Technology (BJUT) [2019JSJKY004]</t>
  </si>
  <si>
    <t>National Key R&amp;D Program of China; Beijing Natural Science Foundation(Beijing Natural Science Foundation); Research Project of the Department of Computer Science in Beijing University of Technology (BJUT)</t>
  </si>
  <si>
    <t>This research was supported by the National Key R&amp;D Program of China (grant no. 2017YFB0802803), Beijing Natural Science Foundation (grant no. 4202002), and Research Project of the Department of Computer Science in Beijing University of Technology (BJUT) (grant no. 2019JSJKY004).</t>
  </si>
  <si>
    <t>WILEY-HINDAWI</t>
  </si>
  <si>
    <t>ADAM HOUSE, 3RD FL, 1 FITZROY SQ, LONDON, WIT 5HE, ENGLAND</t>
  </si>
  <si>
    <t>1939-0114</t>
  </si>
  <si>
    <t>1939-0122</t>
  </si>
  <si>
    <t>SECUR COMMUN NETW</t>
  </si>
  <si>
    <t>Secur. Commun. Netw.</t>
  </si>
  <si>
    <t>JUN 9</t>
  </si>
  <si>
    <t>10.1155/2021/6653430</t>
  </si>
  <si>
    <t>SY4QY</t>
  </si>
  <si>
    <t>WOS:000665875900001</t>
  </si>
  <si>
    <t>Meneses-Ortegón, J; Jové, T; Fabregat, R; Uribe-Rios, M</t>
  </si>
  <si>
    <t>Rocha, A; Adeli, H; Reis, LP; Costanzo, S</t>
  </si>
  <si>
    <t>Pablo Meneses-Ortegon, Juan; Jove, Teodor; Fabregat, Ramon; Yolima Uribe-Rios, Mery</t>
  </si>
  <si>
    <t>Model for Sharing Knowledge in a Co-creation Process with High Ability Students</t>
  </si>
  <si>
    <t>TRENDS AND ADVANCES IN INFORMATION SYSTEMS AND TECHNOLOGIES, VOL 1</t>
  </si>
  <si>
    <t>World Conference on Information Systems and Technologies (WorldCIST)</t>
  </si>
  <si>
    <t>MAR 27-29, 2018</t>
  </si>
  <si>
    <t>Naples, ITALY</t>
  </si>
  <si>
    <t>Knowledge Management; Informatic components Material education co-creation; Knowledge model</t>
  </si>
  <si>
    <t>MANAGEMENT</t>
  </si>
  <si>
    <t>A way to motivate high ability students in their learning process is by involving them in the co-creation of educational material. In doing so, the knowledge gained from the ensuing interaction between the high ability students, their parents and teachers can be very useful because it not only enhances the co-creation process itself, but also the subsequent activities as they are able to be adjusted to the students' particular needs and goals. This paper describes two parts of a Knowledge Management System that focuses on utilizing students' personal interests and encouraging their active participation to make improvements to the co-creation process by sharing the responsibility for their learning materials. To achieve this, we propose and develop a knowledge model that can identify the knowledge used in a co-creation process. Based on this knowledge model, we present a Knowledge Management System design which considers processing, support and general informatic system components.</t>
  </si>
  <si>
    <t>[Pablo Meneses-Ortegon, Juan; Jove, Teodor; Fabregat, Ramon; Yolima Uribe-Rios, Mery] Univ Girona, Girona, Catalunya, Spain</t>
  </si>
  <si>
    <t>Meneses-Ortegón, J; Jové, T; Fabregat, R; Uribe-Rios, M (corresponding author), Univ Girona, Girona, Catalunya, Spain.</t>
  </si>
  <si>
    <t>u1941593@campus.udg.edu; teodor.jove@udg.edu; ramon.fabregat@udg.edu; mery.uribe@udg.edu</t>
  </si>
  <si>
    <t>/C-6314-2008; Jové, Teodor/K-3787-2017; Uribe-Rios, Mery Yolima/E-6649-2016</t>
  </si>
  <si>
    <t>Jové, Teodor/0000-0001-8844-915X; Uribe-Rios, Mery Yolima/0000-0003-1807-8669</t>
  </si>
  <si>
    <t>Universitat de Girona [MPCUdG2016]; Ministerio Espanol de Economia y Competitividad [TIN2014-53082-R]; BCDS research group [GRCT40, 2017-SGR-1551]</t>
  </si>
  <si>
    <t>Universitat de Girona; Ministerio Espanol de Economia y Competitividad(Spanish Government); BCDS research group</t>
  </si>
  <si>
    <t>Special thanks to IF_UDG2015 program to the Comunicacions i Sistemes Distribuits project (MPCUdG2016) both from Universitat de Girona, to Open Co-creation project (TIN2014-53082-R) financed by Ministerio Espanol de Economia y Competitividad, and to the BCDS research group (GRCT40) which is part of the consolidated group (2017-SGR-1551).</t>
  </si>
  <si>
    <t>978-3-319-77702-3; 978-3-319-77703-0</t>
  </si>
  <si>
    <t>ADV INTELL SYST COMP</t>
  </si>
  <si>
    <t>10.1007/978-3-319-77703-0_48</t>
  </si>
  <si>
    <t>Computer Science, Information Systems; Computer Science, Interdisciplinary Applications; Computer Science, Theory &amp; Methods</t>
  </si>
  <si>
    <t>BX5JH</t>
  </si>
  <si>
    <t>WOS:001299716300048</t>
  </si>
  <si>
    <t>Bello, KA; Maladzhi, RW; Ntukub, MG</t>
  </si>
  <si>
    <t>Bello, Kazeem Aderemi; Maladzhi, Rendani Wilson; Ntukub, Mbuyu Germain</t>
  </si>
  <si>
    <t>Engineering for a Better World: Embedding the United Nations Sustainable Development Goals into Engineering Education</t>
  </si>
  <si>
    <t>Curriculum integration; engineering education; experiential learning; institutional transformation; sustainable development goals</t>
  </si>
  <si>
    <t>This study looks at the ongoing gap between engineering education and the real-world application of the United Nations Sustainable Development Goals (SDGs). While issues like climate change, inequality, and limited resources call for changes in how engineers are trained, current programmes mostly focus on technical skills and often overlook important areas like systems thinking, ethics, and sustainability. The paper examines the barriers that make it hard to include SDGs in engineering education, such as strict curricula, a lack of faculty expertise, and little interdisciplinary work. It also highlights positive factors like increased student interest in meaningful education, access to open learning materials, and chances for international cooperation. To close the gap, the study suggests a framework based on three key areas: integrating SDGs into the curriculum, hands- on learning, and strong institutional support. This approach aims to connect education with global development needs, promote ethical responsibility, and improve practical problem-solving skills. In the end, the study calls for a major change to train engineers who are globally aware and focused on sustainability.</t>
  </si>
  <si>
    <t>[Bello, Kazeem Aderemi; Maladzhi, Rendani Wilson] Durban Univ Technol, Dept Mech Engn, Durban, South Africa; [Ntukub, Mbuyu Germain] Durban Univ Technol, Dept Chem Engn, Durban, South Africa</t>
  </si>
  <si>
    <t>Durban University of Technology; Durban University of Technology</t>
  </si>
  <si>
    <t>Bello, KA (corresponding author), Durban Univ Technol, Dept Mech Engn, Durban, South Africa.</t>
  </si>
  <si>
    <t>kazeemb@dut.ac.za; rendaniml@dut.ac.za; mbuyun@dut.ac.za</t>
  </si>
  <si>
    <t>Bello, Kazeem Aderemi/HJI-3381-2023</t>
  </si>
  <si>
    <t>10.1109/WEEF-GEDC66748.2025.11256242</t>
  </si>
  <si>
    <t>WOS:001669704400018</t>
  </si>
  <si>
    <t>Mondragon-Estrada, E; Kirschning, I; Nolazco-Flores, JA; Camacho-Zuniga, C</t>
  </si>
  <si>
    <t>Mondragon-Estrada, Enrique; Kirschning, Ingrid; Nolazco-Flores, Juan Arturo; Camacho-Zuniga, Claudia</t>
  </si>
  <si>
    <t>Fostering digital transformation in education: technology enhanced learning from professors' experiences in emergency remote teaching</t>
  </si>
  <si>
    <t>information and communication technologies; higher education; technology enhanced learning; educational innovation; digital transformation in education; faculty experiences; emergency remote teaching</t>
  </si>
  <si>
    <t>STUDENTS</t>
  </si>
  <si>
    <t>In this work, we aim to understand professors' perception of the key competences as well as the best educational strategies and technological tools to guide digital transformation (DT) in education, according to their experience in emergency remote teaching (ERT). In recent years, technological advancement has driven DT in many areas, with education being among them. ERT due to COVID-19 accelerated this transition. Restrictions and lockdowns forced higher education institutions to adopt remote teaching strategies and tools suited for a digital environment. We surveyed 100 professors from a private Mexican university with 15-month experience of online ERT. We asked them through Likert scale questions to self-evaluate their performance and whether they perceived it to be better in online or hybrid environments compared with face-to-face environments in different aspects. We performed correlation, cluster, and factor analysis to identify the relationships and patterns in their answers. Through open-ended questions, we also asked the participants about the challenges and achievements they experienced, and the educational strategies and technological tools they successfully incorporated during ERT. We also conducted text mining to extract the most relevant information from these answers and validated that they were not polarized with negative sentiment using a large language model. Our results showed social intelligence as an underlying competence for teaching performance was highlighted in the digital environment due to the physical interaction limitations. Participants found success in implementing information and communication technologies, resulting in maintaining student interest and building trust in the online environment. Professors recognized the relevance not only of learning management systems and communication platforms, as expected, but also hardware such as tablets, cameras, and headphones for the successful delivery of education in a digital environment. Technology Enhanced Learning transposes game-based, quizzing practices, and collaborative learning to digital environments. Furthermore, the professors recommended learning-by-doing, flipped learning, problem-based learning, game-based learning, and holistic education as some pedagogical methodologies that were successfully applied in ERT and could be implemented for DT. Understanding the gains concerning teaching learning strategies and technologies that were incorporated during ERT is of the utmost importance for driving DT and its benefits for current and future education.</t>
  </si>
  <si>
    <t>[Mondragon-Estrada, Enrique; Camacho-Zuniga, Claudia] Sch Engn &amp; Sci Tecnol Monterrey, Monterrey, Mexico; [Kirschning, Ingrid] Univ Americas Puebla, Sch Engn, Cholula, Mexico; [Nolazco-Flores, Juan Arturo; Camacho-Zuniga, Claudia] Inst Future Educ, Tecnol Monterrey, Monterrey, Mexico</t>
  </si>
  <si>
    <t>Tecnologico de Monterrey; Universidad Americas Puebla (UDLAP); Tecnologico de Monterrey</t>
  </si>
  <si>
    <t>Camacho-Zuniga, C (corresponding author), Sch Engn &amp; Sci Tecnol Monterrey, Monterrey, Mexico.;Camacho-Zuniga, C (corresponding author), Inst Future Educ, Tecnol Monterrey, Monterrey, Mexico.</t>
  </si>
  <si>
    <t>claudia.camacho@tec.mx</t>
  </si>
  <si>
    <t>Nolazco-Flores, Juan/D-2629-2017; Camacho-Zuñiga, Claudia/JAD-0479-2023</t>
  </si>
  <si>
    <t>Mondragon-Estrada, Enrique/0009-0004-5592-1728; Kirschning Albers, Ingrid/0009-0007-1749-3613</t>
  </si>
  <si>
    <t>The authors would like to acknowledge the support of the Writing Lab, Institute for the Future of Education, Tecnologico de Monterrey, Mexico, in the production of this work.; Institute for the Future of Education, Tecnologico de Monterrey, Mexico</t>
  </si>
  <si>
    <t>The authors would like to acknowledge the support of the Writing Lab, Institute for the Future of Education, Tecnologico de Monterrey, Mexico, in the production of this work.</t>
  </si>
  <si>
    <t>AUG 17</t>
  </si>
  <si>
    <t>10.3389/feduc.2023.1250461</t>
  </si>
  <si>
    <t>Q7FM9</t>
  </si>
  <si>
    <t>WOS:001059144000001</t>
  </si>
  <si>
    <t>Zarrinkalam, F; Faralli, S; Piao, G; Bagheri, E</t>
  </si>
  <si>
    <t>Zarrinkalam, Fattane; Faralli, Stefano; Piao, Guangyuan; Bagheri, Ebrahim</t>
  </si>
  <si>
    <t>Extracting, Mining and Predicting Users' Interests from Social Media</t>
  </si>
  <si>
    <t>FOUNDATIONS AND TRENDS IN INFORMATION RETRIEVAL</t>
  </si>
  <si>
    <t>EVENT DETECTION; SEMANTIC WEB; TOPIC MODEL; KNOWLEDGE; RECOMMENDATION; PERSONALIZATION; REPRESENTATION; DEFINITION; MICROBLOGS; NETWORKS</t>
  </si>
  <si>
    <t>The abundance of user generated content on social media provides the opportunity to build models that are able to accurately and effectively extract, mine and predict users' interests with the hopes of enabling more effective user engagement, better quality delivery of appropriate services and higher user satisfaction. While traditional methods for building user profiles relied on AI-based preference elicitation techniques that could have been considered to be intrusive and undesirable by the users, more recent advances are focused on a non-intrusive yet accurate way of determining users' interests and preferences. In this monograph, we will cover five important subjects related to the mining of user interests from social media: (1) the foundations of social user interest modeling, such as information sources, various types of representation models and temporal features, (2) techniques that have been adopted or proposed for mining user interests, (3) different evaluation methodologies and benchmark datasets, (4) different applications that have been taking advantage of user interest mining from social media platforms, and (5) existing challenges, open research questions and opportunities for further work.</t>
  </si>
  <si>
    <t>[Zarrinkalam, Fattane; Bagheri, Ebrahim] Ryerson Univ, Toronto, ON, Canada; [Faralli, Stefano] Univ Rome Unitelma Sapienza, Rome, Italy; [Piao, Guangyuan] NUI Galway, Insight Ctr Data Analyt, Galway, Ireland</t>
  </si>
  <si>
    <t>Toronto Metropolitan University; Universita degli Studi di Roma Unitelma Sapienza; Ollscoil na Gaillimhe-University of Galway</t>
  </si>
  <si>
    <t>fzarrinkalam@ryesron.ca; stefano.faralli@unitelmasapienza.it; guangyuan.piao@insight-centre.org; bagheri@ryesron.ca</t>
  </si>
  <si>
    <t>Faralli, Stefano/M-6407-2019; Zarrinkalam, Fattane/AAI-1083-2019</t>
  </si>
  <si>
    <t>Faralli, Stefano/0000-0003-3684-8815;</t>
  </si>
  <si>
    <t>EMERALD GROUP PUBLISHING LTD</t>
  </si>
  <si>
    <t>Leeds</t>
  </si>
  <si>
    <t>Floor 5, Northspring 21-23 Wellington Street, Leeds, W YORKSHIRE, ENGLAND</t>
  </si>
  <si>
    <t>1554-0669</t>
  </si>
  <si>
    <t>1554-0677</t>
  </si>
  <si>
    <t>FOUND TRENDS INF RET</t>
  </si>
  <si>
    <t>Found. Trends Inf. Retr.</t>
  </si>
  <si>
    <t>10.1561/1500000078</t>
  </si>
  <si>
    <t>OR3NK</t>
  </si>
  <si>
    <t>WOS:000589380300001</t>
  </si>
  <si>
    <t>Mezghani, M; Péninou, A; Zayani, CA; Amous, I; Sèdes, F</t>
  </si>
  <si>
    <t>Mezghani, Manel; Peninou, Andre; Zayani, Corinne Amel; Amous, Ikram; Sedes, Florence</t>
  </si>
  <si>
    <t>Producing relevant interests from social networks by mining users' tagging behaviour: A first step towards adapting social information</t>
  </si>
  <si>
    <t>DATA &amp; KNOWLEDGE ENGINEERING</t>
  </si>
  <si>
    <t>User interests; Tagging behaviour; Resource; Indexation; Social network; Adaptation; Indexing methods; Semi-structured data and XML</t>
  </si>
  <si>
    <t>Social media provides an environment of information exchange. They principally rely on their users to create content, to annotate others' content and to make on-line relationships. The user activities reflect his opinions, interests, etc. in this environment. We focus on analysing this social environment to detect user interests which are the key elements for improving adaptation. This choice is motivated by the lack of information in the user profile and the inefficiency of the information issued from methods that analyse the classic user behaviour (e.g. navigation, time spent on web page, etc.). So, having to cope with an incomplete user profile, the user social network can be an important data source to detect user interests. The originality of our approach is based on the proposal of a new technique of interests' detection by analysing the accuracy of the tagging behaviour of a user in order to figure out the tags which really reflect the content of the resources. So, these tags are somehow comprehensible and can avoid tags ambiguity usually associated to these social annotations. The approach combines the tag, user and resource in a way that guarantees a relevant interests detection. The proposed approach has been tested and evaluated in the Delicious social database. For the evaluation, we compare the result issued from our approach using the tagging behaviour of the neighbours (the egocentric network and the communities) with the information yet known for the user (his profile). A comparative evaluation with the classical tag-based method of interests detection shows that the proposed approach is better.</t>
  </si>
  <si>
    <t>[Mezghani, Manel; Zayani, Corinne Amel; Amous, Ikram] Sfax Univ, MIRACL Lab, Sfax, Tunisia; [Mezghani, Manel; Peninou, Andre; Sedes, Florence] Univ Toulouse, CNRS, IRIT, INPT,UPS,UT1,UT2J, Toulouse, France</t>
  </si>
  <si>
    <t>Universite de Sfax; Multimedia, InfoRmation Systems &amp; Advancing Computing Laboratory (MIRACL); Communaute d'universites et etablissements de Toulouse (Comue); Universite Toulouse 1 Capitole; Universite de Toulouse - Jean Jaures; Institut National Polytechnique de Toulouse; Universite de Toulouse (EPE); Universite de Toulouse - Jean Jaures; Institut National Polytechnique de Toulouse; Centre National de la Recherche Scientifique (CNRS)</t>
  </si>
  <si>
    <t>Mezghani, M (corresponding author), IRIT Lab, 118 Route Narbonne, F-31062 Toulouse 9, France.</t>
  </si>
  <si>
    <t>mezghanni@irit.fr; peninou@irit.fr; corinne.zayani@isecs.rnu.tn; ikram.amous@isecs.rnu.tn; sedes@irit.fr</t>
  </si>
  <si>
    <t>Péninou, André/AAJ-2425-2020; zayani, Corinne Amel/AAS-7239-2020</t>
  </si>
  <si>
    <t>Péninou, André/0000-0001-6387-0079; Sèdes, Florence/0000-0002-9273-302X; Amous, Ikram/0000-0002-5893-9833; zayani, Corinne Amel/0000-0002-3296-1020</t>
  </si>
  <si>
    <t>PHC Utique program of the French Ministry of Foreign Affairs and Ministry of Higher Education and Research; Tunisian Ministry of higher education and scientific research in the CMCU [30540XK]</t>
  </si>
  <si>
    <t>PHC Utique program of the French Ministry of Foreign Affairs and Ministry of Higher Education and Research; Tunisian Ministry of higher education and scientific research in the CMCU(Ministry of Higher Education &amp; Scientific Research of Tunisia)</t>
  </si>
  <si>
    <t>This work was financially supported by the PHC Utique program of the French Ministry of Foreign Affairs and Ministry of Higher Education and Research and the Tunisian Ministry of higher education and scientific research in the CMCU project number 30540XK.</t>
  </si>
  <si>
    <t>0169-023X</t>
  </si>
  <si>
    <t>1872-6933</t>
  </si>
  <si>
    <t>DATA KNOWL ENG</t>
  </si>
  <si>
    <t>Data Knowl. Eng.</t>
  </si>
  <si>
    <t>10.1016/j.datak.2016.12.003</t>
  </si>
  <si>
    <t>ES9AT</t>
  </si>
  <si>
    <t>Green Submitted, Green Accepted</t>
  </si>
  <si>
    <t>WOS:000399849000002</t>
  </si>
  <si>
    <t>Gammoudi, F; Omri, MN</t>
  </si>
  <si>
    <t>Cao, C; Chen, H; Zhao, L; Arshad, J; Asyhari, T; Wang, Y</t>
  </si>
  <si>
    <t>Gammoudi, Feriel; Omri, Mohamed Nazih</t>
  </si>
  <si>
    <t>Deep Learning and Machine Learning-Based Approaches to Inferring Social Media Network Users' Interests from a Missing Data Issues</t>
  </si>
  <si>
    <t>KNOWLEDGE SCIENCE, ENGINEERING AND MANAGEMENT, PT V, KSEM 2024</t>
  </si>
  <si>
    <t>17th International Conference on Knowledge Science, Engineering and Management (KSEM)</t>
  </si>
  <si>
    <t>AUG 16-18, 2024</t>
  </si>
  <si>
    <t>Birmingham, ENGLAND</t>
  </si>
  <si>
    <t>Springer LNAI,Birmingham City Univ</t>
  </si>
  <si>
    <t>Influence; Friends; Inferring; Missing Information; Machine Learning; Deep learning</t>
  </si>
  <si>
    <t>This research explores how user-provided information can be leveraged to identify evolving user interests and generate tailored recommendations. It addresses the challenge posed by inactive users who rarely share or interact on social media, making it difficult to assess their profiles due to insufficient information. To infer and forecast the interests of these inactive users, the study examines how individuals' interests can be deduced from their friends' activities on social networks. The proposed method utilizes machine learning and deep learning to analyze data from user friends and predict interests, even when information is missing. This approach is evaluated using the standard Kaggle Social Network dataset and performance metrics such as recall, accuracy, precision, and F-measure (F1). The findings demonstrate the effectiveness of the proposed user detection strategy.</t>
  </si>
  <si>
    <t>[Gammoudi, Feriel] Univ Monastir, Monastir Fac Sci, Monastir, Tunisia; [Omri, Mohamed Nazih] Univ Sousse, Natl Engn Sch, Sousse, Tunisia; [Gammoudi, Feriel; Omri, Mohamed Nazih] Univ Sousse, MARS Res Lab LR17ES05, Sousse, Tunisia</t>
  </si>
  <si>
    <t>Universite de Monastir; Universite de Tunis-El-Manar; Universite de Sousse; Ecole Nationale d'Ingenieurs de Tunis (ENIT); Universite de Sousse</t>
  </si>
  <si>
    <t>Gammoudi, F (corresponding author), Univ Monastir, Monastir Fac Sci, Monastir, Tunisia.;Gammoudi, F (corresponding author), Univ Sousse, MARS Res Lab LR17ES05, Sousse, Tunisia.</t>
  </si>
  <si>
    <t>GammoudiFeriel@gmail.com; MohamedNazih.Omri@eniso.u-sousse.tn</t>
  </si>
  <si>
    <t>; Omri, Mohamed Nazih/AAH-3854-2020</t>
  </si>
  <si>
    <t>Gammoudi, Feriel/0000-0002-4715-0028; Omri, Mohamed Nazih/0000-0001-7803-0179</t>
  </si>
  <si>
    <t>SPRINGER-VERLAG SINGAPORE PTE LTD</t>
  </si>
  <si>
    <t>152 BEACH ROAD, #21-01/04 GATEWAY EAST, SINGAPORE, 189721, SINGAPORE</t>
  </si>
  <si>
    <t>978-981-97-5488-5; 978-981-97-5489-2</t>
  </si>
  <si>
    <t>10.1007/978-981-97-5489-2_12</t>
  </si>
  <si>
    <t>BX4VY</t>
  </si>
  <si>
    <t>WOS:001295202900012</t>
  </si>
  <si>
    <t>Yao, CB</t>
  </si>
  <si>
    <t>Yao, Ching-Bang</t>
  </si>
  <si>
    <t>Constructing a User-Friendly and Smart Ubiquitous Personalized Learning Environment by Using a Context-Aware Mechanism</t>
  </si>
  <si>
    <t>IEEE TRANSACTIONS ON LEARNING TECHNOLOGIES</t>
  </si>
  <si>
    <t>m-learning; GPS; QR code; personalized recommendation system; Context aware learning; PCAR</t>
  </si>
  <si>
    <t>INFORMATION; SYSTEM</t>
  </si>
  <si>
    <t>Although m-learning applications have been widely researched, few studies have investigated applying adaptive learning content to various learning environments and efficient input interfaces. This study combined a context-aware mechanism, which can be used to provide suitable learning information anytime and anyplace by using GPS technology, with a rapid and user-friendly QR code interface input into a personalized context-aware recommendation (PCAR) learning system for enabling learners to immediately save useful external contents as learning materials. To improve students' English application abilities efficiently, GPS combined with an intelligent personalized context-aware learning algorithm was used to obtain English learning content that is more practical. The results of several experiments and investigations indicate that the posttest grades of the experimental group, which used the proposed PCAR system, were higher than those of the control group. Furthermore, approximately 80 percent of the users were satisfied with how the system benefited their learning and with its ease of use. The results also show that the PCAR system markedly enhanced learner interest and learning efficiency by creating a convenient virtual English learning environment.</t>
  </si>
  <si>
    <t>[Yao, Ching-Bang] Chinese Culture Univ, Dept Informat Management, Taipei, Taiwan; [Yao, Ching-Bang] Natl Taiwan Univ Sci &amp; Technol, Dept Comp Sci &amp; Informat Engn, Taipei, Taiwan</t>
  </si>
  <si>
    <t>Chinese Culture University; National Taiwan University of Science &amp; Technology</t>
  </si>
  <si>
    <t>Yao, CB (corresponding author), Chinese Culture Univ, Dept Informat Management, Taipei, Taiwan.;Yao, CB (corresponding author), Natl Taiwan Univ Sci &amp; Technol, Dept Comp Sci &amp; Informat Engn, Taipei, Taiwan.</t>
  </si>
  <si>
    <t>yqb@faculty.pccu.edu.tw</t>
  </si>
  <si>
    <t>1939-1382</t>
  </si>
  <si>
    <t>IEEE T LEARN TECHNOL</t>
  </si>
  <si>
    <t>IEEE Trans. Learn. Technol.</t>
  </si>
  <si>
    <t>JAN-MAR</t>
  </si>
  <si>
    <t>10.1109/TLT.2015.2487977</t>
  </si>
  <si>
    <t>EO0PF</t>
  </si>
  <si>
    <t>WOS:000396399600009</t>
  </si>
  <si>
    <t>Chen, A; Darst, PW</t>
  </si>
  <si>
    <t>Situational interest in physical education: A function of learning task design</t>
  </si>
  <si>
    <t>RESEARCH QUARTERLY FOR EXERCISE AND SPORT</t>
  </si>
  <si>
    <t>motivation; middle school students</t>
  </si>
  <si>
    <t>MOTIVATIONAL CLIMATE; GOAL ORIENTATIONS; PERCEPTIONS; KNOWLEDGE; RECALL; ABILITY; MATTER; IMPACT</t>
  </si>
  <si>
    <t>Situational interest is the appealing effect of unique characteristics students recognise in a learning task during interaction with the task. It occurs when a learning task gives the learner a sense of novelty and challenge, demands high attention and exploration intention, and generates instant enjoyment during the person-task interaction. In this study, a repeated measure research design was used to examine the effects of task design on situational interest and the extent to which the effects were mediated by gender, grade, personal interest, and skill levels. Middle school students (N = 242) evaluated situational interest of four learning tasks with different cognitive and physical demands after having experienced the tasks in their physical education classes. Analyzed data showed that cognitive demand of a learning task played a critical role in generating situational interest. Grade levels, gender, and personal interest mediated the effects of task design on situational interest. But these mediation effects seemed rather limited. Physical skill levels had little influence on the effects of task design on situational interest. The findings seem to suggest that to enhance interestingness of a physical activity task, an option for physical educators may be to increase cognitive demand rather than reduce physical demand.</t>
  </si>
  <si>
    <t>Univ Maryland, Dept Kinesiol, College Pk, MD 20742 USA; Arizona State Univ, Dept Exercise Sci &amp; Phys Educ, Tempe, AZ 85287 USA</t>
  </si>
  <si>
    <t>University System of Maryland; University of Maryland College Park; Arizona State University; Arizona State University-Tempe</t>
  </si>
  <si>
    <t>Chen, A (corresponding author), Univ Maryland, Dept Kinesiol, College Pk, MD 20742 USA.</t>
  </si>
  <si>
    <t>AMER ALLIANCE HEALTH PHYS EDUC REC &amp; DANCE</t>
  </si>
  <si>
    <t>RESTON</t>
  </si>
  <si>
    <t>1900 ASSOCIATION DRIVE, RESTON, VA 22091 USA</t>
  </si>
  <si>
    <t>0270-1367</t>
  </si>
  <si>
    <t>RES Q EXERCISE SPORT</t>
  </si>
  <si>
    <t>Res. Q. Exerc. Sport</t>
  </si>
  <si>
    <t>10.1080/02701367.2001.10608945</t>
  </si>
  <si>
    <t>Hospitality, Leisure, Sport &amp; Tourism; Psychology, Applied; Psychology; Sport Sciences</t>
  </si>
  <si>
    <t>Social Sciences - Other Topics; Psychology; Sport Sciences</t>
  </si>
  <si>
    <t>437PV</t>
  </si>
  <si>
    <t>WOS:000169003500007</t>
  </si>
  <si>
    <t>Zhu, L; Xue, CX; Wu, XZ</t>
  </si>
  <si>
    <t>Tu, YP</t>
  </si>
  <si>
    <t>Zhu, Lei; Xue, Chunxiang; Wu, Xiuzhi</t>
  </si>
  <si>
    <t>Exploring Users' Interactive Behaviors in Online Group: A Case Study of QQ Group TuanRenTang</t>
  </si>
  <si>
    <t>SEVENTEENTH WUHAN INTERNATIONAL CONFERENCE ON E-BUSINESS</t>
  </si>
  <si>
    <t>17th Wuhan International Conference on E-Business</t>
  </si>
  <si>
    <t>MAY 25-27, 2018</t>
  </si>
  <si>
    <t>China Univ Geosci, Ctr Int Cooperat E Business, Wuhan, PEOPLES R CHINA</t>
  </si>
  <si>
    <t>China Univ Geosci, Sch Econ &amp; Management,Baden Wuerttemberg Cooperat State Univ Heidenheim,Alfred Univ, Coll Business,Wuhan Text Univ, Sch Management,Key Res Inst Humanities &amp; Social Sci Univ HuBei Prov, Res Ctr Enterprise Decis Support,Assoc Informat Syst,China Assoc Informat Syst,China Informat Econ Soc,Singapore Management Univ, Sch Informat Syst,Univ Calgary,Deakin Univ,Univ N Dakota,New Jersey Inst Technol,Univ Turku,Huazhong Univ Sci &amp; Technol,Wuhan Univ,Wuhan Univ Technol,Zhongnan Univ Econ &amp; Law,Huazhong Normal Univ,Elect Commerce Res SSCI Index,Elect Commerce Res &amp; Applicat SSCI Index,Elect Markets Int J Networked Business SSCI Index,Int J Informat Syst &amp; Cnange Management EI Index,Int J informat Technol &amp; Management EI Index,Int J Network &amp; Virtual Org EI Index,Int J Serv Technol &amp; Management EI Index,J Virtual Worlds Res</t>
  </si>
  <si>
    <t>China Univ Geosci, Ctr Int Cooperat E Business</t>
  </si>
  <si>
    <t>online discussion group; interactive behavior; interaction; community</t>
  </si>
  <si>
    <t>The users' interactive behaviors of the online group chat and an accurate identification of users' interaction, which can provide method support for mining user interests and the crowd labeling, was analyzed in this paper. By using social network analysis method, the study took QQ Group TuanRenTang as an example to analyze users' interactive behaviors, discover users' interaction relationships, construct interaction networks, and explore the interaction types and community detection. The findings suggested that both explicit and implicit interaction exist in the same topic discussion. Users could be classified into four categories: active interaction, general interaction, passive interaction and lurking interaction based on different user activity. Besides, twenty experts and eight communities on the basis of interaction networks had been found out from the sample data of TuanRenTang chat records.</t>
  </si>
  <si>
    <t>[Zhu, Lei; Xue, Chunxiang; Wu, Xiuzhi] Nanjing Univ Sci &amp; Technol, Sch Econ &amp; Management, Nanjing 210094, Jiangsu, Peoples R China; [Zhu, Lei; Xue, Chunxiang; Wu, Xiuzhi] Jiangsu Collaborat Innovat Ctr Social Safety Sci, Nanjing 210094, Jiangsu, Peoples R China</t>
  </si>
  <si>
    <t>Nanjing University of Science &amp; Technology</t>
  </si>
  <si>
    <t>Xue, CX (corresponding author), Nanjing Univ Sci &amp; Technol, Sch Econ &amp; Management, Nanjing 210094, Jiangsu, Peoples R China.;Xue, CX (corresponding author), Jiangsu Collaborat Innovat Ctr Social Safety Sci, Nanjing 210094, Jiangsu, Peoples R China.</t>
  </si>
  <si>
    <t>xuechunxiang@njust.edu.cn</t>
  </si>
  <si>
    <t>National Natural Science Foundation of China [71503126, 71303111]; Social Science Foundation of Jiangsu Province [14TQB10]</t>
  </si>
  <si>
    <t>National Natural Science Foundation of China(National Natural Science Foundation of China (NSFC)); Social Science Foundation of Jiangsu Province</t>
  </si>
  <si>
    <t>This research was supported by the National Natural Science Foundation of China (Grant No.71503126, No.71303111) and the Social Science Foundation of Jiangsu Province (Grant No. 14TQB10).</t>
  </si>
  <si>
    <t>UNIV CALGARY PRESS</t>
  </si>
  <si>
    <t>CALGARY</t>
  </si>
  <si>
    <t>2500 UNIV DR NW, CALGARY, AB T2N 1N4, CANADA</t>
  </si>
  <si>
    <t>978-0-88953-412-4</t>
  </si>
  <si>
    <t>Area Studies; Business</t>
  </si>
  <si>
    <t>Area Studies; Business &amp; Economics</t>
  </si>
  <si>
    <t>BM9DN</t>
  </si>
  <si>
    <t>WOS:000470795600056</t>
  </si>
  <si>
    <t>Yassin, FM; Ouarda, W; Alimi, AM</t>
  </si>
  <si>
    <t>Yassin, Fatima Mohamed; Ouarda, Wael; Alimi, Adel M.</t>
  </si>
  <si>
    <t>Fuzzy ontology as a basis for recommendation Systems for Traveler's preference</t>
  </si>
  <si>
    <t>Social images; CNN architectures; User interest; Fuzzy ontology; Recommendation system</t>
  </si>
  <si>
    <t>PHOTOS</t>
  </si>
  <si>
    <t>As an increasingly larger number of users partake in Facebook, the images shared and posted by user in Facebook provide a richer background to build a more accurate recommendation system. In this paper, we propose an Intelligent Recommendation System for Travelers' Preferences (IRSTP) based on the conceptualization of the travel user's destination based on their activities of sharing visual data and locations through social network. In this system, we performed a Deep Neural Network Architecture transferred on Places356 database to extract important concepts found in the shared visual images. Then, we carried out an inference system based on crisp (DOVUIS) and fuzzy ontology (DFOVUIS) to take into account some ambiguity in Decision making. Both proposed ontologies are tested and evaluated on collected Sudanese Database. The User interest architecture based on Convolutional Neural Network is used for tuning search in the IRSTP recommendation system. The Fuzzy ontology performs well than the crisp inference system in order to personalize the recommendation based on the profile outputted from this ontology. We achieve an accuracy of 94.22\% on the Sudanese database to classify the topic of user interest among 9 classes Food (98.7%), Nature (98.9%), History (80.4%), DIY and Craft (98.0%), Celebrities (87.3%), Architectures (98.6%), Events (95.4%), Holydays (93.9%) and Art (87.0%). These topics are considered from the Facebook generic topics.</t>
  </si>
  <si>
    <t>[Yassin, Fatima Mohamed] Sudan Univ Sci &amp; Technol, Coll Postgrad Studies, Khartoum, Sudan; [Yassin, Fatima Mohamed; Ouarda, Wael; Alimi, Adel M.] Ctr Rech Numer Sfax CRNS, Sfax, Tunisia; [Alimi, Adel M.] Univ Johannesburg, Fac Engn &amp; Built Environm, Dept Elect &amp; Elect Engn Sci, Johannesburg, South Africa</t>
  </si>
  <si>
    <t>Universite de Sfax; University of Johannesburg</t>
  </si>
  <si>
    <t>Yassin, FM (corresponding author), Sudan Univ Sci &amp; Technol, Coll Postgrad Studies, Khartoum, Sudan.;Yassin, FM (corresponding author), Ctr Rech Numer Sfax CRNS, Sfax, Tunisia.</t>
  </si>
  <si>
    <t>fatima.m.yassin@gmail.com; wael.ouarda@ieee.org; adel.alimi@ieee.org</t>
  </si>
  <si>
    <t>Research Groups in Intelligent Machines (ReGIM-Lab)</t>
  </si>
  <si>
    <t>This research was supported by Research Groups in Intelligent Machines (ReGIM-Lab). We thank Wael Ouarda, a Professor-Researcher in Computer Science at the University of Sfax and quality manager at the ReGIM-Lab at the University of Sfax for comments that greatly improved the manuscript and we thank Adel M. Alimi professor in Electrical and Computer Engineering at the University of Sfax for assistance with application of intelligent methods (neural networks, fuzzy logic) to pattern recognition.</t>
  </si>
  <si>
    <t>1573-7721</t>
  </si>
  <si>
    <t>10.1007/s11042-021-11780-5</t>
  </si>
  <si>
    <t>JAN 2022</t>
  </si>
  <si>
    <t>ZG7CS</t>
  </si>
  <si>
    <t>WOS:000742803700001</t>
  </si>
  <si>
    <t>Li, ZH; Piao, WJ; Sun, ZY; Wang, L; Wang, XQ; Li, WL</t>
  </si>
  <si>
    <t>Li, Zhaohui; Piao, Wenjia; Sun, Zhengyi; Wang, Lin; Wang, Xiaoqian; Li, Wenli</t>
  </si>
  <si>
    <t>User Real-Time Influence Ranking Algorithm of Social Networks Considering Interactivity and Topicality</t>
  </si>
  <si>
    <t>ENTROPY</t>
  </si>
  <si>
    <t>social network analysis; network structure; interaction behavior; user influence</t>
  </si>
  <si>
    <t>SENTIMENT ANALYSIS; BEHAVIOR</t>
  </si>
  <si>
    <t>At present, the existing influence evaluation algorithms often ignore network structure attributes, user interests and the time-varying propagation characteristics of influence. To address these issues, this work comprehensively discusses users' own influence, weighted indicators, users' interaction influence and the similarity between user interests and topics, thus proposing a dynamic user influence ranking algorithm called UWUSRank. First, we determine the user's own basic influence based on their activity, authentication information and blog response. This improves the problem of poor objectivity of initial value on user influence evaluation when using PageRank to calculate user influence. Next, this paper mines users' interaction influence by introducing the propagation network properties of Weibo (a Twitter-like service in China) information and scientifically quantifies the contribution value of followers' influence to the users they follow according to different interaction influences, thereby solving the drawback of equal value transfer of followers' influence. Additionally, we analyze the relevance of users' personalized interest preferences and topic content and realize real-time monitoring of users' influence at various time periods during the process of public opinion dissemination. Finally, we conduct experiments by extracting real Weibo topic data to verify the effectiveness of introducing each attribute of users' own influence, interaction timeliness and interest similarity. Compared to TwitterRank, PageRank and FansRank, the results show that the UWUSRank algorithm improves the rationality of user ranking by 9.3%, 14.2%, and 16.7%, respectively, which proves the practicality of the UWUSRank algorithm. This approach can serve as a guide for research on user mining, information transmission methods, and public opinion tracking in social network-related areas.</t>
  </si>
  <si>
    <t>[Li, Zhaohui; Piao, Wenjia; Wang, Lin] Dalian Maritime Univ, Sch Maritime Econ &amp; Management, Dalian 116026, Peoples R China; [Sun, Zhengyi] Waseda Univ, Grad Sch Informat, Kitakyushu 8080135, Japan; [Wang, Xiaoqian] Zhejiang Prov Mil Command, Hangzhou 310002, Peoples R China; [Li, Wenli] Dalian Univ Technol, Sch Econ &amp; Management, Dalian 116024, Peoples R China</t>
  </si>
  <si>
    <t>Dalian Maritime University; Waseda University; Dalian University of Technology</t>
  </si>
  <si>
    <t>Li, ZH (corresponding author), Dalian Maritime Univ, Sch Maritime Econ &amp; Management, Dalian 116026, Peoples R China.</t>
  </si>
  <si>
    <t>leezhaohui@dlmu.edu.cn</t>
  </si>
  <si>
    <t>Li, Wenli/GLV-2223-2022; Sun, Zhengyi/C-3534-2012; Wang, Xiaoqian/AAV-9139-2021</t>
  </si>
  <si>
    <t>National Natural Science Foundation of China [71874022]</t>
  </si>
  <si>
    <t>This research was funded by the National Natural Science Foundation of China, grant No.71874022.</t>
  </si>
  <si>
    <t>ST ALBAN-ANLAGE 66, CH-4052 BASEL, SWITZERLAND</t>
  </si>
  <si>
    <t>1099-4300</t>
  </si>
  <si>
    <t>ENTROPY-SWITZ</t>
  </si>
  <si>
    <t>Entropy</t>
  </si>
  <si>
    <t>10.3390/e25060926</t>
  </si>
  <si>
    <t>Physics, Multidisciplinary</t>
  </si>
  <si>
    <t>Physics</t>
  </si>
  <si>
    <t>K2ZY2</t>
  </si>
  <si>
    <t>WOS:001015184500001</t>
  </si>
  <si>
    <t>Themistocleous, M; Morabito, V</t>
  </si>
  <si>
    <t>An User Interest Ontology Based on Trusted Friends Preferences for Personalized Recommendation</t>
  </si>
  <si>
    <t>INFORMATION SYSTEMS, EMCIS 2017</t>
  </si>
  <si>
    <t>Lecture Notes in Business Information Processing</t>
  </si>
  <si>
    <t>14th European, Mediterranean, and Middle Eastern Conference (EMCIS)</t>
  </si>
  <si>
    <t>SEP 07-08, 2017</t>
  </si>
  <si>
    <t>Coimbra, PORTUGAL</t>
  </si>
  <si>
    <t>Univ Coimbra,Univ Lisbon</t>
  </si>
  <si>
    <t>Preference representation; Semantic web mining; Social network; Tourism recommender systems; Ontology</t>
  </si>
  <si>
    <t>TOURISM; SYSTEMS</t>
  </si>
  <si>
    <t>The importance of personalized recommender systems has recently increased and its role in providing better experiences to different users has been demonstrated. The quality of the recommendation can be guaranteed based on the help of user interpersonal interests in a social network. Information obtained about users and their friends makes it unnecessary to look for similar users and to measure their rating similarity. In our work, we have developed a trusted friend's calculation method for determining social trusted friends by analyzing user's profile on Facebook. We have also represented the user's model as an ontology that takes into consideration all trusted friends' preferences and the degree of trust between friends. Afterwards, we have used this ontology in a semantic tourism recommender system as an e-tourism tool able to recommend items based on the users' preferences and their trusted friends' preferences.</t>
  </si>
  <si>
    <t>Mhiri, Mohamed/OMK-8712-2025</t>
  </si>
  <si>
    <t>Mhiri, Mohamed/0009-0001-7934-7618; Frikha, Mohamed/0000-0001-7110-9327; Gargouri, Faiez/0000-0003-2575-8654</t>
  </si>
  <si>
    <t>1865-1348</t>
  </si>
  <si>
    <t>978-3-319-65930-5; 978-3-319-65929-9</t>
  </si>
  <si>
    <t>LECT NOTES BUS INF P</t>
  </si>
  <si>
    <t>10.1007/978-3-319-65930-5_5</t>
  </si>
  <si>
    <t>BK2ID</t>
  </si>
  <si>
    <t>WOS:000432839500005</t>
  </si>
  <si>
    <t>Schrader, C; Reichelt, M; Zander, S</t>
  </si>
  <si>
    <t>Schrader, Claudia; Reichelt, Maria; Zander, Steffi</t>
  </si>
  <si>
    <t>The effect of the personalization principle on multimedia learning: the role of student individual interests as a predictor</t>
  </si>
  <si>
    <t>ETR&amp;D-EDUCATIONAL TECHNOLOGY RESEARCH AND DEVELOPMENT</t>
  </si>
  <si>
    <t>Personalization principle; Motivation; Individual interest; Multimedia Presentation</t>
  </si>
  <si>
    <t>STYLE</t>
  </si>
  <si>
    <t>By focusing on the personalization principle, the present study investigates whether two different language presentation formats of a multimedia presentation influence students' learning outcome and how individual interest towards the learning material moderates this impact. German students (N=104) were randomly assigned to either a conversational or a formal language format of the multimedia presentation that taught Gestalt Laws. The results of this study showed that there were more positive effects on the learning performance in the conversational presentation format than the formal language format. This was, therefore, an indication of the effects of personalization. Furthermore, individual interest is a significant predictor for learning in this study. By testing different percentiles of individual interest, the findings showed that students with intermediate interest were affected by the format of language style. In contrast, learning results of students with the very lowest and very highest individual interest were not affected by different language styles. These results underline the necessity to take into account individual motivational prerequisites when designing multimedia learning environments.</t>
  </si>
  <si>
    <t>[Schrader, Claudia] Ulm Univ, Dept Serious Games, Albert Einstein Allee 47, D-89081 Ulm, Germany; [Reichelt, Maria] Univ Appl Sci, Erfurt, Germany; [Zander, Steffi] Bauhaus Univ Weimar, Dept Instruct Design, Weimar, Germany</t>
  </si>
  <si>
    <t>Ulm University; Fachhochschule Erfurt; Bauhaus-Universitat Weimar</t>
  </si>
  <si>
    <t>Schrader, C (corresponding author), Ulm Univ, Dept Serious Games, Albert Einstein Allee 47, D-89081 Ulm, Germany.</t>
  </si>
  <si>
    <t>claudia.schrader@uni-ulm.de; Maria.Reichelt@fh-erfurt.de; steffi.zander@uni-weimar.de</t>
  </si>
  <si>
    <t>1042-1629</t>
  </si>
  <si>
    <t>1556-6501</t>
  </si>
  <si>
    <t>ETR&amp;D-EDUC TECH RES</t>
  </si>
  <si>
    <t>ETR&amp;D-Educ. Tech. Res. Dev.</t>
  </si>
  <si>
    <t>10.1007/s11423-018-9588-8</t>
  </si>
  <si>
    <t>HB1TD</t>
  </si>
  <si>
    <t>WOS:000450808100004</t>
  </si>
  <si>
    <t>Fu, JS; Yeh, HC; Liang, PC; Heng, L</t>
  </si>
  <si>
    <t>Fu, Jo Shan; Yeh, Hui-Chin; Liang, Pei-Chun; Heng, Leechin</t>
  </si>
  <si>
    <t>Exploring adult learners' perceptions towards learning English via mobile applications</t>
  </si>
  <si>
    <t>INTERNATIONAL JOURNAL OF LEARNING TECHNOLOGY</t>
  </si>
  <si>
    <t>adult learners; L2 acquisition; mobile-assisted language learning</t>
  </si>
  <si>
    <t>VOCABULARY</t>
  </si>
  <si>
    <t>An increasing number of language learning websites, podcasts and audiobooks are created for users to access via mobile phones. While studies conducted on the use of mobile applications (apps) in language learning and teaching for students or working adults have been highly positive, few have explored other motivations, such as leisure or personal interests. Therefore, this paper explores ten adult female learners' experiences of using mobile apps based on self-regulated learning (SRL) to assist their English listening and speaking skills outside classrooms. Findings from the study demonstrate the affordances of mobile apps in enhancing L2 learners' SRL through accessibility and portability in offering adult learners to practice and engage with study materials according to their personal interests and learning progress. Simultaneously, it provides adult learners with the opportunity to access learning materials anytime and anywhere, which not only lowers their anxiety but also encourages them to participate fully in class.</t>
  </si>
  <si>
    <t>[Fu, Jo Shan] Natl Kaohsiung Univ Sci &amp; Technol, Dept English, Kaohsiung, Taiwan; [Yeh, Hui-Chin] Natl Yunlin Univ Sci &amp; Technol, Dept Appl Foreign Languages, Touliu, Yunlin, Taiwan; [Liang, Pei-Chun] Kimberley Language Sch, 5,Ln 26,Ganghou Rd, Lukang Township 505, Changhua, Taiwan; [Heng, Leechin] Univ Canterbury, Sch Educ Studies &amp; Leadership, Canterbury, Aotearoa, New Zealand</t>
  </si>
  <si>
    <t>National Kaohsiung University of Science &amp; Technology; National Yunlin University Science &amp; Technology; University of Canterbury</t>
  </si>
  <si>
    <t>Yeh, HC (corresponding author), Natl Yunlin Univ Sci &amp; Technol, Dept Appl Foreign Languages, Touliu, Yunlin, Taiwan.</t>
  </si>
  <si>
    <t>joshanfu@nkust.edu.tw; hyeh@gemail.yuntech.edu.tw; shinfa15@gmail.com; lcheng@yuntech.edu.tw</t>
  </si>
  <si>
    <t>Yeh, Hui-Chin/O-1256-2013; Heng, Leechin/OVZ-7434-2025; Fu, Jo Shan/ACX-8114-2022</t>
  </si>
  <si>
    <t>Fu, Jo Shan/0000-0001-5805-7235</t>
  </si>
  <si>
    <t>INDERSCIENCE ENTERPRISES LTD</t>
  </si>
  <si>
    <t>GENEVA</t>
  </si>
  <si>
    <t>WORLD TRADE CENTER BLDG, 29 ROUTE DE PRE-BOIS, CASE POSTALE 856, CH-1215 GENEVA, SWITZERLAND</t>
  </si>
  <si>
    <t>1477-8386</t>
  </si>
  <si>
    <t>1741-8119</t>
  </si>
  <si>
    <t>INT J LEARN TECHNOL</t>
  </si>
  <si>
    <t>Int. J. Learn. Technol.</t>
  </si>
  <si>
    <t>XK7BM</t>
  </si>
  <si>
    <t>WOS:000727616300001</t>
  </si>
  <si>
    <t>Dokoohaki, N; Matskin, M</t>
  </si>
  <si>
    <t>Memon, N; Alhajj, R</t>
  </si>
  <si>
    <t>Dokoohaki, Nima; Matskin, Mihhail</t>
  </si>
  <si>
    <t>Quest: An Adaptive Framework for User Profile Acquisition from Social Communities of Interest</t>
  </si>
  <si>
    <t>2010 INTERNATIONAL CONFERENCE ON ADVANCES IN SOCIAL NETWORKS ANALYSIS AND MINING (ASONAM 2010)</t>
  </si>
  <si>
    <t>International Conference on Advances in Social Network Analysis and Mining (ASONAM)</t>
  </si>
  <si>
    <t>AUG 09-11, 2010</t>
  </si>
  <si>
    <t>Odense, DENMARK</t>
  </si>
  <si>
    <t>IEEE Comp Soc,Univ S Denmark,Univ Calgary,Hellenic Amer Univ,Global Univ,Assoc Comp Machinery, Special Interest Grp Human Interact,IEEE Comp Soc Tech Comm Data Engn,SpringerWienNewyork</t>
  </si>
  <si>
    <t>user profiles; profile mining; adaptive crawling; social network analysis</t>
  </si>
  <si>
    <t>Within this paper we introduce a framework for semi- to full-automatic discovery and acquisition of bag-of-words style interest profiles from openly accessible Social Web communities. To do such, we construct a semantic taxonomy search tree from target domain (domain towards which we're acquiring profiles for), starting with generic concepts at root down to specific-level instances at leaves, then we utilize one of proposed Quest methods, namely Depth-based, N-Split and Greedy to read the concept labels from the tree and crawl the source Social Network for profiles containing corresponding topics. Cached profiles are then mined in a two-step approach, using a clusterer and a classifier to generate predictive model presenting weighted profiles, which are used later on by a semantic recommender to suggest and recommend the community members with the items of their similar interest.</t>
  </si>
  <si>
    <t>[Dokoohaki, Nima] Royal Inst Technol KTH, Forum 120, S-16440 Kista, Sweden; [Matskin, Mihhail] Norwegian Univ Sci &amp; Technol NTNU, Trondheim, Norway</t>
  </si>
  <si>
    <t>Royal Institute of Technology; Norwegian University of Science &amp; Technology (NTNU)</t>
  </si>
  <si>
    <t>Dokoohaki, N (corresponding author), Royal Inst Technol KTH, Forum 120, S-16440 Kista, Sweden.</t>
  </si>
  <si>
    <t>nimad@kth.se; misha@kth.se</t>
  </si>
  <si>
    <t>Dokoohaki, Nima/AAE-5662-2020</t>
  </si>
  <si>
    <t>Dokoohaki, Nima/0000-0003-2339-2337</t>
  </si>
  <si>
    <t>EU FP7 SMARTMUSEUM [FP7-216923, 621-20076565]; Swedish Research Council</t>
  </si>
  <si>
    <t>EU FP7 SMARTMUSEUM(European Union (EU)Marie Curie Actions); Swedish Research Council(Swedish Research Council)</t>
  </si>
  <si>
    <t>This work is partly supported by EU FP7 SMARTMUSEUM project, (FP7-216923) and grant number 621-20076565 funded by Swedish Research Council.</t>
  </si>
  <si>
    <t>978-0-7695-4138-9</t>
  </si>
  <si>
    <t>10.1109/ASONAM.2010.67</t>
  </si>
  <si>
    <t>BG9JC</t>
  </si>
  <si>
    <t>WOS:000393301300053</t>
  </si>
  <si>
    <t>Prasetya, SP; Daryono; Budiyanto, E</t>
  </si>
  <si>
    <t>IOP</t>
  </si>
  <si>
    <t>Prasetya, S. P.; Daryono; Budiyanto, E.</t>
  </si>
  <si>
    <t>Media development effectiveness of geography 3d muckups</t>
  </si>
  <si>
    <t>2ND INTERNATIONAL JOINT CONFERENCE ON SCIENCE AND TECHNOLOGY (IJCST) 2017</t>
  </si>
  <si>
    <t>2nd International Joint Conference on Science and Technology (IJCST)</t>
  </si>
  <si>
    <t>SEP 27-28, 2017</t>
  </si>
  <si>
    <t>Bali State Polytechn, Bali, INDONESIA</t>
  </si>
  <si>
    <t>Indonesian Govt, Minist Res Technol &amp; Higher Educ</t>
  </si>
  <si>
    <t>Bali State Polytechn</t>
  </si>
  <si>
    <t>Geography examines geosphere phenomena that occurs in a space associated with humans on earth's surface. Media 3D models are an important visual media in presenting spatial objects on the earth's surface. This study aims to develop a decent 3D mockups media used for learning materials and test the effectiveness of media geography 3D mockups on learning outcomes. The study involved 90 students of Geography Education, Faculty of Social Sciences and Law, State University of Surabaya. Method development using a model of the Borg and Gall (1989) which has been modified into three stages, namely the introduction, development, and testing. The study produced instructional media 3D Muckups eligible to be used as a learning medium for the material hydrosphere geography, geology, and geomorphology. 3D mockups media use in learning geography materials can increase the activity of students, student interest and a positive response to raise the student learning outcomes as the material can be delivered more concrete geography. Based on observations conducted student activity occurs continuously increase in the use of 3D models for learning geography material.</t>
  </si>
  <si>
    <t>[Prasetya, S. P.; Daryono; Budiyanto, E.] Univ Negeri Surabaya, Fac Social Sci &amp; Law, Dept Geog Educ, Ketintang St, Surabaya 60231, Indonesia</t>
  </si>
  <si>
    <t>Universitas Negeri Surabaya</t>
  </si>
  <si>
    <t>Prasetya, SP (corresponding author), Univ Negeri Surabaya, Fac Social Sci &amp; Law, Dept Geog Educ, Ketintang St, Surabaya 60231, Indonesia.</t>
  </si>
  <si>
    <t>sukmaperdana@unesa.ac.id</t>
  </si>
  <si>
    <t>BUDIYANTO, EKO/AAN-2646-2021</t>
  </si>
  <si>
    <t>BUDIYANTO, EKO/0000-0003-2509-961X</t>
  </si>
  <si>
    <t>The author would like to thank Universitas Negeri Surabaya for their support and assistance with this project and for their appreciation of the benefits to be gained from policy research of Faculty programs. The Dean of Social sciences and Law Faculty, Prof. Dr. Sarmini, M. Hum, for her contribution and attention.</t>
  </si>
  <si>
    <t>10.1088/1742-6596/953/1/012172</t>
  </si>
  <si>
    <t>Physics, Applied; Physics, Multidisciplinary</t>
  </si>
  <si>
    <t>BL0NQ</t>
  </si>
  <si>
    <t>WOS:000446204400171</t>
  </si>
  <si>
    <t>Shieh, JJ; Reynolds, BL</t>
  </si>
  <si>
    <t>Shieh, Jin-Jy; Reynolds, Barry Lee</t>
  </si>
  <si>
    <t>The origin and impact of an ESL teacher's beliefs on curriculum design</t>
  </si>
  <si>
    <t>ASIA PACIFIC JOURNAL OF EDUCATION</t>
  </si>
  <si>
    <t>Beliefs; curriculum design; ESL; higher education; teachers</t>
  </si>
  <si>
    <t>FOREIGN-LANGUAGE; COGNITION; BOUNDARIES; ENGLISH</t>
  </si>
  <si>
    <t>Teachers in institutions of higher education have a very high degree of freedom when designing curricula. They make decisions on learning objectives, content, content organization, teaching arrangement, and assessment. Teachers' beliefs regarding curriculum design affect decision-making and planning processes, teaching approaches, and their relationships with students. This study aimed to examine the role beliefs played in influencing an English as a Second Language (ESL) teacher's curriculum design. The teacher's beliefs, their origins, and their impact on curriculum design were investigated through the analysis of in-depth interview transcripts, course outlines, teaching and learning materials, and teaching reflection notes. The results of the analysis revealed that the ESL teacher believed that an ESL curriculum should be balanced, authentic, and enjoyable. While teaching experiences, article reading, and personal interests were shown to have shaped the ESL teacher's beliefs, the most significant influencer was his personal experiences in a postgraduate Teaching English to Speakers of Other Languages teacher education programme. This finding underscores that quality curricula will bring about positive learning experiences, which, in turn, will lead to better curriculum design.</t>
  </si>
  <si>
    <t>[Shieh, Jin-Jy; Reynolds, Barry Lee] Univ Macau, Fac Educ, Macau, Peoples R China; [Reynolds, Barry Lee] Univ Macau, Ctr Cognit &amp; Brain Sci, Macau, Peoples R China</t>
  </si>
  <si>
    <t>University of Macau; University of Macau</t>
  </si>
  <si>
    <t>Reynolds, BL (corresponding author), Univ Macau, Fac Educ, Taipa, Macau, Peoples R China.</t>
  </si>
  <si>
    <t>barryreynolds@um.edu.mo</t>
  </si>
  <si>
    <t>Reynolds, Barry/I-5685-2019</t>
  </si>
  <si>
    <t>Reynolds, Barry/0000-0002-3984-2059</t>
  </si>
  <si>
    <t>Universidade de Macau [MYRG2018-00008-FED, MYRG2018-00119-FED]</t>
  </si>
  <si>
    <t>Universidade de Macau(University of Macau)</t>
  </si>
  <si>
    <t>This work was supported by the Universidade de Macau [MYRG2018-00008-FED, MYRG2018-00119-FED].</t>
  </si>
  <si>
    <t>0218-8791</t>
  </si>
  <si>
    <t>1742-6855</t>
  </si>
  <si>
    <t>ASIA PAC J EDUC</t>
  </si>
  <si>
    <t>Asia Pac. J. Educ.</t>
  </si>
  <si>
    <t>JUL 3</t>
  </si>
  <si>
    <t>10.1080/02188791.2020.1832043</t>
  </si>
  <si>
    <t>OCT 2020</t>
  </si>
  <si>
    <t>TY2GN</t>
  </si>
  <si>
    <t>WOS:000585414300001</t>
  </si>
  <si>
    <t>Zheng, JX; Li, QW; Liao, J; Wang, SG</t>
  </si>
  <si>
    <t>Zheng, Jianxing; Li, Qinwen; Liao, Jian; Wang, Suge</t>
  </si>
  <si>
    <t>Explainable link prediction based on multi-granularity relation-embedded representation</t>
  </si>
  <si>
    <t>KNOWLEDGE-BASED SYSTEMS</t>
  </si>
  <si>
    <t>Social relation extraction; User interest profile; Multi-granularity relation-embedded; representation; Explanation</t>
  </si>
  <si>
    <t>RECOMMENDATION</t>
  </si>
  <si>
    <t>Existing link prediction methods focus on mining relations of nodes in terms of network structure, ignoring rich attributes of nodes. In the micro-blog social networks, text contents describe users' diverse behaviors, which depicts ones' multi-dimensional and multi-granularity preferences. Thus, based on users' multi-granularity interest, we can predict and explain social relations among users. In this work, we develop an explainable social relation extraction method based on hierarchical semantic specificity matrices of user interest. First, according to users' micro-blog contents, we model user interest subjects and design their semantic specificity matrices. Then, on the basis of interest subjects, we learn multi-dimensional and multi-granularity semantic specificity matrices with translation mechanism, which reflects user pairs' follow relation causes from multiple aspects. Finally, by leveraging multi-granularity semantic specificity matrices, we predict and explain users' social follow relation. To justify our proposal, we conduct extensive experiments on Sina Weibo and Tencent Weibo datasets. The experimental results demonstrate that the proposed model outperforms state-of-the-art methods in Hits, MeanRank and MRR metrics. The proposal can effectively predict users' follow relation from the aspects of multi-granularity interest subjects, and improve the accuracy of link prediction in social networks. (c) 2021 Elsevier B.V. All rights reserved.</t>
  </si>
  <si>
    <t>[Zheng, Jianxing; Li, Qinwen; Liao, Jian; Wang, Suge] Shanxi Univ, Sch Comp &amp; Informat Technol, Taiyuan 030006, Shanxi, Peoples R China; [Wang, Suge] Minist Educ, Key Lab Computat Intelligence &amp; Chinese Informat, Taiyuan 030006, Shanxi, Peoples R China</t>
  </si>
  <si>
    <t>Shanxi University</t>
  </si>
  <si>
    <t>Wang, SG (corresponding author), Shanxi Univ, Sch Comp &amp; Informat Technol, Taiyuan 030006, Shanxi, Peoples R China.</t>
  </si>
  <si>
    <t>jxzheng@sxu.edu.cn; 201922404015@email.sxu.edu.cn; liaoj@sxu.edu.cn; wsg@sxu.edu.cn</t>
  </si>
  <si>
    <t>Liao, Jian/0000-0002-9385-6873</t>
  </si>
  <si>
    <t>National Natural Science Foundation of China [61632011, 62076158, 62072294, 61603229, 61906112]; Key Research and Development Program of Shanxi Province, China (International Cooperation) [201803D421024, 201903D421041]; Scientific and Technological Innovation Programs of Higher Education Institutions in Shanxi [2020L0001, 2019L0008]</t>
  </si>
  <si>
    <t>National Natural Science Foundation of China(National Natural Science Foundation of China (NSFC)); Key Research and Development Program of Shanxi Province, China (International Cooperation); Scientific and Technological Innovation Programs of Higher Education Institutions in Shanxi</t>
  </si>
  <si>
    <t>The authors would like to thank all anonymous reviewers for their valuable comments and suggestions which have sig-nificantly improved the quality and presentation of this paper.This work was partially supported by the National Natural Sci-ence Foundation of China (nos. 61632011, 62076158, 62072294, 61603229, 61906112) , the Key Research and Development Pro-gram of Shanxi Province, China (International Cooperation, nos. 201803D421024, 201903D421041) , the Scientific and Techno-logical Innovation Programs of Higher Education Institutions in Shanxi (2020L0001, 2019L0008) .</t>
  </si>
  <si>
    <t>0950-7051</t>
  </si>
  <si>
    <t>1872-7409</t>
  </si>
  <si>
    <t>KNOWL-BASED SYST</t>
  </si>
  <si>
    <t>Knowledge-Based Syst.</t>
  </si>
  <si>
    <t>OCT 27</t>
  </si>
  <si>
    <t>10.1016/j.knosys.2021.107402</t>
  </si>
  <si>
    <t>AUG 2021</t>
  </si>
  <si>
    <t>UR8PO</t>
  </si>
  <si>
    <t>WOS:000697004300006</t>
  </si>
  <si>
    <t>Wu, LF; Zhang, D; Zhang, XZ; Jing, YC; Liu, HY; Chen, CW</t>
  </si>
  <si>
    <t>Wu, Lifang; Zhang, Dai; Zhang, Xiuzhen; Jing, Yuchen; Liu, Haiying; Chen, Chang Wen</t>
  </si>
  <si>
    <t>Recommending Followees Based on Content Weighted User Interest Homophily</t>
  </si>
  <si>
    <t>8TH INTERNATIONAL CONFERENCE ON INTERNET MULTIMEDIA COMPUTING AND SERVICE (ICIMCS2016)</t>
  </si>
  <si>
    <t>8th International Conference on Internet Multimedia Computing and Service (ICIMCS)</t>
  </si>
  <si>
    <t>AUG 19-21, 2016</t>
  </si>
  <si>
    <t>Xidian Univ, State Key Lab Integrated Serv Networks, Xian, PEOPLES R CHINA</t>
  </si>
  <si>
    <t>Xidian Univ, State Key Lab Integrated Serv Networks</t>
  </si>
  <si>
    <t>social recommendation; content curation social networks; user interest homophily; recommender systems</t>
  </si>
  <si>
    <t>We study the problem of recommending followees to users on content curation social networks (CCSNs). Different from existing friendship-oriented user recommendation approaches, we exploit user interest homophily to recommend users of similar interests, combining the users' social network as well as their topical interests. We first profile users with social links and topical interests derived from re-pin paths. We further design a collaborative filtering strategy for user recommendation based on interest homophily. Experiments on a content curation social network show that our recommendation algorithm based on user interest homophily performs better than recommendation based on user popularity.</t>
  </si>
  <si>
    <t>[Wu, Lifang; Zhang, Dai; Jing, Yuchen; Liu, Haiying] Beijing Univ Technol, Beijing, Peoples R China; [Zhang, Xiuzhen] RMIT Univ, Sch CS &amp; IT, Melbourne, Vic, Australia; [Chen, Chang Wen] SUNY Buffalo, Comp Sci &amp; Engn, Buffalo, NY USA</t>
  </si>
  <si>
    <t>Beijing University of Technology; Royal Melbourne Institute of Technology (RMIT); State University of New York (SUNY) System; University at Buffalo, SUNY</t>
  </si>
  <si>
    <t>Wu, LF (corresponding author), Beijing Univ Technol, Beijing, Peoples R China.</t>
  </si>
  <si>
    <t>lfwu@bjut.edu.cn; davidzhangdai@emails.bjut.edu.cn; xiuzhen.zhang@rmit.edu.au; jjyycchh@emails.bjut.edu.cn; liuhaiying@emails.bjut.edu.cn; chencw@buffalo.edu</t>
  </si>
  <si>
    <t>Zhang, Xiuzhen/0000-0001-5558-3790; Chen, Chang Wen/0000-0002-6720-234X</t>
  </si>
  <si>
    <t>978-1-4503-4850-8</t>
  </si>
  <si>
    <t>10.1145/3007669.3007692</t>
  </si>
  <si>
    <t>BH8SQ</t>
  </si>
  <si>
    <t>WOS:000403663900033</t>
  </si>
  <si>
    <t>Hunsu, NJ; Adesope, O; Van Wie, BJ</t>
  </si>
  <si>
    <t>Hunsu, Nathaniel J.; Adesope, Olusola; Van Wie, Bernard J.</t>
  </si>
  <si>
    <t>Engendering situational interest through innovative instruction in an engineering classroom: what really mattered?</t>
  </si>
  <si>
    <t>INSTRUCTIONAL SCIENCE</t>
  </si>
  <si>
    <t>Interest; Situational interest; Interest development; Hands-on learning; Active learning</t>
  </si>
  <si>
    <t>SEDUCTIVE DETAILS; ACHIEVEMENT GOALS; PERFORMANCE; MOTIVATION; PROSPECTS; IDEAS</t>
  </si>
  <si>
    <t>Instructors often try out innovative interventions (INTRs) in their classrooms to promote student engagement and learning interest. While such efforts are commendable, thinking through how individual and environmental characteristics influence interest development in learners is crucial to meeting such teaching objectives. In this study, we examined the role of personal interest, students' perceptions of meaningfulness (MNG) and the instructional utility of an innovative hands-on learning module in the development of triggered and maintained situational interests in an engineering classroom that used hands-on learning modules. Participants were undergraduate students enrolled in an engineering classroom who were taught fluid mechanics concepts using an innovative instructional approach. Results of the study indicate that the instructional INTR and the MNG learning material were significant predictors of situational interest. Theoretical and practical implications of the findings are discussed.</t>
  </si>
  <si>
    <t>[Hunsu, Nathaniel J.] Univ Georgia, Coll Engn, Athens, GA 30602 USA; [Adesope, Olusola] Washington State Univ, Educ Leadership Sport Studies Educ &amp; Counseling P, Pullman, WA 99164 USA; [Van Wie, Bernard J.] Washington State Univ, Voiland Sch Chem Engn &amp; Bioengn, Pullman, WA 99164 USA</t>
  </si>
  <si>
    <t>University System of Georgia; University of Georgia; Washington State University; Washington State University</t>
  </si>
  <si>
    <t>Hunsu, NJ (corresponding author), Univ Georgia, Coll Engn, Athens, GA 30602 USA.</t>
  </si>
  <si>
    <t>nathaniel.hunsu@uga.edu; olusola.adesope@wsu.edu; bvanwie@wsu.edu</t>
  </si>
  <si>
    <t>National Science Foundation [IUSE 1432674]; Division Of Undergraduate Education; Direct For Education and Human Resources [1432674] Funding Source: National Science Foundation</t>
  </si>
  <si>
    <t>National Science Foundation(National Science Foundation (NSF)); Division Of Undergraduate Education; Direct For Education and Human Resources(National Science Foundation (NSF)NSF - Directorate for STEM Education (EDU))</t>
  </si>
  <si>
    <t>Bernard J. Van Wie was supported by National Science Foundation with Award Number IUSE 1432674.</t>
  </si>
  <si>
    <t>0020-4277</t>
  </si>
  <si>
    <t>1573-1952</t>
  </si>
  <si>
    <t>INSTR SCI</t>
  </si>
  <si>
    <t>Instr. Sci.</t>
  </si>
  <si>
    <t>10.1007/s11251-017-9427-z</t>
  </si>
  <si>
    <t>FL7HM</t>
  </si>
  <si>
    <t>WOS:000414418300005</t>
  </si>
  <si>
    <t>Aslam, M; Arshad, MJ; Farooq, A; Ahsan, S; Shahbaz, M; Qamar, F; Moin, S</t>
  </si>
  <si>
    <t>Aslam, M.; Arshad, M. Junaid; Farooq, Amjad; Ahsan, Syed; Shahbaz, M.; Qamar, Fozia; Moin, Sahar</t>
  </si>
  <si>
    <t>Multi-Agent System to Suggest Daily Commodities on Social Networking Websites</t>
  </si>
  <si>
    <t>LIFE SCIENCE JOURNAL-ACTA ZHENGZHOU UNIVERSITY OVERSEAS EDITION</t>
  </si>
  <si>
    <t>Multi-agent; Social Networking; Artificial Intelligence</t>
  </si>
  <si>
    <t>Multi agent system is a rapidly growing field of distributed artificial intelligence that has gained significant position because of its ability to solve complex real world problems. Researches on social networks have received increasing attention in multi agent systems due to the popularity of social networking sites. In this paper, we are going to draft a blueprint of Multi agent architecture for social networking websites to suggest daily life commodities/items, based on general trends and interests. Usually websites show their advertisements or user interest information in the form of pop ups. This information is generally tied up with the most recent searches the user has made on the web browser. These ideas provide may or may not be related with his personal interests. So, he becomes frustrated at some times. But our system is capable of handling the situations intelligently. It extracts the required information from profiles and associates the results with it; providing up-to-date and significance information and making the web search a fascinating experience. [M. Aslam, M. Junaid Arshad, Amjad Farooq, Syed Ahsan, M. Shahbaz. Multi-Agent System to Suggest Daily Commodities on Social Networking Websites, Life Science Journal. 2012; 9(2):57-60] (ISSN: 1097-8135). http://www.lifesciencesite.com. 11</t>
  </si>
  <si>
    <t>[Aslam, M.; Arshad, M. Junaid; Farooq, Amjad; Ahsan, Syed; Shahbaz, M.; Qamar, Fozia; Moin, Sahar] UET, Dept Comp Sci &amp; Engn, Lahore, Pakistan</t>
  </si>
  <si>
    <t>Aslam, M (corresponding author), UET, Dept Comp Sci &amp; Engn, Lahore, Pakistan.</t>
  </si>
  <si>
    <t>maslam@uet.edu.pk</t>
  </si>
  <si>
    <t>Ahsan, Syed Muhammad/0000-0001-9545-9903</t>
  </si>
  <si>
    <t>Directorate of Research Extension and Advisory Services U.E.T., Lahore-Pakistan</t>
  </si>
  <si>
    <t>This research was supported by the Directorate of Research Extension and Advisory Services U.E.T., Lahore-Pakistan.</t>
  </si>
  <si>
    <t>MARSLAND PRESS</t>
  </si>
  <si>
    <t>LANSING</t>
  </si>
  <si>
    <t>PO BOX 21126, LANSING, MI 48909 USA</t>
  </si>
  <si>
    <t>1097-8135</t>
  </si>
  <si>
    <t>LIFE SCI J</t>
  </si>
  <si>
    <t>Life Sci. J.</t>
  </si>
  <si>
    <t>Biology</t>
  </si>
  <si>
    <t>Life Sciences &amp; Biomedicine - Other Topics</t>
  </si>
  <si>
    <t>019HK</t>
  </si>
  <si>
    <t>WOS:000309728600011</t>
  </si>
  <si>
    <t>Wu, LF; Yang, BW; Jian, M; Zhang, XZ; Zhang, H; Liu, X</t>
  </si>
  <si>
    <t>Cheng, X; Papapetrou, P; He, Q</t>
  </si>
  <si>
    <t>Wu, Lifang; Yang, Bowen; Jian, Meng; Zhang, Xiuzhen; Zhang, Heng; Liu, Xu</t>
  </si>
  <si>
    <t>Learning Effective Representations from Sparse Mutlimodal Data on Content Curation Social Networks</t>
  </si>
  <si>
    <t>2019 INTERNATIONAL CONFERENCE ON DATA MINING WORKSHOPS, ICDMW</t>
  </si>
  <si>
    <t>International Conference on Data Mining Workshops</t>
  </si>
  <si>
    <t>19th International Conference on Data Mining Workshops</t>
  </si>
  <si>
    <t>NOV 08-11, 2019</t>
  </si>
  <si>
    <t>Institute of Computing Technology of the Chinese Academy of Sciences,Hefei University of Technology,Linkedln Corp,Nanjing University of Finance and Economics</t>
  </si>
  <si>
    <t>representation learning; content curation social networks; multimodal analysis; deep learning</t>
  </si>
  <si>
    <t>Content curation social networks (CCSNs), which provide users a platform to share their interests by multimedia information, are the most rapidly growing social networks in recent years. Since large-scale multimodal data have been generated by CCSN users, learning multimodal representations for contents have become the key to the progress of many applications such as user interest analysis and recommender system for curation networks. Learning representations for CCSNs faces a vital challenge: the sparsity of multimodal data. It is difficult for most existing approaches to learn effective representations for multimodal CCSNs because they didn't provide a solution on how to model sparse and noisy multimodal data. In this paper, we propose a 2-step approach to learn accurate multimodal representations from sparse multimodal data. First, we propose a novel Board-Image-Word (BIW) graph to model the multimodal data. Benefited from the unique board-image relation on CCSNs, embeddings of images and texts which endow semantic relations are learned from the network topology of the BIW graph. As the second step, a deep vision model with modified loss function are trained by minimizing the distance between the visual features of contents and their corresponding semantic relation embeddings to learn representations which incorporate visual information and graph-based semantic relations. Experiments on the dataset from Huaban.com demonstrate that under the circumstance of sparser text modality, our method significantly outperformed multimodal DBN, DBM and unimodal representation learning methods on pin classification and board recommendation tasks.</t>
  </si>
  <si>
    <t>[Wu, Lifang; Yang, Bowen; Jian, Meng; Zhang, Heng; Liu, Xu] Beijing Univ Technol, Fac Informat Technol, Beijing, Peoples R China; [Zhang, Xiuzhen] RMIT Univ, Scl Comp Sci &amp; Informat, Melbourne, Vic, Australia</t>
  </si>
  <si>
    <t>Beijing University of Technology; Royal Melbourne Institute of Technology (RMIT)</t>
  </si>
  <si>
    <t>Wu, LF (corresponding author), Beijing Univ Technol, Fac Informat Technol, Beijing, Peoples R China.</t>
  </si>
  <si>
    <t>ifwu@bjut.edu.cn; yangbowen108@qq.com; jianmeng648@163.com; xiuzhen.zhang@rmit.edu.au; zhangheng2018@bjut.edu.cn; liuxu91@bjut.edu.cn</t>
  </si>
  <si>
    <t>National Natural Science Foundation of China [61976010, 61702022]; Beijing Municipal Education Committee Science Foundation [KM201910005024]; Beijing excellent young talent cultivation project [2017000020124G075]; Beijing Postdoctoral Research Foundation [ZZ2019-63]; Ri Xin Training Program Foundation for the Talents by Beijing University of Technology</t>
  </si>
  <si>
    <t>National Natural Science Foundation of China(National Natural Science Foundation of China (NSFC)); Beijing Municipal Education Committee Science Foundation; Beijing excellent young talent cultivation project; Beijing Postdoctoral Research Foundation(China Postdoctoral Science Foundation); Ri Xin Training Program Foundation for the Talents by Beijing University of Technology</t>
  </si>
  <si>
    <t>This work was supported in part by the National Natural Science Foundation of China (61976010, 61702022), Beijing Municipal Education Committee Science Foundation(KM201910005024), Beijing excellent young talent cultivation project(2017000020124G075), Beijing Postdoctoral Research Foundation (ZZ2019-63), and Ri Xin Training Program Foundation for the Talents by Beijing University of Technology.</t>
  </si>
  <si>
    <t>2375-9232</t>
  </si>
  <si>
    <t>978-1-7281-4896-0</t>
  </si>
  <si>
    <t>INT CONF DAT MIN WOR</t>
  </si>
  <si>
    <t>10.1109/ICDMW.2019.00101</t>
  </si>
  <si>
    <t>Computer Science, Artificial Intelligence; Computer Science, Information Systems; Computer Science, Interdisciplinary Applications; Computer Science, Theory &amp; Methods</t>
  </si>
  <si>
    <t>BY5TF</t>
  </si>
  <si>
    <t>WOS:001463475000093</t>
  </si>
  <si>
    <t>Dougnon, RY; Fournier-Viger, P; Lin, JCW; Nkambou, R</t>
  </si>
  <si>
    <t>Lagunas, OP; Alcantara, OH; Figueroa, GA</t>
  </si>
  <si>
    <t>Dougnon, Raissa Yapan; Fournier-Viger, Philippe; Lin, Jerry Chun-Wei; Nkambou, Roger</t>
  </si>
  <si>
    <t>More Accurate Inference of User Profiles in Online Social Networks</t>
  </si>
  <si>
    <t>ADVANCES IN ARTIFICIAL INTELLIGENCE AND ITS APPLICATIONS, MICAI 2015, PT II</t>
  </si>
  <si>
    <t>14th Mexican International Conference on Artificial Intelligence (MICAI)</t>
  </si>
  <si>
    <t>OCT 25-31, 2015</t>
  </si>
  <si>
    <t>Polytechn Univ Morelos, Cuernavaca, MEXICO</t>
  </si>
  <si>
    <t>Mexican Soc Artificial Intelligence,Instituto Investigaciones Electricas,Centro Nacl Investigac &amp; Desarrollo Tecnologico,Univ Politecnica Estado Morelos,Tecnologico Monterrey Campus Cuernavaca,Centro Investigac Computac Instituto Politecnico Nacl,Unidad Profes Interdisciplinaria Ingn &amp; Tecnologias Avanzadas Instituto Politecnico Nacl,Univ Autonoma Mexico Azcapotzalco,Univ Nacl Autonoma Mexico</t>
  </si>
  <si>
    <t>Polytechn Univ Morelos</t>
  </si>
  <si>
    <t>Social networks; Inference; User profiles; Partial graph</t>
  </si>
  <si>
    <t>Algorithms for social network user profiling suffer from one or more of the following limitations: (1) assuming that the full social graph is available for training, (2) not exploiting the rich information that is available in social networks such as group memberships and likes, (3) treating numeric attributes as nominal attributes, and (4) not assessing the certainty of its predictions. In this paper, we address these challenges by proposing an improved algorithm named PGPI+ (Partial Graph Profile Inference+). PGPI+ accurately infers user profiles under the constraint of a partial social graph using rich information about users (e.g. group memberships, views and likes), handles nominal and numeric attributes, and assesses the certainty of predictions. An experimental evaluation with more than 30,000 user profiles from the Facebook and Pokec social networks shows that PGPI+ predicts user profiles with considerably more accuracy and by accessing a smaller part of the social graph than five state-of-the-art algorithms.</t>
  </si>
  <si>
    <t>[Dougnon, Raissa Yapan; Fournier-Viger, Philippe] Univ Moncton, Dept Comp Sci, Moncton, NB E1A 3E9, Canada; [Lin, Jerry Chun-Wei] Harbin Inst Technol, Shenzhen Grad Sch, Sch Comp Sci &amp; Technol, Shenzhen, Peoples R China; [Nkambou, Roger] Univ Quebec, Dept Comp Sci, Montreal, PQ H3C 3P8, Canada</t>
  </si>
  <si>
    <t>University of Moncton; Harbin Institute of Technology; University of Quebec; University of Quebec Montreal</t>
  </si>
  <si>
    <t>Fournier-Viger, P (corresponding author), Univ Moncton, Dept Comp Sci, Moncton, NB E1A 3E9, Canada.</t>
  </si>
  <si>
    <t>eyd2562@umoncton.ca; philippe.fournier-viger@umoncton.ca; jerrylin@ieee.org; nkambou.roger@uqam.ca</t>
  </si>
  <si>
    <t>Fournier-Viger, Philippe/W-1275-2019; Fournier-Viger, Philippe/C-1514-2011</t>
  </si>
  <si>
    <t>Fournier-Viger, Philippe/0000-0002-7680-9899; Fournier-Viger, Philippe/0000-0002-7680-9899</t>
  </si>
  <si>
    <t>978-3-319-27101-9; 978-3-319-27100-2</t>
  </si>
  <si>
    <t>10.1007/978-3-319-27101-9_41</t>
  </si>
  <si>
    <t>Computer Science, Artificial Intelligence; Computer Science, Interdisciplinary Applications; Medical Informatics; Robotics</t>
  </si>
  <si>
    <t>Computer Science; Medical Informatics; Robotics</t>
  </si>
  <si>
    <t>BE1BO</t>
  </si>
  <si>
    <t>WOS:000367681400041</t>
  </si>
  <si>
    <t>Long, YF; Lu, Q; Xiao, Y; Li, ML; Huang, CR</t>
  </si>
  <si>
    <t>Joshi, J; Karypis, G; Liu, L; Hu, X; Ak, R; Xia, Y; Xu, W; Sato, AH; Rachuri, S; Ungar, L; Yu, PS; Govindaraju, R; Suzumura, T</t>
  </si>
  <si>
    <t>Long, Yunfei; Lu, Qin; Xiao, Yue; Li, MingLei; Huang, Chu-Ren</t>
  </si>
  <si>
    <t>Domain-specific user preference prediction based on multiple user activities</t>
  </si>
  <si>
    <t>2016 IEEE INTERNATIONAL CONFERENCE ON BIG DATA (BIG DATA)</t>
  </si>
  <si>
    <t>4th IEEE International Conference on Big Data (Big Data)</t>
  </si>
  <si>
    <t>DEC 05-08, 2016</t>
  </si>
  <si>
    <t>Washington, DC</t>
  </si>
  <si>
    <t>IEEE,IEEE Comp Soc,Natl Sci Fdn,Cisco,Huawei,Elsevier,Navigant,Johns Hopkins Whiting Sch Engn</t>
  </si>
  <si>
    <t>user preferences; user activities; social networks, embedding; user representation</t>
  </si>
  <si>
    <t>Inferring latent user preferences using both structured and unstructured data is an important social computing task. In this paper, we propose a user preference representation based on user activities embedded in unstructured data to better encode the homophily theory. The representation of an individual user is learned using a embedding based method to integrate latent user preferences in social media. The method has the ability to integrate a variety of user activities based cues from user comments, user social network (i.e; follower/followee connections) and user interested topics which are indicated by the topics a user has participated in. Experiments are conducted to evaluate the prediction of each user's favorite team as a part of user preferences in a dataset collected from the Hu-pu basketball discussion forum.(1) Results clearly indicate that our proposed user representation outperforms other user representation baselines. Integrating user social network and user interested topics with user comments can improve the overall performance of user preference prediction.</t>
  </si>
  <si>
    <t>[Long, Yunfei; Lu, Qin; Li, MingLei] Hong Kong Polytech Univ, Dept Comp, Kowloon, Hong Kong, Peoples R China; [Lu, Qin] Daxtra Technol Ltd, Edinburgh EH21 6QD, Midlothian, Scotland; [Huang, Chu-Ren] Hong Kong Polytech Univ, Dept Chinese &amp; Bilingual Studies, Kowloon, Hong Kong, Peoples R China</t>
  </si>
  <si>
    <t>Hong Kong Polytechnic University; Hong Kong Polytechnic University</t>
  </si>
  <si>
    <t>Long, YF (corresponding author), Hong Kong Polytech Univ, Dept Comp, Kowloon, Hong Kong, Peoples R China.</t>
  </si>
  <si>
    <t>csylong@comp.polyu.edu.hk; csluqin@comp.polyu.edu.hk; x.yue@daxtra.com; smli@comp.polyu.edu.hk; churen.huang@polyu.edu.hk</t>
  </si>
  <si>
    <t>; Huang, Chu-Ren/A-8757-2010; Li, Minglei/HHY-7581-2022; LONG, YUNFEI/AFD-5825-2022</t>
  </si>
  <si>
    <t>Lu, Qin/0000-0002-9092-2476; Huang, Chu-Ren/0000-0002-8526-5520;</t>
  </si>
  <si>
    <t>Hong Kong Polytechnic University (PolyU RTVU); GRF grant [( CERG PolyU 15211/14E)]</t>
  </si>
  <si>
    <t>Hong Kong Polytechnic University (PolyU RTVU)(Hong Kong Polytechnic University); GRF grant</t>
  </si>
  <si>
    <t>The work is partially supported by the research grants from Hong Kong Polytechnic University (PolyU RTVU) and GRF grant( CERG PolyU 15211/14E).</t>
  </si>
  <si>
    <t>978-1-4673-9005-7</t>
  </si>
  <si>
    <t>BH2PL</t>
  </si>
  <si>
    <t>WOS:000399115003121</t>
  </si>
  <si>
    <t>ArulSelvi, AC; Sendhilkumar, S; Mahalakshmi, GS</t>
  </si>
  <si>
    <t>ArulSelvi, A. Christiyana; Sendhilkumar, S.; Mahalakshmi, G. S.</t>
  </si>
  <si>
    <t>Identifying trusted similar users using stochastic model and next-closure based knowledge model in online social networks</t>
  </si>
  <si>
    <t>CLUSTER COMPUTING-THE JOURNAL OF NETWORKS SOFTWARE TOOLS AND APPLICATIONS</t>
  </si>
  <si>
    <t>Trust; Stochastic process; Behavioral based model; FCA; Jaccard index; Knowledge based model; User grouping; User interest; User profile</t>
  </si>
  <si>
    <t>FORMAL CONCEPT ANALYSIS</t>
  </si>
  <si>
    <t>The social network is a medium where people of different religions, races, languages, hobbies, etc. come together and exchange information and knowledge without any social restrictions. Though they are divergent in many areas of their existence, they are all brought together by their interests. They tend to have closer communication only with those who have similar interests and trust. So identifying users of similar interest and evaluating their trustworthiness is mandatory in an online social network (OSN). As the user behavior in social network is dynamic, the stochastic process which evolves the randomness over the period is employed to compute the closeness between users in OSN. The current work proposes to identify the similar interested groups, based on the knowledge-based model through the provenance factors using formal concept analysis (FCA) and Jaccard index. The probability of closeness is derived using stochastic process reflecting the trustability of the user with respect to the different type of interaction behavior such as like, comment and chat.</t>
  </si>
  <si>
    <t>[ArulSelvi, A. Christiyana; Sendhilkumar, S.] Anna Univ, Dept IST, Chennai, Tamil Nadu, India; [Mahalakshmi, G. S.] Anna Univ, Dept CSE, Coll Engn, Chennai, Tamil Nadu, India</t>
  </si>
  <si>
    <t>Anna University; Anna University Chennai; Anna University; Anna University Chennai</t>
  </si>
  <si>
    <t>ArulSelvi, AC (corresponding author), Anna Univ, Dept IST, Chennai, Tamil Nadu, India.</t>
  </si>
  <si>
    <t>christina.jeyakumar@gmail.com; sskumar2k@gmail.com; thamizhini@gmail.com</t>
  </si>
  <si>
    <t>Arulselvi, Christiyana/IQV-4230-2023; S, Sendhilkumar/AIF-2078-2022</t>
  </si>
  <si>
    <t>Arulselvi, Christiyana/0000-0002-2002-6887; S, Sendhilkumar/0000-0001-6006-1866</t>
  </si>
  <si>
    <t>1386-7857</t>
  </si>
  <si>
    <t>1573-7543</t>
  </si>
  <si>
    <t>CLUSTER COMPUT</t>
  </si>
  <si>
    <t>Cluster Comput.</t>
  </si>
  <si>
    <t>10.1007/s10586-018-2374-x</t>
  </si>
  <si>
    <t>JU5WA</t>
  </si>
  <si>
    <t>WOS:000501745700153</t>
  </si>
  <si>
    <t>Aivazoglou, M; Roussos, AO; Margaris, D; Vassilakis, C; Ioannidis, S; Polakis, J; Spiliotopoulos, D</t>
  </si>
  <si>
    <t>Aivazoglou, Markos; Roussos, Antonios O.; Margaris, Dionisis; Vassilakis, Costas; Ioannidis, Sotiris; Polakis, Jason; Spiliotopoulos, Dimitris</t>
  </si>
  <si>
    <t>A fine-grained social network recommender system</t>
  </si>
  <si>
    <t>SOCIAL NETWORK ANALYSIS AND MINING</t>
  </si>
  <si>
    <t>Social networks; Recommender systems; Content analysis; Interest profiles; Usability</t>
  </si>
  <si>
    <t>Recommender systems have greatly evolved in recent years and have become an integral part of the Web. From e-commerce sites to mobile apps, our daily routine revolves around a series of small decisions that are influenced by such recommendations. In a similar manner, online social networks recommend only a subset of the massive amount of content published by a user's friends. However, the prevalent approach for the content selection process in such systems is driven by the amount of interaction between the user and the friend who published the content. As a result, content of interest is often lost due to weak social ties. In this paper, we present a fine-grained recommender system for social ecosystems, designed to recommend media content (e.g., music videos, online clips) published by the user's friends. The system design was driven by the findings of our qualitative user study that explored the value and requirements of a recommendation component within a social network. The core idea behind the proposed approach was to leverage the abundance of preexisting information in each user's account for creating interest profiles, to calculate similarity scores at a fine-grained level for each friend. The intuition behind the proposed method was to find consistent ways to obtain information representations that can identify overlapping interests in very specific sub-categories (e.g., two users' music preferences may only coincide on hard rock). While the system is intended as a component of the social networking service, we developed a proof-of-concept implementation for Facebook and explored the effectiveness of our underlying mechanisms for content analysis. Our experimental evaluation demonstrates the effectiveness of our approach, as the recommended content of interest was both overlooked by the existing Facebook engine and not contained in the users' Facebook News Feed. We also conducted a user study for exploring the usability aspects of the prototype and found that it offers functionality that could significantly improve user experience in popular services.</t>
  </si>
  <si>
    <t>[Aivazoglou, Markos; Roussos, Antonios O.; Ioannidis, Sotiris] Fdn Res &amp; Technol, Inst Comp Sci, Iraklion, Greece; [Margaris, Dionisis] Univ Athens, Dept Informat &amp; Telecommun, Athens, Greece; [Vassilakis, Costas; Spiliotopoulos, Dimitris] Univ Peloponnese, Dept Informat &amp; Telecommun, Tripoli, Greece; [Polakis, Jason] Univ Illinois, Dept Comp Sci, Chicago, IL USA</t>
  </si>
  <si>
    <t>National &amp; Kapodistrian University of Athens; University of Peloponnese; University of Illinois System; University of Illinois Chicago; University of Illinois Chicago Hospital</t>
  </si>
  <si>
    <t>Spiliotopoulos, D (corresponding author), Univ Peloponnese, Dept Informat &amp; Telecommun, Tripoli, Greece.</t>
  </si>
  <si>
    <t>dspiliot@uop.gr</t>
  </si>
  <si>
    <t>; Costas, Vassilakis/AAH-5948-2019; Spiliotopoulos, Dimitris/AAH-8178-2020</t>
  </si>
  <si>
    <t>Margaris, Dionisis/0000-0002-7487-374X; Spiliotopoulos, Dimitris/0000-0003-3646-1362; Aivazoglou-Vounatsos, Markos/0009-0000-0863-0638</t>
  </si>
  <si>
    <t>SPRINGER WIEN</t>
  </si>
  <si>
    <t>WIEN</t>
  </si>
  <si>
    <t>SACHSENPLATZ 4-6, PO BOX 89, A-1201 WIEN, AUSTRIA</t>
  </si>
  <si>
    <t>1869-5450</t>
  </si>
  <si>
    <t>1869-5469</t>
  </si>
  <si>
    <t>SOC NETW ANAL MIN</t>
  </si>
  <si>
    <t>Soc. Netw. Anal. Min.</t>
  </si>
  <si>
    <t>DEC 19</t>
  </si>
  <si>
    <t>10.1007/s13278-019-0621-7</t>
  </si>
  <si>
    <t>KL6AB</t>
  </si>
  <si>
    <t>WOS:000513503000002</t>
  </si>
  <si>
    <t>Tian, JF; Hou, ZQ</t>
  </si>
  <si>
    <t>Tian, Junfeng; Hou, Zhengqi</t>
  </si>
  <si>
    <t>Friendship Inference Based on Interest Trajectory Similarity and Co-Occurrence</t>
  </si>
  <si>
    <t>CHINESE JOURNAL OF ELECTRONICS</t>
  </si>
  <si>
    <t>Data privacy; Social networking (online); Noise; Clustering algorithms; Prediction algorithms; Inference algorithms; Data models; Location social network; Interest clustering; Multi-interest track; Track similarity; Friendship prediction</t>
  </si>
  <si>
    <t>Most of the current research on user friendship speculation in location-based social networks is based on the co-occurrence characteristics of users, however, statistics find that co-occurrence is not common among all users; meanwhile, most of the existing work focuses on mining more features to improve the accuracy but ignoring the time complexity in practical applications. On this basis, a friendship inference model named ITSIC is proposed based on the similarity of user interest tracks and joint user location co-occurrence. By utilizing MeanShift clustering algorithm, ITSIC clustered and filtered user check-ins and divided the dataset into interesting, abnormal, and noise check-ins. User interest trajectories were constructed from user interest check-in data, which allows ITSIC to work efficiently even for users without co-occurrences. At the same time, by application of clustering, the single-moment multi-interest trajectory was further proposed, which increased the richness of the meaning of the trajectory moment. The extensive experiments on two real online social network datasets show that ITSIC outperforms existing methods in terms of AUC score and time efficiency compared to existing methods.</t>
  </si>
  <si>
    <t>[Tian, Junfeng; Hou, Zhengqi] Hebei Univ, Sch Cyber Secur &amp; Comp, Baoding 071000, Peoples R China; [Tian, Junfeng; Hou, Zhengqi] Hebei Univ, Hebei Key Lab High Confidence Informat Syst, Baoding 071000, Peoples R China</t>
  </si>
  <si>
    <t>Hebei University; Hebei University</t>
  </si>
  <si>
    <t>Hou, ZQ (corresponding author), Hebei Univ, Sch Cyber Secur &amp; Comp, Baoding 071000, Peoples R China.;Hou, ZQ (corresponding author), Hebei Univ, Hebei Key Lab High Confidence Informat Syst, Baoding 071000, Peoples R China.</t>
  </si>
  <si>
    <t>tjf@hbu.edu.cn; hozi_nl@hotmail.com</t>
  </si>
  <si>
    <t>Natural Science Foundation of Hebei Province</t>
  </si>
  <si>
    <t>Natural Science Foundation of Hebei Province(Natural Science Foundation of Hebei Province)</t>
  </si>
  <si>
    <t>No Statement Available</t>
  </si>
  <si>
    <t>1022-4653</t>
  </si>
  <si>
    <t>2075-5597</t>
  </si>
  <si>
    <t>CHINESE J ELECTRON</t>
  </si>
  <si>
    <t>Chin. J. Electron.</t>
  </si>
  <si>
    <t>10.23919/cje.2022.00.363</t>
  </si>
  <si>
    <t>ST8S5</t>
  </si>
  <si>
    <t>WOS:001236795500015</t>
  </si>
  <si>
    <t>Wang, JP; Zhao, WX; He, YL; Li, XM</t>
  </si>
  <si>
    <t>Wang, Jinpeng; Zhao, Wayne Xin; He, Yulan; Li, Xiaoming</t>
  </si>
  <si>
    <t>Infer User Interests via Link Structure Regularization</t>
  </si>
  <si>
    <t>ACM TRANSACTIONS ON INTELLIGENT SYSTEMS AND TECHNOLOGY</t>
  </si>
  <si>
    <t>User interests; graph regularization; link structure</t>
  </si>
  <si>
    <t>Learning user interests from online social networks helps to better understand user behaviors and provides useful guidance to design user-centric applications. Apart from analyzing users' online content, it is also important to consider users' social connections in the social Web. Graph regularization methods have been widely used in various text mining tasks, which can leverage the graph structure information extracted from data. Previously, graph regularization methods operate under the cluster assumption that nearby nodes are more similar and nodes on the same structure (typically referred to as a cluster or a manifold) are likely to be similar. We argue that learning user interests from complex, sparse, and dynamic social networks should be based on the link structure assumption under which node similarities are evaluated based on the local link structures instead of explicit links between two nodes. We propose a regularization framework based on the relation bipartite graph, which can be constructed from any type of relations. Using Twitter as our case study, we evaluate our proposed framework from social networks built from retweet relations. Both quantitative and qualitative experiments show that our proposed method outperforms a few competitive baselines in learning user interests over a set of predefined topics. It also gives superior results compared to the baselines on retweet prediction and topical authority identification.</t>
  </si>
  <si>
    <t>[Wang, Jinpeng; Li, Xiaoming] Beihang Univ, State Key Lab Software Dev Environm, Beijing, Peoples R China; [Wang, Jinpeng; Zhao, Wayne Xin; Li, Xiaoming] Peking Univ, Dept Comp Sci, Beijing, Peoples R China; [He, Yulan] Aston Univ, Sch Engn &amp; Appl Sci, Birmingham B4 7ET, W Midlands, England</t>
  </si>
  <si>
    <t>Beihang University; Peking University; Aston University</t>
  </si>
  <si>
    <t>Zhao, WX (corresponding author), Peking Univ, Dept Comp Sci, Beijing, Peoples R China.</t>
  </si>
  <si>
    <t>batmanfly@gmail.com</t>
  </si>
  <si>
    <t>He, Yulan/0000-0003-3948-5845</t>
  </si>
  <si>
    <t>National Natural Science foundation of China [61272340, 60933004]; [SKLSDE-2013KF]; EPSRC [EP/J020427/1] Funding Source: UKRI; Engineering and Physical Sciences Research Council [EP/J020427/1] Funding Source: researchfish</t>
  </si>
  <si>
    <t>National Natural Science foundation of China(National Natural Science Foundation of China (NSFC)); ; EPSRC(UK Research &amp; Innovation (UKRI)Engineering &amp; Physical Sciences Research Council (EPSRC)); Engineering and Physical Sciences Research Council(UK Research &amp; Innovation (UKRI)Engineering &amp; Physical Sciences Research Council (EPSRC))</t>
  </si>
  <si>
    <t>The work was partially supported by the National Natural Science foundation of China under grant no. 61272340, 60933004, and grant SKLSDE-2013KF. Y. He was partially supported by EPSRC grant EP/J020427/1. W. X. Zhao was supported by a Microsoft Research Asia Fellowship.</t>
  </si>
  <si>
    <t>2157-6904</t>
  </si>
  <si>
    <t>2157-6912</t>
  </si>
  <si>
    <t>ACM T INTEL SYST TEC</t>
  </si>
  <si>
    <t>ACM Trans. Intell. Syst. Technol.</t>
  </si>
  <si>
    <t>10.1145/2499380</t>
  </si>
  <si>
    <t>AG7CS</t>
  </si>
  <si>
    <t>WOS:000335576200002</t>
  </si>
  <si>
    <t>Wang, PH; Sun, FY; Wang, D; Tao, J; Guan, XH; Bifet, A</t>
  </si>
  <si>
    <t>ASSOC COMP MACHINERY</t>
  </si>
  <si>
    <t>Wang, Pinghui; Sun, Feiyang; Wang, Di; Tao, Jing; Guan, Xiaohong; Bifet, Albert</t>
  </si>
  <si>
    <t>Inferring Demographics and Social Networks of Mobile Device Users on Campus From AP-Trajectories</t>
  </si>
  <si>
    <t>WWW'17 COMPANION: PROCEEDINGS OF THE 26TH INTERNATIONAL CONFERENCE ON WORLD WIDE WEB</t>
  </si>
  <si>
    <t>26th International Conference on World Wide Web (WWW)</t>
  </si>
  <si>
    <t>MAY 03-07, 2017</t>
  </si>
  <si>
    <t>Perth, AUSTRALIA</t>
  </si>
  <si>
    <t>Assoc Comp Machinery,Int World Wide Web Conf Comm,ACM SIGWEB,Curtin Univ,Edith Cowan Univ,Murdoch Univ,Univ Western Australia,Bankwest,Atamo Elect Prod Solut,Enesis,Google,Illuminance,Yahoo Res</t>
  </si>
  <si>
    <t>user profiling; spatiotemporal trajectories; social network</t>
  </si>
  <si>
    <t>Exploring demographics and social networks of Internet users are widely used for many applications such as recommendation systems. The popularity of mobile devices (e.g., smartphones) and location-based Internet services (e.g., Google Maps) facilitates the collection of users' locations over time. Despite recent efforts to predict users' attributes (e.g., age and gender) and social networks based on utilizing the rich location context knowledge (e.g., name, type, and description) of places of interest (e.g., restaurants and hotels) they checked-in on location-based online social networks such as Foursqure and Gowalla, little attention has been given to inferring attributes and social networks of mobile device users based on their spatiotemporal trajectories with less/no location context knowledge. In this paper we collect logs of thousands of mobile devices' network connections to wireless access points (APs) of two campuses, and investigate whether one can infer mobile device users' demographic attributes and social networks solely from their spatiotemporal AP-trajectories. We develop a tensor factorization based method Dinfer to infer mobile device users' demographic attributes from their AP-trajectories by leveraging prior knowledge, such as users' social networks. We also propose a novel method Sinfer to learn social networks between mobile device users by exploring patterns of their AP-trajectories, such as fine-grained cooccurrence events (e.g., co-coming, co-leaving, and co-presenting duration). Experimental results on real-word datasets demonstrate the effectiveness of our methods.</t>
  </si>
  <si>
    <t>[Wang, Pinghui; Sun, Feiyang; Wang, Di; Tao, Jing; Guan, Xiaohong] Xi An Jiao Tong Univ, MOE Key Lab Intelligent Networks &amp; Network Secur, Xian, Peoples R China; [Guan, Xiaohong] Tsinghua Univ, Dept Automat, Beijing, Peoples R China; [Guan, Xiaohong] Tsinghua Univ, NLIST Lab, Beijing, Peoples R China; [Bifet, Albert] Univ Paris Saclay, Telecom ParisTech, LTCI, Paris, France</t>
  </si>
  <si>
    <t>Xi'an Jiaotong University; Tsinghua University; Tsinghua University; IMT - Institut Mines-Telecom; Institut Polytechnique de Paris; Universite Paris Saclay; Telecom Paris</t>
  </si>
  <si>
    <t>Wang, PH (corresponding author), Xi An Jiao Tong Univ, MOE Key Lab Intelligent Networks &amp; Network Secur, Xian, Peoples R China.</t>
  </si>
  <si>
    <t>phwang@mail.xjtu.edu.cn; fysun@sei.xjtu.edu.cn; diwang@sei.xjtu.edu.cn; jtao@mail.xjtu.edu.cn; xhguan@mail.xjtu.edu.cn; albert.bifet@telecom-paristech.fr</t>
  </si>
  <si>
    <t>; Bifet, Albert/ISA-9610-2023; Guan, Xiaohong/K-4206-2012</t>
  </si>
  <si>
    <t>Sun, Feiyang/0000-0002-0908-0559; Bifet, Albert/0000-0002-8339-7773;</t>
  </si>
  <si>
    <t>National Natural Science Foundation of China [61603290, 61103240, 61103241, 61221063, 91118005, U1301254]; Ministry of Education&amp;China Mobile Joint Research Fund Program [MCM20150506, MCM20160311]; Shenzhen Basic Research Grant [JCYJ20160229195940462]; 863 High Tech Development Plan [2012AA011003]; Application Foundation Research Program of SuZhou [SYG201311]; 111 International Collaboration Program of China</t>
  </si>
  <si>
    <t>National Natural Science Foundation of China(National Natural Science Foundation of China (NSFC)); Ministry of Education&amp;China Mobile Joint Research Fund Program; Shenzhen Basic Research Grant; 863 High Tech Development Plan(National High Technology Research and Development Program of China); Application Foundation Research Program of SuZhou; 111 International Collaboration Program of China(Ministry of Education, China - 111 Project)</t>
  </si>
  <si>
    <t>This work was supported by National Natural Science Foundation of China (61603290, 61103240, 61103241, 61221063, 91118005, 61221063, U1301254), Ministry of Education&amp;China Mobile Joint Research Fund Program (MCM20150506, MCM20160311), Shenzhen Basic Research Grant (JCYJ20160229195940462), 863 High Tech Development Plan (2012AA011003), 111 International Collaboration Program of China, and Application Foundation Research Program of SuZhou (SYG201311).</t>
  </si>
  <si>
    <t>978-1-4503-4914-7</t>
  </si>
  <si>
    <t>10.1145/3041021.3054140</t>
  </si>
  <si>
    <t>Computer Science, Information Systems; Computer Science, Interdisciplinary Applications; Computer Science, Software Engineering; Computer Science, Theory &amp; Methods</t>
  </si>
  <si>
    <t>BS3KR</t>
  </si>
  <si>
    <t>WOS:000712212600015</t>
  </si>
  <si>
    <t>Qureshi, B; Min, GY; Kouvatsos, D</t>
  </si>
  <si>
    <t>Obaidat, MS; Caldeirinha, R</t>
  </si>
  <si>
    <t>Qureshi, Basit; Min, Geyong; Kouvatsos, Demetres</t>
  </si>
  <si>
    <t>A CONTENT DRIVEN DATA PROPAGATION PROTOCOL FOR MSN IN DISCONNECTED MANETS</t>
  </si>
  <si>
    <t>WINSYS 2009: PROCEEDINGS OF THE INTERNATIONAL CONFERENCE ON WIRELESS INFORMATION NETWORKS AND SYSTEMS</t>
  </si>
  <si>
    <t>International Conference on Wireless Information Networks and Systems</t>
  </si>
  <si>
    <t>JUL 07-10, 2009</t>
  </si>
  <si>
    <t>Milan, ITALY</t>
  </si>
  <si>
    <t>Inst Syst &amp; Technol Informat, Control &amp; Communicat,Inst Elect, Informat &amp; Commun Engineer Special Grp Software Interprise Modelling,IEEE SMC Tech Comm Enterprise Informat Syst,IEEE SMC Tech Comm Informat Assurance &amp; Intelligent Multimed-Mobile Commun</t>
  </si>
  <si>
    <t>Simulation; Mobile Social Networks; MANETs; Interest Profiles</t>
  </si>
  <si>
    <t>Recently various architectures for Mobile Social Networks (MSNs) have been proposed. In MSNs users can participate in communication with other users based on their respective interest profiles with the idea of sharing documents that are of interest to a particular user. Typically users subscribe to a social networking service and look for other users with similar interest profiles. However connectivity may not always be available for sharing data. In this paper we propose a protocol for MSN implementation in a disconnected Mobile Ad Hoc Network environment for sharing data. Message delivery in disconnected Mobile Ad Hoc networks (MANETs) is difficult since the network graph is rarely connected. Our proposed protocol exploits the store, carry and forward capability of a disconnected MAN-LT. Results from simulations and implementation show that this approach efficiently disseminates data while minimizing use of resources in the network.</t>
  </si>
  <si>
    <t>[Qureshi, Basit; Min, Geyong; Kouvatsos, Demetres] Univ Bradford, Sch Comp Informat &amp; Media, Bradford BD7 1DP, W Yorkshire, England</t>
  </si>
  <si>
    <t>University of Bradford</t>
  </si>
  <si>
    <t>Qureshi, B (corresponding author), Univ Bradford, Sch Comp Informat &amp; Media, Bradford BD7 1DP, W Yorkshire, England.</t>
  </si>
  <si>
    <t>bqureshi@bradford.ac.uk; g.min@bradford.ac.uk; d.d.kouvatsos@bradford.ac.uk</t>
  </si>
  <si>
    <t>Qureshi, Basit/T-7176-2018; Min, Geyong/KDP-1968-2024</t>
  </si>
  <si>
    <t>Qureshi, Basit/0000-0001-7389-519X;</t>
  </si>
  <si>
    <t>INSTICC-INST SYST TECHNOLOGIES INFORMATION CONTROL &amp; COMMUNICATION</t>
  </si>
  <si>
    <t>AVENIDA D MANUEL L, 27A 2 ESQUERDO, SETUBAL, 2910-595, PORTUGAL</t>
  </si>
  <si>
    <t>978-989-674-008-5</t>
  </si>
  <si>
    <t>BMZ01</t>
  </si>
  <si>
    <t>WOS:000273959600014</t>
  </si>
  <si>
    <t>Li, L; Chen, H; Song, YW</t>
  </si>
  <si>
    <t>Li, JB</t>
  </si>
  <si>
    <t>Li Ling; Chen He; Song Yingwei</t>
  </si>
  <si>
    <t>Ontology Based Service Recommendation System for Social Network</t>
  </si>
  <si>
    <t>2015 FIFTH INTERNATIONAL CONFERENCE ON INSTRUMENTATION AND MEASUREMENT, COMPUTER, COMMUNICATION AND CONTROL (IMCCC)</t>
  </si>
  <si>
    <t>International Conference on Instrumentation Measurement Computer Communication and Control</t>
  </si>
  <si>
    <t>Fifth International Conference on Instrumentation &amp; Measurement, Computer, Communication, and Control (IMCCC)</t>
  </si>
  <si>
    <t>SEP 18-20, 2015</t>
  </si>
  <si>
    <t>Qinhuangdao, PEOPLES R CHINA</t>
  </si>
  <si>
    <t>Harbin Inst Tech,Yanshan Univ,NE Univ Qinhuangdao,IEEE Instrumentation and Measurement Soc,IEEE IM Soc, Beijing &amp; Harbin Joint Chapter,Heilongjiang Instrument and Measurement Soc,IEEE Computer soc</t>
  </si>
  <si>
    <t>Social Network; Service Recommendation; Ontology; Microblog</t>
  </si>
  <si>
    <t>The development of recommendation systems, such as traditional content-based, collaborative filtering and hybrid recommendation approaches have enabled the practical use of big data processing in WEB 3.0. In this paper, we propose an ontology based service recommendation system for social network. In this paper, implementation methods of the system are explained in detail. In order to extract user interests more exactly, the TF-IDF(term frequency-inverse document frequency) algorithm is improved according to the features of Microblogs and integrated with the TextRank algorithm. Also, we have improved the Hownet based semantic similarity algorithm with the consideration of the density of sememe tree. Experimental results show that recommendation results of our system can well reflect the real interests of users, and the improved algorithms can make the results more accurate.</t>
  </si>
  <si>
    <t>[Li Ling; Chen He; Song Yingwei] Jilin Univ, Coll Commun Engn, Changchun, Peoples R China</t>
  </si>
  <si>
    <t>Jilin University</t>
  </si>
  <si>
    <t>Li, L (corresponding author), Jilin Univ, Coll Commun Engn, Changchun, Peoples R China.</t>
  </si>
  <si>
    <t>liling2002@jlu.edu.cn; 395638044@qq.com; ruohuhuakai@163.com</t>
  </si>
  <si>
    <t>2373-6844</t>
  </si>
  <si>
    <t>978-1-4673-7723-2</t>
  </si>
  <si>
    <t>INT CONF INSTR MEAS</t>
  </si>
  <si>
    <t>10.1109/IMCCC.2015.348</t>
  </si>
  <si>
    <t>Automation &amp; Control Systems; Engineering, Electrical &amp; Electronic; Instruments &amp; Instrumentation</t>
  </si>
  <si>
    <t>Automation &amp; Control Systems; Engineering; Instruments &amp; Instrumentation</t>
  </si>
  <si>
    <t>BF1JZ</t>
  </si>
  <si>
    <t>WOS:000380403700344</t>
  </si>
  <si>
    <t>Dhelim, S; Aung, N; Ning, HS</t>
  </si>
  <si>
    <t>Dhelim, Sahraoui; Aung, Nyothiri; Ning, Huansheng</t>
  </si>
  <si>
    <t>Mining user interest based on personality-aware hybrid filtering in social networks</t>
  </si>
  <si>
    <t>Interest mining; Personality computing; User modeling; Interest graph; Personality traits; Big five; User interest; Social computing</t>
  </si>
  <si>
    <t>PREDICTION; BEHAVIOR; TOPICS; MEDIA</t>
  </si>
  <si>
    <t>With the emergence of online social networks and microblogging websites, user interest mining has been an active research topic for the past few years. However, most of the existing works suffer from two significant drawbacks, firstly, they focus on the user's explicit content and social network structure to predicate the user's interests, neglecting the fact that the user's personality might be a rich source to infer the topical interests. Secondly, they represent the user's content using the bag-of-words model that ignores the chronological order of the posted content, hence the predicted interests might contain outdated topics that the user does not interest anymore. In this paper, we propose a novel user interest mining system based on Big Five personality traits and dynamic interests. To prove the effectiveness of incorporating the user's personality traits in the interest mining process, we have implemented a social network for news sharing and conducted different experiments on the collected data. The experiment results show that considering personality traits can increase the precision and recall of interest mining systems, as well as can help to tackle the cold start problem. (C) 2020 Elsevier B.V. All rights reserved.</t>
  </si>
  <si>
    <t>[Dhelim, Sahraoui; Aung, Nyothiri; Ning, Huansheng] Univ Sci &amp; Technol Beijing, Sch Comp &amp; Commun Engn, Beijing 100083, Peoples R China</t>
  </si>
  <si>
    <t>University of Science &amp; Technology Beijing</t>
  </si>
  <si>
    <t>sahraoui.dhelim@xs.ustb.edu.cn; nyothiriaung@xs.ustb.edu.cn; ninghuansheng@ustb.edu.cn</t>
  </si>
  <si>
    <t>Dhelim, Sahraoui/L-5176-2017; DHELIM, Sahraoui/L-5176-2017; Aung, Nyo Thiri/AFK-0828-2022</t>
  </si>
  <si>
    <t>DHELIM, Sahraoui/0000-0002-3620-1395; Ning, Huansheng/0000-0001-6413-193X; Aung, Nyo Thiri/0000-0003-0509-1987</t>
  </si>
  <si>
    <t>National Natural Science Foundation of China [61872038]</t>
  </si>
  <si>
    <t>We would like to thank all the active users of Newsfullness who agreed to be a part of the interest mining experiment. We also would like to thank the anonymous reviewers and editors of Knowledge-Based Systems for their constructive comments and feedback. This work was supported by the National Natural Science Foundation of China under Grant 61872038.</t>
  </si>
  <si>
    <t>OCT 28</t>
  </si>
  <si>
    <t>10.1016/j.knosys.2020.106227</t>
  </si>
  <si>
    <t>NT3ND</t>
  </si>
  <si>
    <t>WOS:000572851100012</t>
  </si>
  <si>
    <t>Liu, MX; Richa, AW</t>
  </si>
  <si>
    <t>Liu, Mengxue; Richa, Andrea W.</t>
  </si>
  <si>
    <t>Interest- and Content-Based Data Dissemination in Mobile Social Networks</t>
  </si>
  <si>
    <t>GLOBECOM 2017 - 2017 IEEE GLOBAL COMMUNICATIONS CONFERENCE</t>
  </si>
  <si>
    <t>IEEE Global Telecommunications Conference (GLOBECOM)</t>
  </si>
  <si>
    <t>DEC 04-08, 2017</t>
  </si>
  <si>
    <t>YourSingapore, Singapore, SINGAPORE</t>
  </si>
  <si>
    <t>IEEE,Intel,Natl Instruments,Huawei,Keysight Technologies Inc,Nanyang Technol Univ, Sch Elect &amp; Elect Engn,Rohde &amp; Schwarz</t>
  </si>
  <si>
    <t>YourSingapore</t>
  </si>
  <si>
    <t>With the increasing popularity of hand-held mobile devices such as smart phones and smart watches, people are connected more than ever, which enables the information to be created, forwarded, and exchanged at levels that one could not envision just a few years ago. Mobile social networks (MSNs) thrive with the popularity of mobile smart devices and exhibit the properties of social networks. To efficiently disseminate the information within MSNs, there have been research efforts on content-based routing schemes which rely on the network structure and user interest profiles. However, none of these prior works considered the impact of data content during data dissemination in MSNs. However such content is closely related to users' preferences, which have a significant influence on the result of the dissemination. To fill this void, we propose an interest-and content-based dissemination scheme in MSNs, where the contents of the messages, along with the network structural information are taken into consideration. In the proposed scheme, each user is associated with an interest profile and each message is associated with a message content profile. Similarities are measured between the users and the messages given their profiles. We also use PageRank to measure the importance of each user when the network evolves over time. Each piece of information is propagated based on the similarity scores and PageRank selection of relay users. We experimentally show that the proposed scheme achieves higher delivery performance compared to the existing schemes while remaining cost-effective.</t>
  </si>
  <si>
    <t>[Liu, Mengxue; Richa, Andrea W.] Arizona State Univ, Tempe, AZ 85281 USA</t>
  </si>
  <si>
    <t>Liu, MX (corresponding author), Arizona State Univ, Tempe, AZ 85281 USA.</t>
  </si>
  <si>
    <t>mengxue.liu@asu.edu; aricha@asu.edu</t>
  </si>
  <si>
    <t>NSF [CCF-1422603, CCF-1637393]</t>
  </si>
  <si>
    <t>NSF(National Science Foundation (NSF))</t>
  </si>
  <si>
    <t>This work is supported in part by the NSF under Awards CCF-1422603 and CCF-1637393.</t>
  </si>
  <si>
    <t>978-1-5090-5019-2</t>
  </si>
  <si>
    <t>BJ8DL</t>
  </si>
  <si>
    <t>WOS:000428054306033</t>
  </si>
  <si>
    <t>Shi, CY; Li, JH; Chen, JY; Chen, XZ</t>
  </si>
  <si>
    <t>Shi Chenye; Li Jianhua; Chen Jieyuan; Chen Xiuzhen</t>
  </si>
  <si>
    <t>Chinese SNS Blog Classification Using Semantic Similarity</t>
  </si>
  <si>
    <t>2013 FIFTH INTERNATIONAL CONFERENCE ON COMPUTATIONAL ASPECTS OF SOCIAL NETWORKS (CASON)</t>
  </si>
  <si>
    <t>International Conference on Computational Aspects of Social Networks</t>
  </si>
  <si>
    <t>5th International Conference on Computational Aspects of Social Networks (CASoN)</t>
  </si>
  <si>
    <t>AUG 12-14, 2013</t>
  </si>
  <si>
    <t>Fargo, ND</t>
  </si>
  <si>
    <t>text classification; social network; semantic similarity; blog; multi-label classification</t>
  </si>
  <si>
    <t>Social Network Services have become an important medium for people to communicate ideas and share interests in recent years. Blogs published and shared by users in this virtual world are one of the main sources of user-generated information. Classifying these freestyle blogs can help understand user interests and assist applications such as search and marketing. In this paper, we propose a new method of multi-label classification for Chinese blogs. By applying Dempster-Shafer theory on semantic word similarity algorithms, we achieve automatic classification without use of difficult-to-obtain training sets. Experiments were conducted on real world data from RENREN.com, the biggest SNS (Social Network Services) in China. Results show that the proposed method achieves satisfactory performance in multi-labeling real world SNS blogs as well as corpus.</t>
  </si>
  <si>
    <t>[Shi Chenye; Li Jianhua; Chen Jieyuan; Chen Xiuzhen] Shanghai Jiao Tong Univ, Sch Informat Secur Engn, Shanghai 200030, Peoples R China</t>
  </si>
  <si>
    <t>Shi, CY (corresponding author), Shanghai Jiao Tong Univ, Sch Informat Secur Engn, Shanghai 200030, Peoples R China.</t>
  </si>
  <si>
    <t>chenye.shi@sjtu.edu.cn; ljh888@sjtu.edu.cn; chenxz@sjtu.edu.cn</t>
  </si>
  <si>
    <t>2155-7047</t>
  </si>
  <si>
    <t>978-1-4799-1409-8</t>
  </si>
  <si>
    <t>INT CONF COMPU ASPEC</t>
  </si>
  <si>
    <t>BA1FT</t>
  </si>
  <si>
    <t>WOS:000332450200001</t>
  </si>
  <si>
    <t>Holldobler, S; Krotzsch, M; Penaloza, R; Rudolph, S</t>
  </si>
  <si>
    <t>Accurate Online Social Network User Profiling</t>
  </si>
  <si>
    <t>KI 2015: ADVANCES IN ARTIFICIAL INTELLIGENCE</t>
  </si>
  <si>
    <t>38th German Conference on Artificial Intelligence (AI)</t>
  </si>
  <si>
    <t>SEP 21-25, 2015</t>
  </si>
  <si>
    <t>Dresden, GERMANY</t>
  </si>
  <si>
    <t>Arago,STI Innsbruck,HAEC,Volz Innovat,Metaphacts,InIT,Wikidata</t>
  </si>
  <si>
    <t>We present PGPI+ (Partial Graph Profile Inference+) an improved algorithm for user profiling in online social networks. PGPI+ infers user profiles under the constraint of a partial social graph using rich information about users (e.g. group memberships, views and likes) and handles nominal and numeric attributes. Experimental results with 20,000 user profiles from the Pokec social network shows that PGPI+ predicts user profiles with considerably more accuracy and by accessing a smaller part of the social graph than five state-of-the-art algorithms.</t>
  </si>
  <si>
    <t>978-3-319-24489-1; 978-3-319-24488-4</t>
  </si>
  <si>
    <t>10.1007/978-3-319-24489-1_22</t>
  </si>
  <si>
    <t>Computer Science, Artificial Intelligence; Computer Science, Interdisciplinary Applications; Logic; Robotics</t>
  </si>
  <si>
    <t>Computer Science; Science &amp; Technology - Other Topics; Robotics</t>
  </si>
  <si>
    <t>BE0ZZ</t>
  </si>
  <si>
    <t>WOS:000367594800025</t>
  </si>
  <si>
    <t>Huang, CL; Yeh, PH; Lin, CW; Wu, DC</t>
  </si>
  <si>
    <t>Huang, Cheng-Lung; Yeh, Po-Han; Lin, Cheng-Wei; Wu, Den-Cing</t>
  </si>
  <si>
    <t>Utilizing user tag-based interests in recommender systems for social resource sharing websites</t>
  </si>
  <si>
    <t>Collaborative recommendation; Folksonomy; Social tagging; Tag; Social resource sharing; Personalization</t>
  </si>
  <si>
    <t>SEARCH</t>
  </si>
  <si>
    <t>Recently collaborative tagging, also known as folksonomy in Web 2.0, allows users to collaboratively create and manage tags to classify and categorize dynamic content for searching and sharing. A user's interest in social resources usually changes with time in such a dynamic and information rich environment. Additionally, a social network is one innovative characteristic in social resource sharing websites. The information from a social network provides an inference of a certain user's interests based on the interests of this user's network neighbors. To handle the problem of personalized interests changing gradually with time, and to utilize the benefit of the social network, this study models a personalized user interest, incorporating frequency, recency, and duration of tag-based information, and performs collaborative recommendations using the user's social network in social resource sharing websites. The proposed method includes finding neighbors from the social friends network by using collaborative filtering and recommending similar resource items to the users by using content-based filtering. This study examines the proposed system's performance using an experimental dataset collected from a social bookmarking website. The experimental results show that the hybridization of user's preferences with frequency, recency, and duration plays an important role, and provides better performances than traditional collaborative recommendation systems. The experimental results also reveal that the friend network information can successfully collaborate, thus improving the collaborative recommendation process. (C) 2013 Elsevier B.V. All rights reserved.</t>
  </si>
  <si>
    <t>[Huang, Cheng-Lung] Natl Kaohsiung First Univ Sci &amp; Technol, Dept Informat Management, Kaohsiung 811, Taiwan; [Yeh, Po-Han; Lin, Cheng-Wei; Wu, Den-Cing] Natl Kaohsiung First Univ Sci &amp; Technol, Lab Business Intelligence &amp; Data Min, Kaohsiung 811, Taiwan</t>
  </si>
  <si>
    <t>National Kaohsiung University of Science &amp; Technology; National Kaohsiung University of Science &amp; Technology</t>
  </si>
  <si>
    <t>Huang, CL (corresponding author), Natl Kaohsiung First Univ Sci &amp; Technol, Dept Informat Management, 2 Juoyue Rd, Kaohsiung 811, Taiwan.</t>
  </si>
  <si>
    <t>clhuang@nkfust.edu.tw</t>
  </si>
  <si>
    <t>National Science Council of the Republic of China [NSC 98-2221-E-327-016-MY2]</t>
  </si>
  <si>
    <t>National Science Council of the Republic of China(National Science &amp; Technology Council (NSTC) Taiwan)</t>
  </si>
  <si>
    <t>This research was in part supported by the National Science Council of the Republic of China under Contract Number NSC 98-2221-E-327-016-MY2. The authors would like to thank Mr. Han-Yu Chien and Wei-Chin Chen, members of the Business Intelligence and Data Mining Laboratory in NKFUST, for collecting part of the experimental data.</t>
  </si>
  <si>
    <t>10.1016/j.knosys.2013.11.001</t>
  </si>
  <si>
    <t>AA5SP</t>
  </si>
  <si>
    <t>WOS:000331160200008</t>
  </si>
  <si>
    <t>Sohn, JS; Chung, IJ</t>
  </si>
  <si>
    <t>Sohn, Jong-Soo; Chung, In-Jeong</t>
  </si>
  <si>
    <t>Dynamic FOAF management method for social networks in the social web environment</t>
  </si>
  <si>
    <t>JOURNAL OF SUPERCOMPUTING</t>
  </si>
  <si>
    <t>Social network; OLAP; FOAF; RSS</t>
  </si>
  <si>
    <t>SEMANTIC WEB; EXTRACTION</t>
  </si>
  <si>
    <t>Nowadays various researches have been conducted on the utilization of Friend-Of-A-Friend (FOAF) as the foundation of social network services. However, automatic update and dynamic management of FOAF for the social network services are difficult. Hereupon, we propose a novel method to overcome the above problems by applying FOAF and RDF Site Summary (RSS) to OnLine Analytical Processing (OLAP) system. The proposed method generates the OLAP cube by using the collected FOAF and RSS from the web, and then processes the generated OLAP cubes. The implemented result shows that foaf:interest of users has reached an average of 19 % increase in 4 weeks. In proportion to the increased foaf:interest change, the number of foaf:knows of users has grown to an average of 9 %. By using the suggested method, we can provide better services in coping up with the rapid change of user interests with the automatic application of FOAF.</t>
  </si>
  <si>
    <t>[Sohn, Jong-Soo; Chung, In-Jeong] Korea Univ, Dept Comp &amp; Informat Sci, Sejong City 2511, South Korea</t>
  </si>
  <si>
    <t>Chung, IJ (corresponding author), Korea Univ, Dept Comp &amp; Informat Sci, Sejong City 2511, South Korea.</t>
  </si>
  <si>
    <t>mis026@korea.ac.kr; chung@korea.ac.kr</t>
  </si>
  <si>
    <t>0920-8542</t>
  </si>
  <si>
    <t>1573-0484</t>
  </si>
  <si>
    <t>J SUPERCOMPUT</t>
  </si>
  <si>
    <t>J. Supercomput.</t>
  </si>
  <si>
    <t>10.1007/s11227-012-0847-x</t>
  </si>
  <si>
    <t>Computer Science, Hardware &amp; Architecture; Computer Science, Theory &amp; Methods; Engineering, Electrical &amp; Electronic</t>
  </si>
  <si>
    <t>245JY</t>
  </si>
  <si>
    <t>WOS:000326461100003</t>
  </si>
  <si>
    <t>Walkington, C; Petrosino, A; Sherman, M</t>
  </si>
  <si>
    <t>Walkington, Candace; Petrosino, Anthony; Sherman, Milan</t>
  </si>
  <si>
    <t>Supporting Algebraic Reasoning through Personalized Story Scenarios: How Situational Understanding Mediates Performance</t>
  </si>
  <si>
    <t>MATHEMATICAL THINKING AND LEARNING</t>
  </si>
  <si>
    <t>WORD-PROBLEM; INDIVIDUAL INTEREST; KNOWLEDGE; CONTEXT; REPRESENTATIONS; INSTRUCTION; ATTENTION; COMPUTER; CHOICE; TEXT</t>
  </si>
  <si>
    <t>Context personalization refers to matching instruction to students' out-of-school interests and experiences. Belief in the benefits of matching instruction to interests is widely held in the culture of schooling; however, little research has empirically examined how interest impacts performance and learning in secondary mathematics. Here we investigate these issues with a series of problem-solving sessions where 24 Algebra I students were presented with story problems on linear functions, some of which were personalized to their interests. Our analyses focus on performance, strategy use, and mistake patterns. Results suggest that personalization supported situational reasoning (Nathan, Kintsch, &amp; Young, 1992) about the actions and relationships in the scenario, improving performance for weaker students and on harder problems. However, personalized scenarios seemed to act as a distraction when stronger students in the sample worked on easier problems. Thus context personalization may have the potential to provide assistance and support performance as students learn new concepts.</t>
  </si>
  <si>
    <t>[Walkington, Candace] So Methodist Univ, Dallas, TX 75205 USA; [Petrosino, Anthony] Univ Texas Austin, Austin, TX 78712 USA; [Sherman, Milan] Portland State Univ, Portland, OR 97207 USA</t>
  </si>
  <si>
    <t>Southern Methodist University; University of Texas System; University of Texas Austin; Portland State University</t>
  </si>
  <si>
    <t>Walkington, C (corresponding author), So Methodist Univ, 3101 Univ Blvd Ste 345, Dallas, TX 75205 USA.</t>
  </si>
  <si>
    <t>Walkington, Candace/0000-0002-2338-8760; Petrosino, Anthony/0000-0002-2048-8993</t>
  </si>
  <si>
    <t>1098-6065</t>
  </si>
  <si>
    <t>1532-7833</t>
  </si>
  <si>
    <t>MATH THINK LEARN</t>
  </si>
  <si>
    <t>Math. Think. Learn.</t>
  </si>
  <si>
    <t>APR 1</t>
  </si>
  <si>
    <t>10.1080/10986065.2013.770717</t>
  </si>
  <si>
    <t>121XB</t>
  </si>
  <si>
    <t>WOS:000317277200001</t>
  </si>
  <si>
    <t>Wang, F; Wang, HY; Xu, K; Wu, JH; Jia, XH</t>
  </si>
  <si>
    <t>Wang, Feng; Wang, Haiyan; Xu, Kuai; Wu, Jianhong; Jia, Xiaohua</t>
  </si>
  <si>
    <t>Characterizing Information Diffusion in Online Social Networks with Linear Diffusive Model</t>
  </si>
  <si>
    <t>2013 IEEE 33RD INTERNATIONAL CONFERENCE ON DISTRIBUTED COMPUTING SYSTEMS (ICDCS)</t>
  </si>
  <si>
    <t>IEEE International Conference on Distributed Computing Systems</t>
  </si>
  <si>
    <t>33rd IEEE International Conference on Distributed Computing Systems (ICDCS)</t>
  </si>
  <si>
    <t>JUL 08-11, 2013</t>
  </si>
  <si>
    <t>Philadelphia, PA</t>
  </si>
  <si>
    <t>information diffusion; mathematical modeling; PDE; spatio-temporal; online social network</t>
  </si>
  <si>
    <t>Mathematical modeling is an important approach to study information diffusion in online social networks. Prior studies have focused on the modeling of the temporal aspect of information diffusion. A recent effort introduced the spatiotemporal diffusion problem and addressed the problem with a theoretical framework built on the similarity between information propagation in online social networks and biological invasion in ecology [1]. This paper examines the spatio- temporal characteristics in further depth and reveals that there exist regularities in information diffusion in temporal and spatial dimensions. Furthermore, we propose a simpler linear partial differential equation that takes account of the influence of spatial population density and temporal decay of user interests in the information. We validate the proposed linear model with Digg news stories which received more than 3000 votes during June 2009, and show that the model can describe nearly 60% of the news stories with over 80% accuracy. We also use the most popular news story as a case study and find that the linear diffusive model can achieve an accuracy as high as 97.41% for this news story. Finally, we discuss the potential applications of this model towards finding super spreaders and classifying news story into groups.</t>
  </si>
  <si>
    <t>[Wang, Feng; Wang, Haiyan; Xu, Kuai] Arizona State Univ, Sch Math &amp; Nat Sci, Tempe, AZ 85287 USA; [Wu, Jianhong] Univ York, Dept Math, York YO10 5DD, N Yorkshire, England; [Jia, Xiaohua] City Univ Hong Kong, Dept Comp Sci, Kowloon, Peoples R China</t>
  </si>
  <si>
    <t>Arizona State University; Arizona State University-Tempe; University of York - UK; City University of Hong Kong</t>
  </si>
  <si>
    <t>Wang, F (corresponding author), Arizona State Univ, Sch Math &amp; Nat Sci, Tempe, AZ 85287 USA.</t>
  </si>
  <si>
    <t>fwang25@asu.edu; haiyan.wang@asu.edu; kuai.xu@asu.edu; wujh@mathstat.yorku.ca; csjia@cityu.edu.hk</t>
  </si>
  <si>
    <t>JIA, Xiaohua/0000-0001-8702-8302; Wang, Haiyan/0000-0002-5204-967X; Xu, Kuai/0000-0001-6659-6773; Wang, Feng/0000-0003-1427-5964</t>
  </si>
  <si>
    <t>1063-6927</t>
  </si>
  <si>
    <t>978-0-7695-5000-8</t>
  </si>
  <si>
    <t>INT CON DISTR COMP S</t>
  </si>
  <si>
    <t>10.1109/ICDCS.2013.14</t>
  </si>
  <si>
    <t>Computer Science, Hardware &amp; Architecture; Engineering, Electrical &amp; Electronic</t>
  </si>
  <si>
    <t>BA2BZ</t>
  </si>
  <si>
    <t>WOS:000333267200031</t>
  </si>
  <si>
    <t>Dingli, A; Engerer, B</t>
  </si>
  <si>
    <t>Dingli, Alexiei; Engerer, Bernhardt</t>
  </si>
  <si>
    <t>Big Social Data - Predicting Users' Interests from their Social Networking Activities</t>
  </si>
  <si>
    <t>2019 INTERNATIONAL CONFERENCE ON CYBER SITUATIONAL AWARENESS, DATA ANALYTICS AND ASSESSMENT (CYBER SA)</t>
  </si>
  <si>
    <t>International Conference on Cyber Situational Awareness, Data Analytics and Assessment (Cyber SA)</t>
  </si>
  <si>
    <t>JUN 03-04, 2019</t>
  </si>
  <si>
    <t>Univ Oxford, Dept Comp Sci, Oxford, ENGLAND</t>
  </si>
  <si>
    <t>IEEE,C MRIC Org,IEEE Young Profess,Univ Derby,IEEE UK &amp; Ireland Org,SINTEF,AceObjects,Res Series,Grayfield Solicitors,Secudit,Global Cyber Secur Capac Ctr,Cyber Secur Oxford,Aruba,Qolcom</t>
  </si>
  <si>
    <t>Univ Oxford, Dept Comp Sci</t>
  </si>
  <si>
    <t>The amount of data produced by Social Network users, whether through direct content creation or as a byproduct of their Social Network usage, is ever increasing. This research presents an approach to predicting unknown user interest in entities based on Entity Extraction from User Generated Content and through the use of a Potential Link Prediction algorithm for recommendations. An algorithm was developed which is able to extract relevant entities from the microtext forming the metadata of Facebook pages liked by a user. These entities are then used in order to suggest other potentially interesting pages to the user. Additionally, crowd-sourced knowledge is used in order to automatically filter out entities which are likely to he irrelevant to future users based on past ratings. Using these filtered entities and by having at least 10 interests disclosed by a user, it is possible to predict further entities of interest to a user, with at least 80% confidence in the predictions.</t>
  </si>
  <si>
    <t>[Dingli, Alexiei; Engerer, Bernhardt] Univ Malta, Fac ICT, Dept AI, Msida, Malta</t>
  </si>
  <si>
    <t>University of Malta</t>
  </si>
  <si>
    <t>Dingli, A (corresponding author), Univ Malta, Fac ICT, Dept AI, Msida, Malta.</t>
  </si>
  <si>
    <t>978-1-7281-0232-0</t>
  </si>
  <si>
    <t>10.1109/cybersa.2019.8899443</t>
  </si>
  <si>
    <t>BQ5UA</t>
  </si>
  <si>
    <t>WOS:000608076400011</t>
  </si>
  <si>
    <t>Olson, RS; Neal, ZP</t>
  </si>
  <si>
    <t>Olson, Randal S.; Neal, Zachary P.</t>
  </si>
  <si>
    <t>Navigating the massive world of reddit: using backbone networks to map user interests in social media</t>
  </si>
  <si>
    <t>PEERJ COMPUTER SCIENCE</t>
  </si>
  <si>
    <t>Social networks; reddit; Mapping; Network backbone extraction; Social network navigation</t>
  </si>
  <si>
    <t>In the massive online worlds of social media, users frequently rely on organizing themselves around specific topics of interest to find and engage with like-minded people. However, navigating these massive worlds and finding topics of specific interest often proves difficult because the worlds are mostly organized haphazardly, leaving users to find relevant interests by word of mouth or using a basic search feature. Here, we report on a method using the backbone of a network to create a map of the primary topics of interest in any social network. To demonstrate the method, we build an interest map for the social news web site reddit and show how such a map could be used to navigate a social media world. Moreover, we analyze the network properties of the reddit social network and find that it has a scale-free, small-world, and modular community structure, much like other online social networks such as Facebook and Twitter. We suggest that the integration of interest maps into popular social media platforms will assist users in organizing themselves into more specific interest groups, which will help alleviate the overcrowding effect often observed in large online communities.</t>
  </si>
  <si>
    <t>[Olson, Randal S.] Michigan State Univ, Dept Comp Sci &amp; Engn, E Lansing, MI 48824 USA; [Neal, Zachary P.] Michigan State Univ, Dept Psychol, E Lansing, MI 48824 USA</t>
  </si>
  <si>
    <t>Michigan State University; Michigan State University</t>
  </si>
  <si>
    <t>Olson, RS (corresponding author), Michigan State Univ, Dept Comp Sci &amp; Engn, E Lansing, MI 48824 USA.</t>
  </si>
  <si>
    <t>rso@randalolson.com</t>
  </si>
  <si>
    <t>Neal, Zachary/C-3165-2009</t>
  </si>
  <si>
    <t>Michigan State University High Performance Computing Center; Institute for Cyber Enabled Research (iCER)</t>
  </si>
  <si>
    <t>Michigan State University High Performance Computing Center(Michigan State University); Institute for Cyber Enabled Research (iCER)</t>
  </si>
  <si>
    <t>We gratefully acknowledge the support of the Michigan State University High Performance Computing Center and the Institute for Cyber Enabled Research (iCER). We thank Arend Hintze, Christoph Adami, and Emily Weigel for helpful feedback during the preparation of this manuscript.</t>
  </si>
  <si>
    <t>PEERJ INC</t>
  </si>
  <si>
    <t>341-345 OLD ST, THIRD FLR, LONDON, EC1V 9LL, ENGLAND</t>
  </si>
  <si>
    <t>2376-5992</t>
  </si>
  <si>
    <t>PEERJ COMPUT SCI</t>
  </si>
  <si>
    <t>PeerJ Comput. Sci.</t>
  </si>
  <si>
    <t>e4</t>
  </si>
  <si>
    <t>10.7717/peerj-cs.4</t>
  </si>
  <si>
    <t>VD6PZ</t>
  </si>
  <si>
    <t>WOS:000437423200002</t>
  </si>
  <si>
    <t>On-at, S; Quirin, A; Péninou, A; Baptiste-Jessel, N; Canut, MF; Sèdes, F</t>
  </si>
  <si>
    <t>Espana, S; Ralyte, J; Souveyet, C</t>
  </si>
  <si>
    <t>On-at, Sirinya; Quirin, Arnaud; Peninou, Andre; Baptiste-Jessel, Nadine; Canut, Marie-Francoise; Sedes, Florence</t>
  </si>
  <si>
    <t>Taking Into Account The Evolution Of Users Social Profile: Experiments On Twitter And Some Learned Lessons</t>
  </si>
  <si>
    <t>2016 IEEE TENTH INTERNATIONAL CONFERENCE ON RESEARCH CHALLENGES IN INFORMATION SCIENCE (RCIS)</t>
  </si>
  <si>
    <t>International Conference on Research Challenges in Information Science</t>
  </si>
  <si>
    <t>IEEE 10th International Conference on Research Challenges in Information Science</t>
  </si>
  <si>
    <t>MAY 01-03, 2016</t>
  </si>
  <si>
    <t>Grenoble, FRANCE</t>
  </si>
  <si>
    <t>Social profile; User profile; Egocentric network; Time-aware method</t>
  </si>
  <si>
    <t>Incorporating user interests evolution over time is a crucial problem in user profiling. We particularly focus on social profiling process that uses information shared on user social network to extract his/her interests. In this work, we apply our existing time-aware social profiling method on Twitter. The aim of this study is to measure the effectiveness of our approach on this kind of social network platform, which has different characteristics from those of other social networking sites. Although the improvement compared to the time-agnostic baseline method is still low, the experiments using a parametric study showed us the benefit of applying a time-aware social profiling process on Twitter. We also found that our method performs well on sparse networks and that the information dynamic influences more the quality of our proposed time-aware method than the relationships dynamic while building the social profile on Twitter. This observation will lead us to a more complex study to find out meaningful factors to incorporate user interests evolution on social profiling process in such a network.</t>
  </si>
  <si>
    <t>[On-at, Sirinya; Quirin, Arnaud; Peninou, Andre; Baptiste-Jessel, Nadine; Canut, Marie-Francoise; Sedes, Florence] Univ Toulouse, CNRS, Toulouse Inst Comp Sci Res, INPT,UPS,UT1,UT2J, Toulouse, France</t>
  </si>
  <si>
    <t>Centre National de la Recherche Scientifique (CNRS); Universite Toulouse 1 Capitole; Universite de Toulouse (EPE); Institut National Polytechnique de Toulouse; Communaute d'universites et etablissements de Toulouse (Comue); Universite de Toulouse - Jean Jaures</t>
  </si>
  <si>
    <t>On-at, S (corresponding author), Univ Toulouse, CNRS, Toulouse Inst Comp Sci Res, INPT,UPS,UT1,UT2J, Toulouse, France.</t>
  </si>
  <si>
    <t>sirinya.on-at@irit.fr; andre.peninou@irit.fr; aquirin@gmail.com; nadine.baptiste@irit.fr; marie-francoise.canut@irit.fr; florence.sedes@irit.fr</t>
  </si>
  <si>
    <t>; Péninou, André/AAJ-2425-2020</t>
  </si>
  <si>
    <t>Sèdes, Florence/0000-0002-9273-302X; Péninou, André/0000-0001-6387-0079</t>
  </si>
  <si>
    <t>2151-1357</t>
  </si>
  <si>
    <t>978-1-4799-8710-8</t>
  </si>
  <si>
    <t>INT CONF RES CHAL</t>
  </si>
  <si>
    <t>Computer Science, Interdisciplinary Applications; Engineering, Electrical &amp; Electronic; Information Science &amp; Library Science</t>
  </si>
  <si>
    <t>Computer Science; Engineering; Information Science &amp; Library Science</t>
  </si>
  <si>
    <t>BG1XL</t>
  </si>
  <si>
    <t>WOS:000387134700010</t>
  </si>
  <si>
    <t>Nair, V; Dua, S</t>
  </si>
  <si>
    <t>Nair, Vasanth; Dua, Sumeet</t>
  </si>
  <si>
    <t>Folksonomy-based ad hoc community detection in online social networks</t>
  </si>
  <si>
    <t>Social networks; Community detection; Recommender systems; Information retrieval; Feature extraction; Information extraction</t>
  </si>
  <si>
    <t>ANNOTATION</t>
  </si>
  <si>
    <t>Advances in Web 2.0 technologies have led to unstructured information overload in the complex and multidimensional datasets that originate in social networks. This overload can diminish the quality of web-related services such as recommender systems in the social web and can overwhelm users with irrelevant information. Such overload indicates the need to design and develop efficient and accurate information management and retrieval systems in social networks and anticipate recommendations in the semantic context of user interest. Community detection in social networks can help identify higher-order structures that unveil insight into networks and their functional organization and reduce irrelevant information received by the user. In this study, the application of community detection in online social networks is investigated within the framework of topic discovery-based user link identification and is consequently used to uncover implicit user communities (ad hoc communities). In the proposed approach, we use a graph-based information extraction technique that provides for a personalized information retrieval (recommender) system. We hypothesize that the ad hoc communities of users sharing similar interests embedded in a folksonomy-based social network can be identified by overlapping tag clusters in the tag concept hierarchy. Our methodology incorporates the novel information extraction techniques of topic modeling for topic extraction (feature extraction), user profile modeling for user profile extraction, and community extraction from the social graph, modeled in a framework to derive relevant ad hoc user communities of social interest from folksonomy data. Our experimental results demonstrate an accuracy of 70-98 % in community detection using data obtained from CiteULike (R).</t>
  </si>
  <si>
    <t>[Nair, Vasanth; Dua, Sumeet] Louisiana Tech Univ, Comp Sci Program, Ruston, LA 71270 USA</t>
  </si>
  <si>
    <t>University of Louisiana System; Louisiana Technical University</t>
  </si>
  <si>
    <t>Dua, S (corresponding author), Louisiana Tech Univ, Comp Sci Program, Ruston, LA 71270 USA.</t>
  </si>
  <si>
    <t>sdua@coes.latech.edu</t>
  </si>
  <si>
    <t>Air Force Office of Sponsored Research (AFOSR) [FA9550-10-1-0289]</t>
  </si>
  <si>
    <t>Air Force Office of Sponsored Research (AFOSR)(United States Department of DefenseAir Force Office of Scientific Research (AFOSR))</t>
  </si>
  <si>
    <t>This material is based on work supported in part by Air Force Office of Sponsored Research (AFOSR) under Award No. FA9550-10-1-0289. Any opinions, findings, and conclusions or recommendations expressed in this publication are those of the author(s) and do not necessarily reflect the views of the AFOSR.</t>
  </si>
  <si>
    <t>Vienna</t>
  </si>
  <si>
    <t>Prinz-Eugen-Strasse 8-10, A-1040 Vienna, AUSTRIA</t>
  </si>
  <si>
    <t>10.1007/s13278-012-0081-9</t>
  </si>
  <si>
    <t>V18DN</t>
  </si>
  <si>
    <t>WOS:000214732200002</t>
  </si>
  <si>
    <t>Zhou, RJ; Liu, C; Wan, J; Fan, Q; Ren, YJ; Zhang, JL; Xiong, NX</t>
  </si>
  <si>
    <t>Zhou, Renjie; Liu, Chen; Wan, Jian; Fan, Qing; Ren, Yongjian; Zhang, Jilin; Xiong, Naixue</t>
  </si>
  <si>
    <t>A Hybrid Neural Network Architecture to Predict Online Advertising Click-Through Rate Behaviors in Social Networks</t>
  </si>
  <si>
    <t>IEEE TRANSACTIONS ON NETWORK SCIENCE AND ENGINEERING</t>
  </si>
  <si>
    <t>Predictive models; Neural networks; Social networking (online); Computational modeling; Deep learning; Feature extraction; Computer science; click prediction; user behavior; recurrent neural network; online advertising; social networks</t>
  </si>
  <si>
    <t>USER</t>
  </si>
  <si>
    <t>People connected by huge-size socialnetworks are highly dependent on recommendation systems to discover interesting persons, contents, and commodities. Extracting user interests and modeling their evolutions from user historical behavior are vital for algorithms to judge whether users are interested in given persons and items. The existing methods have two shortcomings: firstly, they do not have the high-order ability to process temporal sequences, which leads to their inability to mine the evolution of user interests; secondly, the models take full large-scale information of items as input, which causes a severe problem of overfitting. Thus, we propose a new hybrid neural network, DGRU, which integrates Factorization-Machine Based Neural Network (DeepFM) and Gated Recurrent Unit Neural Network (GRU). The DeepFM component is responsible for performing the autonomic feature combination, and the GRU component is designed to model user interests and evolutions. The GRU component is fed with a series of 1 and 0 representing user click behaviors. It contains information on what users like and dislike. Moreover, the conciseness of the format is helpful to avoid the problem of overfitting. Experiments on three real datasets demonstrated that the proposed model has a better CTR prediction performance and robustness than the state-of-the-art models.</t>
  </si>
  <si>
    <t>[Zhou, Renjie; Liu, Chen; Wan, Jian; Fan, Qing; Ren, Yongjian; Zhang, Jilin] Hangzhou Dianzi Univ, Sch Comp Sci &amp; Technol, Key Lab Complex Syst Modeling &amp; Simulat, Minist Educ, Hangzhou 310018, Peoples R China; [Zhou, Renjie] Zhejiang Univ, Sch Comp Sci &amp; Technol, Hangzhou 310058, Peoples R China; [Wan, Jian] Zhejiang Univ Sci &amp; Technol, Sch Informat &amp; Elect Engn, Hangzhou 310023, Peoples R China; [Xiong, Naixue] Ningxia Univ, Sch Informat Engn, Yinchuan 750000, Ningxia, Peoples R China; [Xiong, Naixue] Northeastern State Univ, Dept Math &amp; Comp Sci, Tahlequah, OK 74464 USA</t>
  </si>
  <si>
    <t>Hangzhou Dianzi University; Zhejiang University; Zhejiang University of Science &amp; Technology; Ningxia University; Northeastern State University</t>
  </si>
  <si>
    <t>Zhang, JL (corresponding author), Hangzhou Dianzi Univ, Sch Comp Sci &amp; Technol, Key Lab Complex Syst Modeling &amp; Simulat, Minist Educ, Hangzhou 310018, Peoples R China.;Wan, J (corresponding author), Zhejiang Univ Sci &amp; Technol, Sch Informat &amp; Elect Engn, Hangzhou 310023, Peoples R China.;Xiong, NX (corresponding author), Ningxia Univ, Sch Informat Engn, Yinchuan 750000, Ningxia, Peoples R China.</t>
  </si>
  <si>
    <t>renjie_zhou@163.com; hdu.liuchen2020@gmail.com; wanjian@zust.edu.cn; lanqing0810@gmail.com; yongjian.ren@hdu.edu.cn; jilin.zhang@hdu.edu; xiongnaixue@gmail.com</t>
  </si>
  <si>
    <t>xiong, naixue/M-4277-2019</t>
  </si>
  <si>
    <t>xiong, naixue/0000-0002-0394-4635; zhou, renjie/0000-0003-0701-7318; Zhang, Jilin/0000-0003-0241-0727</t>
  </si>
  <si>
    <t>Zhejiang Provincial Key Technology Research and Development Program [2019C03134]; National Natural Science Foundation of China [61972358, 62072146, J2024009]; National Key Technology Research and Development Program of China [2019YFB2102100]; 151 Talents Project of Zhejiang Province; China Postdoctoral Science Foundation [2016M600465]</t>
  </si>
  <si>
    <t>Zhejiang Provincial Key Technology Research and Development Program; National Natural Science Foundation of China(National Natural Science Foundation of China (NSFC)); National Key Technology Research and Development Program of China(National High Technology Research and Development Program of China); 151 Talents Project of Zhejiang Province; China Postdoctoral Science Foundation(China Postdoctoral Science Foundation)</t>
  </si>
  <si>
    <t>This work was supported in part by Zhejiang Provincial Key Technology Research and Development Program under Grant 2019C03134, in part by the National Natural Science Foundation of China under Grants 61972358, 62072146, and J2024009, in part by the National Key Technology Research and Development Program of China under Grant 2019YFB2102100, in part by the 151 Talents Project of Zhejiang Province, and in part by China Postdoctoral Science Foundation under Grant 2016M600465. Recommended for acceptance by Prof. Hongbo Jiang. (Corresponding authors: Jian Wan, Jilin Zhang, and Naixue Xiong.)</t>
  </si>
  <si>
    <t>2327-4697</t>
  </si>
  <si>
    <t>IEEE T NETW SCI ENG</t>
  </si>
  <si>
    <t>IEEE Trans. Netw. Sci. Eng.</t>
  </si>
  <si>
    <t>OCT 1</t>
  </si>
  <si>
    <t>10.1109/TNSE.2021.3102582</t>
  </si>
  <si>
    <t>Engineering, Multidisciplinary; Mathematics, Interdisciplinary Applications</t>
  </si>
  <si>
    <t>Engineering; Mathematics</t>
  </si>
  <si>
    <t>XM6IW</t>
  </si>
  <si>
    <t>WOS:000728929300029</t>
  </si>
  <si>
    <t>Roy, SD; Lotan, G; Zeng, WJ</t>
  </si>
  <si>
    <t>Roy, Suman Deb; Lotan, Gilad; Zeng, Wenjun (Kevin)</t>
  </si>
  <si>
    <t>The Attention Automaton: Sensing Collective User Interests in Social Network Communities</t>
  </si>
  <si>
    <t>Attention; automata; media; news; twitter; trending topics; trends; volatility; viral</t>
  </si>
  <si>
    <t>The vast quantity of information shared in social networks has brought us to an age of attention scarcity, where getting users to be attentive to a message is not a given. In fact, it has become the limiting factor in the consumption of information by end users. Understanding what captures the collective attention within a community of users in a social network is invaluable to many applications, such as product marketing, targeted advertising and social or political campaign organization. Several scholars have analyzed how information spreads in social networks under the constraint of attention. However, few papers provide a quantitative method to model and predict attention at every instant in the dynamic social web. In this paper, we propose the Attention Automaton, a probabilistic finite automata that can estimate the collective attention of some user community. Communities are based on geographical vicinity of users or having common interests (like followers of a given account) on Twitter. We identify two key factors that drive collective user attention: (1) the attention volatility of the community (frequency of change of trending topics), and (2) the selective categorical affinity of the user group towards certain trends. Our results, which are based on a eight-month dataset of Twitter trending topics across 111 geographic regions and audience trends of approximately 50 brands indicate that the proposed Attention Automaton can predict audience reception of impending trends based on categorical filters and inherent oscillations in user activity.</t>
  </si>
  <si>
    <t>[Roy, Suman Deb; Lotan, Gilad] Betaworks, Data Sci Team, New York, NY 10023 USA; [Zeng, Wenjun (Kevin)] Univ Missouri, Dept Comp Sci, Columbia, MO 65211 USA</t>
  </si>
  <si>
    <t>University of Missouri System; University of Missouri Columbia</t>
  </si>
  <si>
    <t>Roy, SD (corresponding author), Betaworks, Data Sci Team, New York, NY 10023 USA.</t>
  </si>
  <si>
    <t>suman@betaworks.com; gilad@betaworks.com; zengw@missouri.edu</t>
  </si>
  <si>
    <t>Zeng, Wenjun/0000-0003-2531-3137</t>
  </si>
  <si>
    <t>IEEE TRANS NETW SCI</t>
  </si>
  <si>
    <t>10.1109/TNSE.2015.2416691</t>
  </si>
  <si>
    <t>VA1KO</t>
  </si>
  <si>
    <t>WOS:000409667100004</t>
  </si>
  <si>
    <t>Camacho, D; Panizo-LLedot, A; Bello-Orgaz, G; Gonzalez-Pardo, A; Cambria, E</t>
  </si>
  <si>
    <t>Camacho, David; Panizo-LLedot, Angel; Bello-Orgaz, Gema; Gonzalez-Pardo, Antonio; Cambria, Erik</t>
  </si>
  <si>
    <t>The four dimensions of social network analysis: An overview of research methods, applications, and software tools</t>
  </si>
  <si>
    <t>INFORMATION FUSION</t>
  </si>
  <si>
    <t>Social network analysis; Social media mining; Social data visualization; Data science; Big data</t>
  </si>
  <si>
    <t>WORD-OF-MOUTH; BIG DATA; SENTIMENT ANALYSIS; COMMUNITY STRUCTURE; FAKE NEWS; INFORMATION DIFFUSION; CUSTOMER ENGAGEMENT; BRAND RELATIONSHIPS; COMPLEX NETWORKS; USER INTERESTS</t>
  </si>
  <si>
    <t>Social network based applications have experienced exponential growth in recent years. One of the reasons for this rise is that this application domain offers a particularly fertile place to test and develop the most advanced computational techniques to extract valuable information from the Web. The main contribution of this work is three-fold: (1) we provide an up-to-date literature review of the state of the art on social network analysis (SNA); (2) we propose a set of new metrics based on four essential features (or dimensions) in SNA; (3) finally, we provide a quantitative analysis of a set of popular SNA tools and frameworks. We have also performed a scientometric study to detect the most active research areas and application domains in this area. This work proposes the definition of four different dimensions, namely Pattern &amp; Knowledge discovery, Information Fusion &amp; Integration, Scalability, and Visualization, which are used to define a set of new metrics (termed degrees) in order to evaluate the different software tools and frameworks of SNA (a set of 20 SNA-software tools are analyzed and ranked following previous metrics). These dimensions, together with the defined degrees, allow evaluating and measure the maturity of social network technologies, looking for both a quantitative assessment of them, as to shed light to the challenges and future trends in this active area.</t>
  </si>
  <si>
    <t>[Camacho, David; Panizo-LLedot, Angel; Bello-Orgaz, Gema] Univ Politecn Madrid, Dept Sistemas Informat, Madrid, Spain; [Gonzalez-Pardo, Antonio] Univ Rey Juan Carlos, Comp Sci Dept, Madrid, Spain; [Cambria, Erik] Nanyang Technol Univ, Sch Comp Sci &amp; Engn, Singapore, Singapore</t>
  </si>
  <si>
    <t>Universidad Politecnica de Madrid; Universidad Rey Juan Carlos; Nanyang Technological University</t>
  </si>
  <si>
    <t>Camacho, D (corresponding author), Univ Politecn Madrid, Dept Sistemas Informat, Madrid, Spain.</t>
  </si>
  <si>
    <t>david.camacho@upm.es; angel.panizo@upm.es; gema.borgaz@upm.es; antonio.gpardo@urjc.es; cambria@ntu.edu.sg</t>
  </si>
  <si>
    <t>, Gema/C-8170-2014; Cambria, Erik/C-2103-2013; Camacho, David/AAV-3665-2020; /C-8170-2014; González Pardo, Antonio/ABB-7444-2020</t>
  </si>
  <si>
    <t>, Gema/0000-0003-2826-3286; Cambria, Erik/0000-0002-3030-1280; Camacho, David/0000-0002-5051-3475; González Pardo, Antonio/0000-0002-1558-9239</t>
  </si>
  <si>
    <t>Spanish Ministry of Science and Education [TIN2014-56494-C4-4-P]; European Union, under ISFP-POLICE ACTION [823701-ISFP-2017-AG-RAD]; Comunidad Autonoma de Madrid [S2018/TCS-4566]; NVIDIA Corporation</t>
  </si>
  <si>
    <t>Spanish Ministry of Science and Education(Spanish Government); European Union, under ISFP-POLICE ACTION; Comunidad Autonoma de Madrid(Comunidad de Madrid); NVIDIA Corporation(Nvidia Corporation)</t>
  </si>
  <si>
    <t>This work has been supported by several research grants: Spanish Ministry of Science and Education under TIN2014-56494-C4-4-P grant (DeepBio), European Union, under ISFP-POLICE ACTION: 823701-ISFP-2017-AG-RAD grant (YoungRes), and Comunidad Autonoma de Madrid under S2018/TCS-4566 grant (CYNAMON). We gratefully acknowledge the support of NVIDIA Corporation with the donation of the Titan V GPU used for this research.</t>
  </si>
  <si>
    <t>1566-2535</t>
  </si>
  <si>
    <t>1872-6305</t>
  </si>
  <si>
    <t>INFORM FUSION</t>
  </si>
  <si>
    <t>Inf. Fusion</t>
  </si>
  <si>
    <t>10.1016/j.inffus.2020.05.009</t>
  </si>
  <si>
    <t>NS3KD</t>
  </si>
  <si>
    <t>WOS:000572163500007</t>
  </si>
  <si>
    <t>Benkhelifa, R; Biskri, I; Laallam, FZ; Aïmeur, E</t>
  </si>
  <si>
    <t>Benkhelifa, Randa; Biskri, Ismail; Laallam, Fatima Zohra; Aimeur, Esma</t>
  </si>
  <si>
    <t>User content categorisation model, a generic model that combines text mining and semantic models</t>
  </si>
  <si>
    <t>INTERNATIONAL JOURNAL OF COMPUTATIONAL SCIENCE AND ENGINEERING</t>
  </si>
  <si>
    <t>semantic models; ontology; text mining; machine learning; user interests; user categorisation; text categorisation; profiling; ontology learning</t>
  </si>
  <si>
    <t>SOCIAL MEDIA; ONTOLOGY; PREDICTION; NETWORKS; BEHAVIOR; SYSTEM</t>
  </si>
  <si>
    <t>Social networking websites are growing not only regarding the number of users but also in terms of the user-generated content. These data represent a valuable source of information for several applications, which require the meaning of that content associated with the personal data. However, the current structure of social networks does not allow extracting in a fast and straightforward way the hidden information sought by these applications. Major efforts have emerged from the semantic web community addressing this problem trying to represent the user as accurately as possible. They are not unable to give a sense to the user-generated content. For this, more sense-making needs to be done on the content, to enrich the user profile. In this paper, we introduce a generic model called user content categorisation (UCC). It incorporates the text mining approach into a semantic model to enrich the user profile by including information on user's posts classifications.</t>
  </si>
  <si>
    <t>[Benkhelifa, Randa; Laallam, Fatima Zohra] Univ Kasdi Merbah Ouargla, Fac Nouvelles Technol Informat &amp; Commun, Lab Intelligence Artificielle &amp; Technol Informat, Ouargla 30000, Algeria; [Biskri, Ismail] Univ Quebec Trois Rivieres, LAMIA, Dept Math &amp; Informat, Trois Rivieres, PQ, Canada; [Aimeur, Esma] Univ Montreal, Dept Comp Sci Operat Res, Montreal, PQ, Canada</t>
  </si>
  <si>
    <t>Universite Kasdi Merbah Ouargla; University of Quebec; University of Quebec Trois Rivieres; Universite de Montreal</t>
  </si>
  <si>
    <t>Benkhelifa, R (corresponding author), Univ Kasdi Merbah Ouargla, Fac Nouvelles Technol Informat &amp; Commun, Lab Intelligence Artificielle &amp; Technol Informat, Ouargla 30000, Algeria.</t>
  </si>
  <si>
    <t>randa.benkhelifa@univ-ouargla.dz; Ismail.Biskri@uqtr.ca; laallam.fatima_zohra@univ-ouargla.dz; aimeur@iro.umontreal.ca</t>
  </si>
  <si>
    <t>Biskri, Ismail/P-6244-2018; LAALLAM, Fatima Zohra/AAF-8731-2019; Rosas, Mario/OOM-1683-2025</t>
  </si>
  <si>
    <t>Biskri, Ismail/0000-0002-7644-5810;</t>
  </si>
  <si>
    <t>1742-7185</t>
  </si>
  <si>
    <t>1742-7193</t>
  </si>
  <si>
    <t>INT J COMPUT SCI ENG</t>
  </si>
  <si>
    <t>Int. J. Comput. Sci. Eng.</t>
  </si>
  <si>
    <t>LJ1WQ</t>
  </si>
  <si>
    <t>WOS:000529962800006</t>
  </si>
  <si>
    <t>Palsetia, D; Patwary, MMA; Agrawal, A; Choudhary, A</t>
  </si>
  <si>
    <t>Palsetia, Diana; Patwary, Md. Mostofa Ali; Agrawal, Ankit; Choudhary, Alok</t>
  </si>
  <si>
    <t>Excavating social circles via user interests</t>
  </si>
  <si>
    <t>Community detection; Extraction; Analysis clustering; social network; Graph partitioning</t>
  </si>
  <si>
    <t>COMMUNITY STRUCTURE; SMALL-WORLD; ALGORITHM</t>
  </si>
  <si>
    <t>The rapid evolution of modern social networks motivates the design of networks based on users' interests. Using popular social media such as Facebook and Twitter, we show that this new perspective can bring more meaningful information about the networks. In this paper, we model user-interest-based networks by deducing intent from social media activities such as comments and tweets of millions of users in Facebook and Twitter, respectively. These interactive contents derive networks that are dynamic in nature as the user interests can evolve due to temporal and spatial activities occurring around the user. To excavate social circles, we develop an approach that iteratively removes the influence of the communities identified in the previous steps by widely used Clauset, Newman, and Moore (CNM) community detection algorithm. Experimental results show that our approach can detect communities at a much finer scale compared to the CNM algorithm. Our user-interest-based model and community extraction methodology together can be used to identify target communities in the context of business requirements.</t>
  </si>
  <si>
    <t>[Palsetia, Diana; Patwary, Md. Mostofa Ali; Agrawal, Ankit; Choudhary, Alok] Northwestern Univ, Elect Engn &amp; Comp Sci Dept, Evanston, IL 60208 USA</t>
  </si>
  <si>
    <t>Northwestern University</t>
  </si>
  <si>
    <t>Palsetia, D (corresponding author), Northwestern Univ, Elect Engn &amp; Comp Sci Dept, Evanston, IL 60208 USA.</t>
  </si>
  <si>
    <t>drp925@eecs.northwestern.edu; mpatwary@eecs.northwestern.edu; ankitag@eecs.northwestern.edu; choudhar@eecs.northwestern.edu</t>
  </si>
  <si>
    <t>; Choudhary, Alok/C-5486-2009</t>
  </si>
  <si>
    <t>Agrawal, Ankit/0000-0002-5519-0302;</t>
  </si>
  <si>
    <t>NSF [CCF-0833131, CNS-0830927, IIS0905205, CCF-0938000, CCF-1029166, ACI-1144061, IIS1343639]; DOE [DE-FG02-08ER 25848, DE-SC0001283, DESC0005309, DESC0005340, DESC0007456]; AFOSR [FA9550-12-1-0458]; Direct For Computer &amp; Info Scie &amp; Enginr; Div Of Information &amp; Intelligent Systems [1343639] Funding Source: National Science Foundation</t>
  </si>
  <si>
    <t>NSF(National Science Foundation (NSF)); DOE(United States Department of Energy (DOE)); AFOSR(United States Department of DefenseAir Force Office of Scientific Research (AFOSR)); Direct For Computer &amp; Info Scie &amp; Enginr; Div Of Information &amp; Intelligent Systems(National Science Foundation (NSF)NSF - Directorate for Computer &amp; Information Science &amp; Engineering (CISE)NSF - Division of Information &amp; Intelligent Systems (IIS))</t>
  </si>
  <si>
    <t>We thank William Hendrix for helpful discussions and comments on the preliminary drafts of the paper. We thank Christopher Moran for helping us plotting the dendrograms and Kathy Lee, Kunpeng Zhang, Yves Xie, and Daniel Honbo for collecting testdata from Facebook and Twitter. This work is supported in part by the following grants: NSF awards CCF-0833131, CNS-0830927, IIS0905205, CCF-0938000, CCF-1029166, ACI-1144061, and IIS1343639; DOE awards DE-FG02-08ER 25848, DE-SC0001283, DESC0005309, DESC0005340, and DESC0007456; AFOSR award FA9550-12-1-0458.</t>
  </si>
  <si>
    <t>10.1007/s13278-014-0170-z</t>
  </si>
  <si>
    <t>V18MQ</t>
  </si>
  <si>
    <t>WOS:000214755900018</t>
  </si>
  <si>
    <t>Song, XM; Nie, LQ; Zhang, LM; Liu, MF; Chua, TS</t>
  </si>
  <si>
    <t>Yang, Q; Wooldridge, M</t>
  </si>
  <si>
    <t>Song, Xuemeng; Nie, Liqiang; Zhang, Luming; Liu, Maofu; Chua, Tat-Seng</t>
  </si>
  <si>
    <t>Interest Inference via Structure-Constrained Multi-Source Multi-Task Learning</t>
  </si>
  <si>
    <t>PROCEEDINGS OF THE TWENTY-FOURTH INTERNATIONAL JOINT CONFERENCE ON ARTIFICIAL INTELLIGENCE (IJCAI)</t>
  </si>
  <si>
    <t>1st International Workshop on Social Influence Analysis / 24th International Joint Conference on Artificial Intelligence (IJCAI)</t>
  </si>
  <si>
    <t>JUL 25-31, 2015</t>
  </si>
  <si>
    <t>Buenos Aires, ARGENTINA</t>
  </si>
  <si>
    <t>User interest inference from social networks is a fundamental problem to many applications. It usually exhibits dual-heterogeneities: a user's interests are complementarily and comprehensively reflected by multiple social networks; interests are inter-correlated in a nonuniform way rather than independent to each other. Although great success has been achieved by previous approaches, few of them consider these dual-heterogeneities simultaneously. In this work, we propose a structure-constrained multi-source multi-task learning scheme to co-regularize the source consistency and the tree-guided task relatedness. Meanwhile, it is able to jointly learn the task-sharing and task-specific features. Comprehensive experiments on a real-world dataset validated our scheme. In addition, we have released our dataset to facilitate the research communities.</t>
  </si>
  <si>
    <t>[Song, Xuemeng; Nie, Liqiang; Zhang, Luming; Chua, Tat-Seng] Natl Univ Singapore, Singapore, Singapore; [Liu, Maofu] Wuhan Univ Sci &amp; Technol, Wuhan, Hubei, Peoples R China</t>
  </si>
  <si>
    <t>National University of Singapore; Wuhan University of Science &amp; Technology</t>
  </si>
  <si>
    <t>Song, XM (corresponding author), Natl Univ Singapore, Singapore, Singapore.</t>
  </si>
  <si>
    <t>sxmustc@gmail.com; nieliqiang@gmail.com; zglumg@gmail.com; liumaofu@wust.edu.cn; chuats@comp.nus.edu.sg</t>
  </si>
  <si>
    <t>; Wang, Meng/AEZ-9059-2022</t>
  </si>
  <si>
    <t>Yang, jinhua/0009-0005-8469-8892;</t>
  </si>
  <si>
    <t>Singapore National Research Foundation under its International Research Centre @ Singapore Funding Initiative</t>
  </si>
  <si>
    <t>Singapore National Research Foundation under its International Research Centre @ Singapore Funding Initiative(National Research Foundation, Singapore)</t>
  </si>
  <si>
    <t>This research is supported by the Singapore National Research Foundation under its International Research Centre @ Singapore Funding Initiative and administered by the IDM Programme Office.</t>
  </si>
  <si>
    <t>IJCAI-INT JOINT CONF ARTIF INTELL</t>
  </si>
  <si>
    <t>FREIBURG</t>
  </si>
  <si>
    <t>ALBERT-LUDWIGS UNIV FREIBURG GEORGES-KOHLER-ALLEE, INST INFORMATIK, GEB 052, FREIBURG, D-79110, GERMANY</t>
  </si>
  <si>
    <t>978-1-57735-738-4</t>
  </si>
  <si>
    <t>BK8FW</t>
  </si>
  <si>
    <t>WOS:000442637802063</t>
  </si>
  <si>
    <t>Huang, XL; Li, L; Wang, H; Hu, CX; Xu, XH; Wu, CL</t>
  </si>
  <si>
    <t>Huang, Xiaoling; Li, Lei; Wang, Hao; Hu, Chengxiang; Xu, Xiaohan; Wu, Changlin</t>
  </si>
  <si>
    <t>Rough-Set-Based Real-Time Interest Label Extraction over Large-Scale Social Networks</t>
  </si>
  <si>
    <t>COMPLEXITY</t>
  </si>
  <si>
    <t>USER INTERESTS; FAST SEARCH; FIND</t>
  </si>
  <si>
    <t>Labels provide a quick and effective solution to obtain people interesting content from large-scale social network information. The current interest label extraction method based on the subgraph stream proves the feasibility of the subgraph stream for user label extraction. However, it is extremely time-consuming for constructing subgraphs. As an effective mathematical method to deal with fuzzy and uncertain information, rough set-based representations for subgraph stream construction are capable of capturing the uncertainties of the social network. Therefore, we propose an effective approach called RS_UNITE_SS (namely, rough-set-based user-networked interest topic extraction in the form of subgraph stream), which is suitable for large-scale social network user interest label extraction. Specifically, we first propose the subgraph division algorithm to construct a subgraph stream by incorporating a rough set. Then, the algorithm for user real-time interest label extraction based on upper approximation (RILE) is proposed by using sequentially characteristics of the subgraph. Empirically, we evaluate RS_UNITE_SS over real-world datasets, and experimental results demonstrate that our proposed approach is more computationally efficient than existing methods while achieving higher precision value and MRR value.</t>
  </si>
  <si>
    <t>[Huang, Xiaoling; Hu, Chengxiang] Chuzhou Univ, Sch Comp &amp; Informat Engn, Chuzhou 239000, Anhui, Peoples R China; [Li, Lei; Wang, Hao; Xu, Xiaohan] Hefei Univ Technol, Sch Comp Sci &amp; Informat Engn, Hefei 230009, Anhui, Peoples R China; [Wu, Changlin] East China Langyashan Pumped Storage Co Ltd, Chuzhou 239000, Anhui, Peoples R China</t>
  </si>
  <si>
    <t>Chuzhou University; Hefei University of Technology</t>
  </si>
  <si>
    <t>Huang, XL (corresponding author), Chuzhou Univ, Sch Comp &amp; Informat Engn, Chuzhou 239000, Anhui, Peoples R China.</t>
  </si>
  <si>
    <t>hxl@chzu.edu.cn; lilei@hfut.edu.cn; jsjxwangh@hfut.edu.cn; chengxiang@chzu.edu.cn; 2018010122@mail.hfut.edu.cn; wu123changlin@163.com</t>
  </si>
  <si>
    <t>; Li, Lei/AGF-3677-2022; WU, CHANGLIN/KRV-7991-2024</t>
  </si>
  <si>
    <t>Huang, Xiaoling/0000-0002-7221-8055;</t>
  </si>
  <si>
    <t>National Key Research and Development Program of China [2016YFB1000900]; National Natural Science Foundation of China (NSFC) [61503114, 61906060]; Natural Science Foundation of Educational Commission of Anhui Province [KJ2021A1065, KJ2019A0642]; Anhui Provincial Natural Science Foundation [1808085MF177, 2008085MF224]</t>
  </si>
  <si>
    <t>National Key Research and Development Program of China(National Key Research &amp; Development Program of China); National Natural Science Foundation of China (NSFC)(National Natural Science Foundation of China (NSFC)); Natural Science Foundation of Educational Commission of Anhui Province; Anhui Provincial Natural Science Foundation(Natural Science Foundation of Anhui Province)</t>
  </si>
  <si>
    <t>This work was supported in part by the National Key Research and Development Program of China under grant no. 2016YFB1000900, the National Natural Science Foundation of China (NSFC) under grant nos. 61503114 and 61906060, the Key Project of the Natural Science Foundation of Educational Commission of Anhui Province under grant nos. KJ2021A1065 and KJ2019A0642, and the Anhui Provincial Natural Science Foundation under grant nos. 1808085MF177 and 2008085MF224.</t>
  </si>
  <si>
    <t>1076-2787</t>
  </si>
  <si>
    <t>1099-0526</t>
  </si>
  <si>
    <t>Complexity</t>
  </si>
  <si>
    <t>JUN 10</t>
  </si>
  <si>
    <t>10.1155/2022/2072950</t>
  </si>
  <si>
    <t>Mathematics, Interdisciplinary Applications; Multidisciplinary Sciences</t>
  </si>
  <si>
    <t>Mathematics; Science &amp; Technology - Other Topics</t>
  </si>
  <si>
    <t>2G9CF</t>
  </si>
  <si>
    <t>WOS:000813897300003</t>
  </si>
  <si>
    <t>Using Social Interaction Between Friends in Knowledge-based Personalized Recommendation</t>
  </si>
  <si>
    <t>2017 IEEE/ACS 14TH INTERNATIONAL CONFERENCE ON COMPUTER SYSTEMS AND APPLICATIONS (AICCSA)</t>
  </si>
  <si>
    <t>International Conference on Computer Systems and Applications</t>
  </si>
  <si>
    <t>14th IEEE/ACS International Conference on Computer Systems and Applications (AICCSA)</t>
  </si>
  <si>
    <t>OCT 30-NOV 03, 2017</t>
  </si>
  <si>
    <t>Hammamet, TUNISIA</t>
  </si>
  <si>
    <t>IEEE,ACS,IEEE Comp Soc,Arab Comp Soc,Univ Arizona,Univ Centrale,Wevioo Grp,ATIA Tunisia,Qatar Comp Res Inst,TUNISIE INNOVAT</t>
  </si>
  <si>
    <t>Preference representation; Ontology; Semantic web mining; Recommender systems; Trust; Social Network; Tourism</t>
  </si>
  <si>
    <t>SYSTEMS; TRUST</t>
  </si>
  <si>
    <t>Over the last decade, ontologies have been increasingly used in recommender systems. Domain ontologies are mainly used to analyze the user behaviour with reference to knowledge structure in order to build user profiles. In addition, ontologies are useful for modelling the trust between users extracted from a social network. We, accordingly, propose to combine two approaches to improve the recommendation process in tourism domain. The first is the trusted friends' preference based on the assumption that users generally have a tendency to use items recommended by friends rather than strangers. The second is the ontology based user interest to represent the semantics of these interests. A Trusted Friends' Application is developed to determine social trusted friends by analyzing user's profile on Facebook. Afterwards, we have represented the user's model as an ontology that takes into consideration all trusted friends' preferences and the degree of trust between friends. Finally, we have used this ontology in a knowledge-based tourism recommender system as a smart e-tourism tool able to recommend items based on the users' preferences and their trusted friends' preferences.</t>
  </si>
  <si>
    <t>; Mhiri, Mohamed/OMK-8712-2025</t>
  </si>
  <si>
    <t>Gargouri, Faiez/0000-0003-2575-8654; Frikha, Mohamed/0000-0001-7110-9327; Mhiri, Mohamed/0009-0001-7934-7618</t>
  </si>
  <si>
    <t>2161-5322</t>
  </si>
  <si>
    <t>978-1-5386-3581-0</t>
  </si>
  <si>
    <t>I C COMP SYST APPLIC</t>
  </si>
  <si>
    <t>10.1109/AICCSA.2017.206</t>
  </si>
  <si>
    <t>Automation &amp; Control Systems; Computer Science, Artificial Intelligence; Computer Science, Hardware &amp; Architecture; Computer Science, Interdisciplinary Applications; Computer Science, Theory &amp; Methods</t>
  </si>
  <si>
    <t>BJ8IZ</t>
  </si>
  <si>
    <t>WOS:000428311600210</t>
  </si>
  <si>
    <t>Modeling user interests by conceptual clustering</t>
  </si>
  <si>
    <t>INFORMATION SYSTEMS</t>
  </si>
  <si>
    <t>personal information agents; conceptual clustering; ontology learning</t>
  </si>
  <si>
    <t>As more information becomes available on the Web, there has been a crescent interest in effective personalization techniques. Personal agents providing assistance based on the content of Web documents and the user interests emerged as a viable alternative to this problem. Provided that these agents rely on having knowledge about users contained into user profiles, i.e., models of user preferences and interests gathered by observation of user behavior, the capacity of acquiring and modeling user interest categories has become a critical component in personal agent design. User profiles have to summarize categories corresponding to diverse user information interests at different levels of abstraction in order to allow agents to decide on the relevance of new pieces of information. In accomplishing this goal, document clustering offers the advantage that an a priori knowledge of categories is not needed, therefore the categorization is completely unsupervised. In this paper we present a document clustering algorithm, named WebDCC (Web Document Conceptual Clustering), that carries out incremental, unsupervised concept learning over Web documents in order to acquire user profiles. Unlike most user profiling approaches, this algorithm offers comprehensible clustering solutions that can be easily interpreted and explored by both users and other agents. By extracting semantics from Web pages, this algorithm also produces intermediate results that can be finally integrated in a machine-understandable format such as an ontology. Empirical results of using this algorithm in the context of an intelligent Web search agent proved it can reach high levels of accuracy in suggesting Web pages. (c) 2005 Elsevier B.V. All rights reserved.</t>
  </si>
  <si>
    <t>ISITAN Res Inst, RA-7000 Buenos Aires, DF, Argentina; Consejo Nacl Invest Cient &amp; Tecn, RA-1033 Buenos Aires, DF, Argentina</t>
  </si>
  <si>
    <t>Godoy, D (corresponding author), ISITAN Res Inst, UNICEN Univ Campus Univ, RA-7000 Buenos Aires, DF, Argentina.</t>
  </si>
  <si>
    <t>Godoy, Daniela/0000-0002-5185-4570; Amandi, Analía/0000-0003-1866-5310</t>
  </si>
  <si>
    <t>0306-4379</t>
  </si>
  <si>
    <t>1873-6076</t>
  </si>
  <si>
    <t>INFORM SYST</t>
  </si>
  <si>
    <t>Inf. Syst.</t>
  </si>
  <si>
    <t>JUN-JUL</t>
  </si>
  <si>
    <t>4-5</t>
  </si>
  <si>
    <t>10.1016/j.is.2005.02.008</t>
  </si>
  <si>
    <t>026JC</t>
  </si>
  <si>
    <t>WOS:000236334200003</t>
  </si>
  <si>
    <t>Diao, MT; Zhang, ZB; Su, S; Gao, S; Cao, HF; Ye, JD</t>
  </si>
  <si>
    <t>Diao, Mengting; Zhang, Zhongbao; Su, Sen; Gao, Shuai; Cao, Huafeng; Ye, Junda</t>
  </si>
  <si>
    <t>Efficiently Transfer User Profile Across Networks</t>
  </si>
  <si>
    <t>IEEE TRANSACTIONS ON BIG DATA</t>
  </si>
  <si>
    <t>Social networking (online); Transfer learning; Knowledge engineering; Computational complexity; Clustering algorithms; Big Data; Adversarial machine learning; User profiling; transfer learning; social network</t>
  </si>
  <si>
    <t>User profiling has very important applications for many downstream tasks. Most existing methods only focus on modeling user profiles of one social network with plenty of data. However, user profiles are difficult to acquire, especially when the data is scarce. Fortunately, we observed that similar users have similar behavior patterns in different social networks. Motivated by such observations, in this paper, we for the first time propose to study the user profiling problem from the transfer learning perspective. We design two efficient frameworks for User Profile transferring acrOss Networks, i.e., UPON and E-UPON. In UPON, we first design a novel graph convolutional networks based characteristic-aware domain attention model to find user dependencies within and between domains (i.e., social networks). We then design a dual-domain weighted adversarial learning method to address the domain shift problem existing in the transferring procedure. In E-UPON, we optimize UPON in terms of computational complexity and memory. Specifically, we design a mini-cluster gradient descent based graph representation algorithm to shrink the searching space and ensure parallel computation. Then we use an adaptive cluster matching method to adjust the clusters of users. Experimental results on Twitter-Foursquare dataset demonstrate that UPON and E-UPON outperform the state-of-the-art models.</t>
  </si>
  <si>
    <t>[Diao, Mengting; Zhang, Zhongbao; Su, Sen; Gao, Shuai; Cao, Huafeng; Ye, Junda] Beijing Univ Posts ands Telecommun BUPT, State Key Lab Networking &amp; Switching Technol, Beijing 100876, Peoples R China</t>
  </si>
  <si>
    <t>Zhang, ZB (corresponding author), Beijing Univ Posts ands Telecommun BUPT, State Key Lab Networking &amp; Switching Technol, Beijing 100876, Peoples R China.</t>
  </si>
  <si>
    <t>diaomengting@bupt.edu.cn; zhongbaozb@bupt.edu.cn; susen@bupt.edu.cn; gaoshuai@bupt.edu.cn; caohuafeng@bupt.edu.cn; jamesye99@icloud.com</t>
  </si>
  <si>
    <t>diao, mengting/OPN-3327-2025; Zhang, Zhongbao/GZA-8939-2022</t>
  </si>
  <si>
    <t>Diao, Mengting/0009-0003-3427-7710</t>
  </si>
  <si>
    <t>National Natural Science Foundation of China [U1936103, 61921003]</t>
  </si>
  <si>
    <t>This work was supported by the National Natural Science Foundation of China under Grant U1936103 and Grant 61921003.</t>
  </si>
  <si>
    <t>2332-7790</t>
  </si>
  <si>
    <t>IEEE T BIG DATA</t>
  </si>
  <si>
    <t>IEEE Trans. Big Data</t>
  </si>
  <si>
    <t>10.1109/TBDATA.2024.3414321</t>
  </si>
  <si>
    <t>S5U4Y</t>
  </si>
  <si>
    <t>WOS:001398867700004</t>
  </si>
  <si>
    <t>Xiao, W; Yu, BW; Zhang, HY</t>
  </si>
  <si>
    <t>Xiao, Wei; Yu, Bowen; Zhang, Hanyue</t>
  </si>
  <si>
    <t>GCHS: A Custodian-Aware Graph-Based Deep Learning Model for Intangible Cultural Heritage Recommendation</t>
  </si>
  <si>
    <t>recommender systems; graph-based deep learning; custodian-aware recommendation; attention mechanism; digital commerce personalization; intangible cultural heritage (ICH)</t>
  </si>
  <si>
    <t>NETWORK</t>
  </si>
  <si>
    <t>Digital platforms for intangible cultural heritage (ICH) function as vibrant electronic marketplaces, yet they grapple with content overload, high search costs, and under-leveraged social networks of heritage custodians. To address these electronic-commerce challenges, we present GCHS, a custodian-aware, graph-based deep learning model that enhances ICH recommendation by uniting three critical signals: custodians' social relationships, user interest profiles, and content metadata. Leveraging an attention mechanism, GCHS dynamically prioritizes influential custodians and resharing behaviors to streamline user discovery and engagement. We first characterize ICH-specific propagation patterns, e.g., custodians' social influence, heterogeneous user interests, and content co-consumption and then encode these factors within a collaborative graph framework. Evaluation on a real-world ICH dataset demonstrates that GCHS delivers improvements in Top-N recommendation accuracy over leading benchmarks and significantly outperforms in terms of next-N sequence prediction. By integrating social, cultural, and transactional dimensions, our approach not only drives more effective digital commerce interactions around heritage content but also supports sustainable cultural dissemination and stakeholder participation. This work advances electronic-commerce research by illustrating how graph-based deep learning can optimize content discovery, personalize user experience, and reinforce community networks in digital heritage ecosystems.</t>
  </si>
  <si>
    <t>[Xiao, Wei; Zhang, Hanyue] ChengDu Univ Technol, Coll Management Sci, 1 East 3 Rd,ErXian Bridge, Chengdu 610059, Peoples R China; [Yu, Bowen] Chengdu Zero One Era Technol Co Ltd, 500 Middle Sect Tianfu Ave,Dongfang Hope Tianxiang, Chengdu 610016, Peoples R China</t>
  </si>
  <si>
    <t>Chengdu University of Technology</t>
  </si>
  <si>
    <t>Xiao, W (corresponding author), ChengDu Univ Technol, Coll Management Sci, 1 East 3 Rd,ErXian Bridge, Chengdu 610059, Peoples R China.</t>
  </si>
  <si>
    <t>emily_wx05@cdut.edu.cn; yu20901@hotmail.com</t>
  </si>
  <si>
    <t>; Bowen, Yu/MFH-7462-2025</t>
  </si>
  <si>
    <t>xiao, wei/0000-0003-3449-1218;</t>
  </si>
  <si>
    <t>Key Laboratory of Digital Protection and Intelligent Sharing of Traditional Local Opera Resources (Chengdu University of Technology), Sichuan Provincial Department of Culture and Tourism [24XQZD02, 24XQYB05]; Sichuan Mineral Resources Research Center [SCKCZY2025-YB004]; Chengdu Academy of Social Sciences [2024CS116]</t>
  </si>
  <si>
    <t>Key Laboratory of Digital Protection and Intelligent Sharing of Traditional Local Opera Resources (Chengdu University of Technology), Sichuan Provincial Department of Culture and Tourism; Sichuan Mineral Resources Research Center; Chengdu Academy of Social Sciences</t>
  </si>
  <si>
    <t>This work was supported by a project grant from Chengdu Academy of Social Sciences (Grant No. 2024CS116), Key Laboratory of Digital Protection and Intelligent Sharing of Traditional Local Opera Resources (Chengdu University of Technology), Sichuan Provincial Department of Culture and Tourism (Grant No. 24XQZD02; Grant No. 24XQYB05), Sichuan Mineral Resources Research Center (Grant No. SCKCZY2025-YB004).</t>
  </si>
  <si>
    <t>OCT 15</t>
  </si>
  <si>
    <t>10.3390/info16100902</t>
  </si>
  <si>
    <t>9AL5V</t>
  </si>
  <si>
    <t>WOS:001601687600001</t>
  </si>
  <si>
    <t>Wu, LF; Wang, D; Zhang, XZ; Liu, S; Zhang, L; Chen, CW</t>
  </si>
  <si>
    <t>Wu, Lifang; Wang, Dan; Zhang, Xiuzhen; Liu, Shuang; Zhang, Lei; Chen, Chang Wen</t>
  </si>
  <si>
    <t>MLLDA: Multi-level LDA for modelling users on content curation social networks</t>
  </si>
  <si>
    <t>User profiling; Multi-Level Latent Dirichlet Allocation (MLLDA); Jensen-Shannon Divergence</t>
  </si>
  <si>
    <t>User analysis is an important part of social network analysis. Most existing studies model users separately using either user-generated contents or social links among users. In this paper we propose to model users on the Content Curation Social Network (CCSN) in a unified framework by mining User-generated contents as well as social links. We propose a latent Bayesian model Multi-level LDA (MLLDA) that represents users with latent user interests discovered from user-contributed textual description and social links formed by information sharing. We demonstrate that MLLDA can produce accurate user models for community discovery and recommendation on the CCSN.</t>
  </si>
  <si>
    <t>[Wu, Lifang; Wang, Dan; Liu, Shuang; Zhang, Lei] Beijing Univ Technol, Sch ICE Informat &amp; Commun Engn, Beijing 100124, Peoples R China; [Zhang, Xiuzhen] RMIT Univ, Sch CS &amp; IT, GPO Box 2476, Melbourne, Vic 3001, Australia; [Chen, Chang Wen] SUNY Buffalo, Dept CSE, Buffalo, NY 14260 USA</t>
  </si>
  <si>
    <t>Wu, LF (corresponding author), Beijing Univ Technol, Sch ICE Informat &amp; Commun Engn, Beijing 100124, Peoples R China.</t>
  </si>
  <si>
    <t>lfwu@bjut.edu.cn; xiasexiaoting@126.com; xiuzhen.zhang@rmit.edu.au; shuangliu@emails.bjut.edu.cn; zhangleiaurora@163.com; chencw@buffalo.edu</t>
  </si>
  <si>
    <t>Chen, Chang Wen/0000-0002-6720-234X; Zhang, Xiuzhen/0000-0001-5558-3790</t>
  </si>
  <si>
    <t>Scientific Research Key Program of Beijing Municipal Commission of Education [KZ201610005012]</t>
  </si>
  <si>
    <t>Scientific Research Key Program of Beijing Municipal Commission of Education(Beijing Municipal Commission of Education)</t>
  </si>
  <si>
    <t>The work is supported by the Scientific Research Key Program of Beijing Municipal Commission of Education under grant number KZ201610005012.</t>
  </si>
  <si>
    <t>MAY 2</t>
  </si>
  <si>
    <t>10.1016/j.neucom.2016.08.114</t>
  </si>
  <si>
    <t>EO8PO</t>
  </si>
  <si>
    <t>WOS:000396952300010</t>
  </si>
  <si>
    <t>Raghuram, MA; Akshay, K; Chandrasekaran, K</t>
  </si>
  <si>
    <t>Berretti, S; Thampi, SM; Dasgupta, S</t>
  </si>
  <si>
    <t>Raghuram, M. A.; Akshay, K.; Chandrasekaran, K.</t>
  </si>
  <si>
    <t>Efficient User Profiling in Twitter Social Network Using Traditional Classifiers</t>
  </si>
  <si>
    <t>INTELLIGENT SYSTEMS TECHNOLOGIES AND APPLICATIONS, VOL 2</t>
  </si>
  <si>
    <t>International Symposium on Intelligent Systems Technologies and Applications (ISTA)</t>
  </si>
  <si>
    <t>AUG 10-13, 2015</t>
  </si>
  <si>
    <t>SCMS Grp Inst, SCMS Sch Engn &amp; Technol, Kochi, INDIA</t>
  </si>
  <si>
    <t>SCMS Grp Inst, SCMS Sch Engn &amp; Technol</t>
  </si>
  <si>
    <t>Any discussion in social media can be fruitful if the people involved in the discussion are related to a field. In a similar way to advertise an event, it is useful to find users who are interested in the content of the event. In social networks like Twitter, which contain a large number of users, the categorization of users based on their interests will help this cause. This paper presents an efficient supervised machine learning approach which categorizes Twitter users based on three important features(Tweet-based, User-based and Time-series based) into six interest categories - Politics, Entertainment, Entrepreneurship, Journalism, Science &amp; Technology and Healthcare. We compare the proposed feature set with different traditional classifiers like Support Vector Machines, Naive-Bayes, k-Nearest Neighbours, Decision Tree and Logistic Regression, and obtain upto 89.82% accuracy in classification. We also propose a design for a real-time system for Twitter user profiling along with a prototype implementation.</t>
  </si>
  <si>
    <t>[Raghuram, M. A.; Akshay, K.; Chandrasekaran, K.] Natl Inst Technol Karnataka, Dept Comp Sci &amp; Engn, Mangalore, India</t>
  </si>
  <si>
    <t>National Institute of Technology (NIT System); National Institute of Technology Karnataka</t>
  </si>
  <si>
    <t>Raghuram, MA (corresponding author), Natl Inst Technol Karnataka, Dept Comp Sci &amp; Engn, Mangalore, India.</t>
  </si>
  <si>
    <t>mar.11co54@nitk.edu.in; akshaysaja44@gmail.com; kchnitk@ieee.org</t>
  </si>
  <si>
    <t>/AAF-3375-2019; M A, Raghuram/LDF-9577-2024</t>
  </si>
  <si>
    <t>K, Chanasekaran/0000-0002-8855-3472</t>
  </si>
  <si>
    <t>978-3-319-23258-4; 978-3-319-23257-7</t>
  </si>
  <si>
    <t>10.1007/978-3-319-23258-4_35</t>
  </si>
  <si>
    <t>BF4ZM</t>
  </si>
  <si>
    <t>WOS:000381802900035</t>
  </si>
  <si>
    <t>Carvalho, R; Silva, N; Chaves, L; Pereira, ACM; Rocha, L</t>
  </si>
  <si>
    <t>Carvalho, Rodrigo; Silva, Nicollas; Chaves, Luiz; Pereira, Adriano C. M.; Rocha, Leonardo</t>
  </si>
  <si>
    <t>Geographic-categorical diversification in POI recommendations</t>
  </si>
  <si>
    <t>WEBMEDIA 2019: PROCEEDINGS OF THE 25TH BRAZILLIAN SYMPOSIUM ON MULTIMEDIA AND THE WEB</t>
  </si>
  <si>
    <t>Portuguese</t>
  </si>
  <si>
    <t>25th Brazillian Symposium on Multimedia and the Web (WebMedia)</t>
  </si>
  <si>
    <t>OCT 29-NOV 01, 2019</t>
  </si>
  <si>
    <t>Rio de Janeiro, BRAZIL</t>
  </si>
  <si>
    <t>Nucleo Informacao Coordenacao Ponto BR,Comite Gestor Internet Brasil,CAPES,Conselho Nacl Desenvolvimento Ccientifico Tecnologico,Fundacao Carlos Chagas Filho Amparo Pesquisa Estado Rio Janeiro,IBM,Google,ACM Special Interest Grp Multi Media,ACM Special Interest Grp Hypertext &amp; Web,Brazilian Comp Soc,IBM Res,CEFET RJ,Univ Fed Fluminense,Programa Pos Graduacao Ciencia Computacao,Grp Pesquisa Multi Media,Inst Computacao,Midiacom Lab</t>
  </si>
  <si>
    <t>POI Recommendation; Diversity; Geographic Diversity</t>
  </si>
  <si>
    <t>Nowadays, Recommender Systems (RSs) have been used to help users to discover relevant Points Of Interest (POI) in Location Based Social Network (LBSN), such as Yelp and FourSquare. Due to the main challenges of data sparsity and the geographic influence in this scenario, most of works about POI recommendations has only focused on improving the system's accuracy. However, there is a consensus that just it is not enough to assess the practical effectiveness. In real scenarios, categorical and geographic diversities have been identified as key dimensions of recommendation utility. The few existing works are concentrated on just one of these concepts, singly. In this work, we propose a novel post-processing strategy to merge these concepts in order to improve the user interest in POIs. Our experimental results in Yelp datasets show that our strategy can improve users' satisfaction, considering different RS and multiple diversification metrics. Our method is able to improve the diversity up to 120% without significant accuracy losses.</t>
  </si>
  <si>
    <t>[Carvalho, Rodrigo; Chaves, Luiz; Rocha, Leonardo] Univ Fed Sao Joao del Rei, Sao Joao Del Rei, Brazil; [Silva, Nicollas; Pereira, Adriano C. M.] Univ Fed Minas Gerais, Belo Horizonte, MG, Brazil</t>
  </si>
  <si>
    <t>Universidade Federal de Sao Joao del-Rei; Universidade Federal de Minas Gerais</t>
  </si>
  <si>
    <t>Carvalho, R (corresponding author), Univ Fed Sao Joao del Rei, Sao Joao Del Rei, Brazil.</t>
  </si>
  <si>
    <t>rodrigo@ufsj.edu.br; ncsilvaa@dcc.ufmg.br; luizfufsj@ufsj.edu.br; adrianoc@dcc.ufmg.br; lcrocha@ufsj.edu.br</t>
  </si>
  <si>
    <t>de Campos Silva, Nicollas/PWF-5084-2026; Pereira, Aiano/AAA-3995-2019; Rocha, Leonardo/J-4021-2015</t>
  </si>
  <si>
    <t>Pereira, Aiano/0000-0003-2389-0512; Rocha, Leonardo/0000-0002-4913-4902; de Campos Silva, Nicollas/0000-0003-4393-3348</t>
  </si>
  <si>
    <t>978-1-4503-6763-9</t>
  </si>
  <si>
    <t>10.1145/3323503.3349554</t>
  </si>
  <si>
    <t>BP5OU</t>
  </si>
  <si>
    <t>WOS:000557314100059</t>
  </si>
  <si>
    <t>Perozzi, B; Skiena, S</t>
  </si>
  <si>
    <t>Perozzi, Bryan; Skiena, Steven</t>
  </si>
  <si>
    <t>Exact Age Prediction in Social Networks</t>
  </si>
  <si>
    <t>WWW'15 COMPANION: PROCEEDINGS OF THE 24TH INTERNATIONAL CONFERENCE ON WORLD WIDE WEB</t>
  </si>
  <si>
    <t>24th International Conference on World Wide Web (WWW)</t>
  </si>
  <si>
    <t>MAY 18-22, 2015</t>
  </si>
  <si>
    <t>Florence, ITALY</t>
  </si>
  <si>
    <t>Assoc Comp Machinery,Int World Wide Web Conf Steering Comm,ACM SIGWEB</t>
  </si>
  <si>
    <t>Social Networks; Network Regression; Latent Representations; User Profiling</t>
  </si>
  <si>
    <t>Predicting accurate demographic information about the users of information systems is a problem of interest in personalized search, ad targeting, and other related fields. Despite such broad applications, most existing work only considers age prediction as one of classification, typically into only a few broad categories. Here, we consider the problem of exact age prediction in social networks as one of regression. Our proposed method learns social representations which capture community information for use as covariates. In our preliminary experiments on a large real-world social network, it can predict age within 4.15 years on average, strongly outperforming standard network regression techniques when labeled data is sparse.</t>
  </si>
  <si>
    <t>[Perozzi, Bryan; Skiena, Steven] SUNY Stony Brook, Dept Comp Sci, Stony Brook, NY 11794 USA</t>
  </si>
  <si>
    <t>State University of New York (SUNY) System; Stony Brook University</t>
  </si>
  <si>
    <t>Perozzi, B (corresponding author), SUNY Stony Brook, Dept Comp Sci, Stony Brook, NY 11794 USA.</t>
  </si>
  <si>
    <t>bperozzi@cs.stonybrook.edu; skiena@cs.stonybrook.edu</t>
  </si>
  <si>
    <t>978-1-4503-3473-0</t>
  </si>
  <si>
    <t>10.1145/2740908.2742765</t>
  </si>
  <si>
    <t>BF5US</t>
  </si>
  <si>
    <t>WOS:000382666600045</t>
  </si>
  <si>
    <t>Rotgans, JI; Schmidt, HG</t>
  </si>
  <si>
    <t>Rotgans, Jerome I.; Schmidt, Henk G.</t>
  </si>
  <si>
    <t>How individual interest influences situational interest and how both are related to knowledge acquisition: A microanalytical investigation</t>
  </si>
  <si>
    <t>Active learning; individual interest; instructional problems; problem-based learning; situational interest</t>
  </si>
  <si>
    <t>SEDUCTIVE DETAILS; STUDENTS; SCHOOL; ACHIEVEMENT; MOTIVATION; RECALL; TEXTS</t>
  </si>
  <si>
    <t>The extent to which a student experiences situational interest during a learning task is dependent on at least two factors: (1) external stimuli in the learning environment that arouse interest and (2) internal dispositions, such as individual interest. The objective of the present study was to disentangle how both factors influence situational interest during task engagement. Two data sets were collected from primary school science (N = 186) and secondary school history students (N = 71). Path analysis was used to examine the influence of individual interest on seven situational interest measurements and knowledge acquisition. The results suggest that individual interest has only a significant influence on situational interest at the beginning of a task and then its influence fades. In addition, individual interest is not a significant predictor of learning. Only situational interest predicts knowledge acquisition. Implications of these findings for interest research are discussed.</t>
  </si>
  <si>
    <t>[Rotgans, Jerome I.] Nanyang Technol Univ, Lee Kong Chian Sch Med, 11 Mandalay Rd, Singapore 308232, Singapore; [Schmidt, Henk G.] Erasmus Univ, Inst Psychol, Rotterdam, Netherlands</t>
  </si>
  <si>
    <t>Nanyang Technological University; Erasmus University Rotterdam - Excl Erasmus MC; Erasmus University Rotterdam</t>
  </si>
  <si>
    <t>Rotgans, JI (corresponding author), Nanyang Technol Univ, Lee Kong Chian Sch Med, 11 Mandalay Rd, Singapore 308232, Singapore.</t>
  </si>
  <si>
    <t>rotgans@gmail.com</t>
  </si>
  <si>
    <t>Rotgans, Jerome/A-2788-2010; Schmidt, Henk G/A-3410-2012</t>
  </si>
  <si>
    <t>Rotgans, Jerome/0000-0003-4043-8261; Schmidt, Henk G/0000-0001-8706-0978</t>
  </si>
  <si>
    <t>National Institute of Education (Nanyang Technological University) Singapore [ERFP, OER56/12IJR]</t>
  </si>
  <si>
    <t>National Institute of Education (Nanyang Technological University) Singapore(Nanyang Technological University)</t>
  </si>
  <si>
    <t>Part of this study was funded by the National Institute of Education (Nanyang Technological University) Singapore (Grant No. ERFP Grant No: OER56/12IJR).</t>
  </si>
  <si>
    <t>10.1080/00220671.2017.1310710</t>
  </si>
  <si>
    <t>GJ9HD</t>
  </si>
  <si>
    <t>Green Submitted, Green Published</t>
  </si>
  <si>
    <t>WOS:000435709200002</t>
  </si>
  <si>
    <t>Eissa, AHB; El-Sharkawi, ME; Mokhtar, HMO</t>
  </si>
  <si>
    <t>Soc Digital Informat &amp; Wireless Commun</t>
  </si>
  <si>
    <t>Eissa, Amani H. B.; El-Sharkawi, Mohamed E.; Mokhtar, Hoda M. O.</t>
  </si>
  <si>
    <t>Constructing Topic Hierarchy Tree for User Interests From Multiple Knowledge Bases</t>
  </si>
  <si>
    <t>FIFTH INTERNATIONAL CONFERENCE ON INFORMATICS AND APPLICATIONS (ICIA2016)</t>
  </si>
  <si>
    <t>5th International Conference on Informatics and Applications (ICIA)</t>
  </si>
  <si>
    <t>NOV 14-16, 2016</t>
  </si>
  <si>
    <t>Takamatsu, JAPAN</t>
  </si>
  <si>
    <t>Knowledge Bases; Social Networks; Topic Hierarchy; Topic Identification</t>
  </si>
  <si>
    <t>Many applications benefit from discovering and analyzing the topics of interest of social network users such as recommender systems. In this paper, we propose a methodology for building a topic hierarchy tree for user interests solicited from multiple knowledge bases. Different tree levels indicate different degree of abstraction, where topics are at the higher nodes and subtopics at the children nodes, i.e. leaf nodes are at the lowest level of abstraction. For each node, we aim to generate a diverse list of keywords that we call XWords lists; that contain list of words from which we can infer the node's topic(s), we call these words: Topic Indicating Words (TIW). These TIWs are used for topic identification of users' posts. To build the hierarchy we explore some of the available knowledge bases; namely, WordNet, Wikipedia and Directory Mozilla (DMoz) and integrate topics from those knowledge bases to build a complete topic tree for users' interests.</t>
  </si>
  <si>
    <t>[Eissa, Amani H. B.; El-Sharkawi, Mohamed E.; Mokhtar, Hoda M. O.] Cairo Univ, Fac Comp &amp; Informat, Dept Informat Syst, Cairo, Egypt</t>
  </si>
  <si>
    <t>Eissa, AHB (corresponding author), Cairo Univ, Fac Comp &amp; Informat, Dept Informat Syst, Cairo, Egypt.</t>
  </si>
  <si>
    <t>a.hassan@fci-cu.edu.eg; m.elsharkawi@fci-cu.edu.eg; h.mokhtar@fci-cu.edu.eg</t>
  </si>
  <si>
    <t>/ABC-7225-2020</t>
  </si>
  <si>
    <t>SOC DIGITAL INFORMATION &amp; WIRELESS COMMUNICATIONS</t>
  </si>
  <si>
    <t>KOWLOON</t>
  </si>
  <si>
    <t>MIRAMAR TOWER, 132 NATHAN RD, TSIM SHA TSUI, KOWLOON, 00000, HONG KONG</t>
  </si>
  <si>
    <t>978-1-941968-41-3</t>
  </si>
  <si>
    <t>BG5TZ</t>
  </si>
  <si>
    <t>WOS:000389759800016</t>
  </si>
  <si>
    <t>Tatiana, S; Hanna, J; Kristiina, M; Jouni, P; Sanna, J</t>
  </si>
  <si>
    <t>Tatiana, Shubina; Hanna, Jarvenoja; Kristiina, Manty; Jouni, Peltonen; Sanna, Jarvela</t>
  </si>
  <si>
    <t>The Changes in Lower Secondary School Students' Interest During Collaborative Learning</t>
  </si>
  <si>
    <t>SCANDINAVIAN JOURNAL OF EDUCATIONAL RESEARCH</t>
  </si>
  <si>
    <t>Situational interest; emotional valence; individual interest; collaborative learning; motivation</t>
  </si>
  <si>
    <t>SITUATIONAL INTEREST; ACADEMIC-ACHIEVEMENT; INDIVIDUAL INTEREST; SELF-EFFICACY; EMOTIONS; MOTIVATION; KNOWLEDGE; SCIENCE; GROWTH; MODEL</t>
  </si>
  <si>
    <t>This study explored the situational interest and emotional valence of 13-year-old students (N = 94) participating in a five-session science course. The relationship between students' situational interest and emotional valence and their individual interest was also studied. During each session, students participated in a collaborative learning task. Before and after each task, students' situational interest and emotional valence were measured through a single-item self-report questionnaire. Individual interest was measured by the Task Interest Inventory scale at the beginning of the course. Students showed increasing levels of emotional valence after each collaborative learning task; however, they only reported significantly higher situational interest after the first task. Furthermore, the relationship between students' emotional valence and their individual interest frequently decreased after collaborative learning tasks. The findings suggest that collaborative learning could be a potential factor in changing situational interest. Areas for further research are provided.</t>
  </si>
  <si>
    <t>[Tatiana, Shubina; Hanna, Jarvenoja; Kristiina, Manty; Jouni, Peltonen; Sanna, Jarvela] Univ Oulu, Dept Educ Sci &amp; Teacher Educ, Oulu, Finland</t>
  </si>
  <si>
    <t>University of Oulu</t>
  </si>
  <si>
    <t>Tatiana, S (corresponding author), Univ Oulu, Dept Educ Sci &amp; Teacher Educ, Oulu, Finland.</t>
  </si>
  <si>
    <t>tatiana.shubina@oulu.fi</t>
  </si>
  <si>
    <t>Shubina, Tatiana/HRC-9259-2023; Mänty, Kristiina/AAX-6476-2021</t>
  </si>
  <si>
    <t>Shubina, Tatiana/0000-0002-6684-3102; Järvelä, Sanna/0000-0001-6223-3668; Mänty, Kristiina/0000-0003-0538-8860</t>
  </si>
  <si>
    <t>Academy of Finland [297686]; Academy of Finland (AKA) [297686] Funding Source: Academy of Finland (AKA)</t>
  </si>
  <si>
    <t>Academy of Finland(Research Council of Finland); Academy of Finland (AKA)(Research Council of Finland)</t>
  </si>
  <si>
    <t>This work was suported by Academy of Finland under Grant number 297686.</t>
  </si>
  <si>
    <t>0031-3831</t>
  </si>
  <si>
    <t>1470-1170</t>
  </si>
  <si>
    <t>SCAND J EDUC RES</t>
  </si>
  <si>
    <t>Scand. J. Educ. Res.</t>
  </si>
  <si>
    <t>NOV 10</t>
  </si>
  <si>
    <t>10.1080/00313831.2021.1958377</t>
  </si>
  <si>
    <t>JUL 2021</t>
  </si>
  <si>
    <t>6E2EO</t>
  </si>
  <si>
    <t>WOS:000680725500001</t>
  </si>
  <si>
    <t>Cheng, SL; Zhang, BF; Zou, GB; Huang, MQ; Zhang, Z</t>
  </si>
  <si>
    <t>Cheng, Shulin; Zhang, Bofeng; Zou, Guobing; Huang, Mingqing; Zhang, Zhu</t>
  </si>
  <si>
    <t>Friend recommendation in social networks based on multi-source information fusion</t>
  </si>
  <si>
    <t>INTERNATIONAL JOURNAL OF MACHINE LEARNING AND CYBERNETICS</t>
  </si>
  <si>
    <t>Recommender system; Social networks; Friend recommendation; Information fusion; D-S evidence theory</t>
  </si>
  <si>
    <t>COLLABORATIVE FILTERING FRAMEWORK; LINK-PREDICTION; BIG DATA; SYSTEMS; USERS</t>
  </si>
  <si>
    <t>Friend recommendation (FR) in social networks has been widely studied in recent years, which mainly focuses on social relationships and user interests. Friend of Friend method is one representative. However, the disadvantage is that most of existing solutions ignored other valuable information, such as user profile, location, influence and indirect trust. In fact, being friends among users is either determined by one or two dominant factors that originate from varying information sources, or the results of multiple main factors gaming. Motivated by the observations above, we propose a scalable FR framework in social networks, where multiple sources have been integrated based on improved D-S evidence theory. More specifically, we first analyzed 7 valuable information sources and categorized them into three classes, including Personal Features, Network Structure Features and Social Features. Furthermore, we also propose a fusion recommendation framework based on D-S evidence theory which embodies the minimal conflicts among evidences. In the proposed method, we first optimize the framework by importance degree and reliability of evidence based on original D-S evidence theory. Then, we designed a novel BPA evidence function by quantifying the evidence, where each evidence measures the relevance of forming friends among users. Finally, we describe the fusion FR algorithm plugged into our recommendation framework. The experiments on real-world dataset show that our proposed approach outperforms the other state-of-the-art algorithms on five evaluation metrics. The experimental results demonstrate the effectiveness of fusing multi-source information for FR in social networks.</t>
  </si>
  <si>
    <t>[Cheng, Shulin; Zhang, Bofeng; Zou, Guobing; Huang, Mingqing; Zhang, Zhu] Shanghai Univ, Sch Comp Engn &amp; Sci, Shanghai 200444, Peoples R China; [Cheng, Shulin] Anqing Normal Univ, Sch Comp &amp; Informat, Anqing 246133, Peoples R China</t>
  </si>
  <si>
    <t>Shanghai University; Anqing Normal University</t>
  </si>
  <si>
    <t>Zhang, BF; Zou, GB (corresponding author), Shanghai Univ, Sch Comp Engn &amp; Sci, Shanghai 200444, Peoples R China.</t>
  </si>
  <si>
    <t>bfzhang@shu.edu.cn; guobingzou@gmail.com</t>
  </si>
  <si>
    <t>Cheng, Shulin/HGU-7766-2022</t>
  </si>
  <si>
    <t>Cheng, Shulin/0000-0002-3744-6335</t>
  </si>
  <si>
    <t>Outstanding Young Talents Program in colleges and universities of Anhui Province [gxyqZD2018060]</t>
  </si>
  <si>
    <t>Outstanding Young Talents Program in colleges and universities of Anhui Province</t>
  </si>
  <si>
    <t>We would like to thank all of the anonymous reviewers for their insightful comments and useful suggestions that must lead to a much higher quality of our manuscript. This work was partially supported by the Outstanding Young Talents Program in colleges and universities of Anhui Province (Grant No. gxyqZD2018060).</t>
  </si>
  <si>
    <t>1868-8071</t>
  </si>
  <si>
    <t>1868-808X</t>
  </si>
  <si>
    <t>INT J MACH LEARN CYB</t>
  </si>
  <si>
    <t>Int. J. Mach. Learn. Cybern.</t>
  </si>
  <si>
    <t>10.1007/s13042-017-0778-1</t>
  </si>
  <si>
    <t>HU9EH</t>
  </si>
  <si>
    <t>WOS:000465596100015</t>
  </si>
  <si>
    <t>Cheng, JJ; Zhang, YC; Zhou, X; Cheng, H</t>
  </si>
  <si>
    <t>Cheng, Jun Jun; Zhang, Yan Chao; Zhou, Xin; Cheng, Hui</t>
  </si>
  <si>
    <t>Extracting Influential Nodes in Social Networks on Local Weight Aspect</t>
  </si>
  <si>
    <t>INTERNATIONAL JOURNAL OF INTERDISCIPLINARY TELECOMMUNICATIONS AND NETWORKING</t>
  </si>
  <si>
    <t>Influential Nodes Extraction; Local Weight Index; Social Networks; Ties Strength</t>
  </si>
  <si>
    <t>Studies have shown that influential nodes play an important role in all kinds of dynamic behavior in the complex network. Excavation or recognition of such nodes contributes to the development of application areas such as social network advertising and user interest recommendation. Although some heuristic algorithms such as degree, betweenness, closeness and k-shell (or k-core) can identify influential nodes at the same time, they are disadvantaged in terms of accuracy and time complexity. Based on this, the authors propose a novel local weight index to distinguish the node influence based on the theory of ties strength. This index emphasizes that the node influence is jointly decided by the quantity and quality of the neighbors, and its time complexity is much lower than closeness and betweenness. With the aid of SIR information transmission model, this paper verifies the validity of local weight index.</t>
  </si>
  <si>
    <t>[Cheng, Jun Jun; Zhou, Xin] China Informat Technol Secur Evaluat Ctr, Beijing, Peoples R China; [Zhang, Yan Chao] China Acad Informat &amp; Commun Technol, Inst ICT Secur Res, Beijing, Peoples R China; [Cheng, Hui] State Grid Qingdao Power Supply Co, Qingdao, Peoples R China</t>
  </si>
  <si>
    <t>China Academy of Information &amp; Communication Technology</t>
  </si>
  <si>
    <t>Cheng, JJ (corresponding author), China Informat Technol Secur Evaluat Ctr, Beijing, Peoples R China.</t>
  </si>
  <si>
    <t>State Natural Sciences Fund [61401015]</t>
  </si>
  <si>
    <t>State Natural Sciences Fund(National Natural Science Foundation of China (NSFC))</t>
  </si>
  <si>
    <t>This work was partially supported by the State Natural Sciences Fund under Grant 61401015.</t>
  </si>
  <si>
    <t>IGI GLOBAL</t>
  </si>
  <si>
    <t>HERSHEY</t>
  </si>
  <si>
    <t>701 E CHOCOLATE AVE, STE 200, HERSHEY, PA 17033-1240 USA</t>
  </si>
  <si>
    <t>1941-8663</t>
  </si>
  <si>
    <t>1941-8671</t>
  </si>
  <si>
    <t>INT J INTERDISCIP TE</t>
  </si>
  <si>
    <t>Int. J. Interdiscip. Telecommun. Netw.</t>
  </si>
  <si>
    <t>APR-JUN</t>
  </si>
  <si>
    <t>10.4018/IJITN.2016040103</t>
  </si>
  <si>
    <t>Telecommunications</t>
  </si>
  <si>
    <t>EY6FP</t>
  </si>
  <si>
    <t>WOS:000404078200004</t>
  </si>
  <si>
    <t>Narmawala, Z; Srivastava, S</t>
  </si>
  <si>
    <t>Vig, J; Roy, AK; Wang, CG; Das, ML</t>
  </si>
  <si>
    <t>Narmawala, Zunnun; Srivastava, Sanjay</t>
  </si>
  <si>
    <t>Scalable Micro-blogging in Mobile Social Communities</t>
  </si>
  <si>
    <t>2015 IEEE REGION 10 SYMPOSIUM (TENSYMP)</t>
  </si>
  <si>
    <t>IEEE Region 10 Symposium</t>
  </si>
  <si>
    <t>IEEE Region 10 Symposium (TENSYMP)</t>
  </si>
  <si>
    <t>MAY 13-15, 2015</t>
  </si>
  <si>
    <t>Ahmedabad, INDIA</t>
  </si>
  <si>
    <t>CPS,IEEE COMP SOC</t>
  </si>
  <si>
    <t>Micro-blogging in Mobile Social Network can be very successful because of spatiotemporal properties of user interests and generated messages. Users can follow their interests and receive messages of their interests without getting overwhelmed instead of having to identify and follow users having similar interests. We propose a distributed and scalable micro-blogging protocol which exploits community structure and heterogeneous popularity of nodes. Control messages across communities are restricted by aggregating control information and by limiting storage of state information at hub/gateway nodes. The protocol dynamically estimates distance up to which interest in the message is high and restricts message forwarding accordingly. Simulation results show that our protocol performs far better than existing protocol. We also propose three novel models to generate user interest profiles synthetically.</t>
  </si>
  <si>
    <t>[Narmawala, Zunnun] Nirma Univ, Inst Technol, Ahmadabad, Gujarat, India; [Srivastava, Sanjay] Dhirubhai Ambani Inst Informat &amp; Commun Technol, Gandhinagar, Gujarat, India</t>
  </si>
  <si>
    <t>Nirma University; Dhirubhai Ambani Institute of Information &amp; Communication Technology</t>
  </si>
  <si>
    <t>Narmawala, Z (corresponding author), Nirma Univ, Inst Technol, Ahmadabad, Gujarat, India.</t>
  </si>
  <si>
    <t>zunnun80@gmail.com; sanjay_srivastava@daiict.ac.in</t>
  </si>
  <si>
    <t>Srivastava, Sanjay/JTV-1746-2023; Narmawala, Zunnun/JCE-5504-2023</t>
  </si>
  <si>
    <t>Narmawala, Zunnun/0000-0002-2461-9866</t>
  </si>
  <si>
    <t>2640-821X</t>
  </si>
  <si>
    <t>978-1-4799-1782-2</t>
  </si>
  <si>
    <t>IEEE REGION 10 SYMP</t>
  </si>
  <si>
    <t>10.1109/TENSYMP.2015.15</t>
  </si>
  <si>
    <t>BF3AM</t>
  </si>
  <si>
    <t>WOS:000380516300017</t>
  </si>
  <si>
    <t>Zhao, Q; Huang, JY; Liu, G; Miao, YR; Wang, PW</t>
  </si>
  <si>
    <t>Zhao, Qin; Huang, Jingyi; Liu, Gang; Miao, Yaru; Wang, Pengwei</t>
  </si>
  <si>
    <t>A Multiinterest and Social Interest-Field Framework for Financial Security</t>
  </si>
  <si>
    <t>Social networking (online); Feature extraction; Behavioral sciences; Security; Recommender systems; Matrix decomposition; Fraud; Capsule network; dynamic routing (DR); multiinterest; recommender system; social recommendation</t>
  </si>
  <si>
    <t>Online payment has become an influential method of transaction. While improving convenience, this method of payment also brings great financial risks. Prevalidating transactions can be effective in reducing the number of frauds. For this reason, recommendation algorithms have been introduced to measure the credibility of transactions by predicting users' ratings of items. However, most algorithms deal with the relationships in social networks without distinction, mixing positive and negative information into the recommender system, which brings huge noise. And, they only generate a single interest representation for each user to measure the similarity between users and spread interest, ignoring the diversity of user interests. Moreover, they did not consider the propagation of different interests would be different. In this article, we propose a multiinterest and social interest-field framework (MISIF) for social recommendations in financial security, which introduces capsule networks into social recommendation and extends the traditional single-interest representation to user multiinterest embedding by dynamic routing (DR) and other methods to improve the expressiveness of user embedding. After that, we construct social interest fields to integrate social interests based on multiinterest embedding, which alleviates the noise in social networks and user data sparsity problems. Finally, we aggregate user multiinterest embedding and additional information through neural networks to obtain the final prediction scores. Experiments with three publicly available datasets show that our proposed MISIF framework outperforms the state-of-the-art social recommendation methods.</t>
  </si>
  <si>
    <t>[Zhao, Qin; Huang, Jingyi; Liu, Gang; Miao, Yaru] Shanghai Normal Univ, Dept Comp Sci, Shanghai 201418, Peoples R China; [Wang, Pengwei] Donghua Univ, Sch Comp Sci &amp; Technol, Shanghai 201620, Peoples R China</t>
  </si>
  <si>
    <t>Shanghai Normal University; Donghua University</t>
  </si>
  <si>
    <t>Liu, G (corresponding author), Shanghai Normal Univ, Dept Comp Sci, Shanghai 201418, Peoples R China.;Wang, PW (corresponding author), Donghua Univ, Sch Comp Sci &amp; Technol, Shanghai 201620, Peoples R China.</t>
  </si>
  <si>
    <t>1000497625@smail.shnu.edu.cn; wangpengwei@dhu.edu.cn</t>
  </si>
  <si>
    <t>Zhao, Qin/JAN-6336-2023; Wang, Pengwei/ABD-4257-2021; Liu, Gang/GXG-4269-2022</t>
  </si>
  <si>
    <t>Zhao, Qin/0000-0001-7579-2004; Huang, Jingyi/0009-0001-9443-5843; Wang, Pengwei/0000-0002-5667-3488;</t>
  </si>
  <si>
    <t>National Natural Science Foundation of China [61702333]; Opening Topic of the Key Laboratory of Embedded Systems and Service Computing of the Ministry of Education [ESSCKF 2019-03]; Key Innovation Group of Digital Humanities Resource and Research of Shanghai Municipal Education Commission; Natural Science Foundation of Shanghai [20ZR1455600]</t>
  </si>
  <si>
    <t>National Natural Science Foundation of China(National Natural Science Foundation of China (NSFC)); Opening Topic of the Key Laboratory of Embedded Systems and Service Computing of the Ministry of Education; Key Innovation Group of Digital Humanities Resource and Research of Shanghai Municipal Education Commission; Natural Science Foundation of Shanghai(Natural Science Foundation of Shanghai)</t>
  </si>
  <si>
    <t>This work was supported in part by the National Natural Science Foundation of China under Grant 61702333, in part by the Opening Topic of the Key Laboratory of Embedded Systems and Service Computing of the Ministry of Education under Grant ESSCKF 2019-03, in part by the Key Innovation Group of Digital Humanities Resource and Research of Shanghai Municipal Education Commission, and in part by the Natural Science Foundation of Shanghai under Grant 20ZR1455600.</t>
  </si>
  <si>
    <t>10.1109/TCSS.2023.3252611</t>
  </si>
  <si>
    <t>MAR 2023</t>
  </si>
  <si>
    <t>TY0F2</t>
  </si>
  <si>
    <t>WOS:000958809600001</t>
  </si>
  <si>
    <t>Wang, J; Hong, Y; Wang, K; Yao, JM; Zhu, QM</t>
  </si>
  <si>
    <t>Chen, WL; Ma, B; Zhang, M; Lu, YF; Dong, MH</t>
  </si>
  <si>
    <t>Wang, Jian; Hong, Yu; Wang, Kai; Yao, Jianmin; Zhu, Qiaoming</t>
  </si>
  <si>
    <t>Correlation analysis between Social Network Content and Query Intention</t>
  </si>
  <si>
    <t>PROCEEDINGS OF 2015 INTERNATIONAL CONFERENCE ON ASIAN LANGUAGE PROCESSING</t>
  </si>
  <si>
    <t>International Conference on Asian Language Processing</t>
  </si>
  <si>
    <t>Proceedings of International Conference on Asian Language Processing</t>
  </si>
  <si>
    <t>OCT 24-25, 2015</t>
  </si>
  <si>
    <t>Social Network; Query Intention; Correlation Analysis</t>
  </si>
  <si>
    <t>Social network contains large amounts of user interests and preferences which may therefore help improve techniques for information retrieval, such as user profile construction and query expansion. By the manual annotation, we find that query intention normally consists of several retrieval behaviors and a certain number of social network behaviors. This paper argues that a user's query intention has a strong correlation with the corresponding social network contents, which focuses on two aspects. First, we analyze the proportion of social network websites in users' retrieval records, and evaluate the degree of relationship between information retrieval behavior and social network behavior from a statistic perspective. Second, a similarity between the two components of query intention, retrieval content and social network content, is calculated employing a topic model to measure the correlation of them from a semantic perspective. The evaluation on a ground-truth data of retrieval records indicates that a long-term retrieval procedure is usually accompanied with accessing social network websites. More importantly, the experimental results show that more than 54% of the content from social network has a strong correlation with users' query intention.</t>
  </si>
  <si>
    <t>[Wang, Jian; Hong, Yu; Wang, Kai; Yao, Jianmin; Zhu, Qiaoming] Soochow Univ, Sch Comp Sci &amp; Technol, Suzhou, Peoples R China</t>
  </si>
  <si>
    <t>Soochow University - China</t>
  </si>
  <si>
    <t>Wang, J (corresponding author), Soochow Univ, Sch Comp Sci &amp; Technol, Suzhou, Peoples R China.</t>
  </si>
  <si>
    <t>sudawangjian@gmail.com; tianxianer@gmail.com; wangkainlp@gmail.com; jmyao@szkj.gov.cn; qmzhu@suda.edu.cn</t>
  </si>
  <si>
    <t>2159-1962</t>
  </si>
  <si>
    <t>2159-1970</t>
  </si>
  <si>
    <t>978-1-4673-9596-0</t>
  </si>
  <si>
    <t>INT CONF ASIAN LANG</t>
  </si>
  <si>
    <t>BF1QL</t>
  </si>
  <si>
    <t>WOS:000380428000028</t>
  </si>
  <si>
    <t>Si, HY; Zhou, JY; Chen, ZH; Wan, J; Xiong, NN; Zhang, W; Vasilakos, AV</t>
  </si>
  <si>
    <t>Si, Huayou; Zhou, Jiayong; Chen, Zhihui; Wan, Jian; Xiong, Neal N.; Zhang, Wei; Vasilakos, Athanasios V.</t>
  </si>
  <si>
    <t>Association Rules Mining Among Interests and Applications for Users on Social Networks</t>
  </si>
  <si>
    <t>Interests; correlation analysis; association rules; interest mining</t>
  </si>
  <si>
    <t>INFORMATION; MODEL; RECOMMENDATION; SYSTEMS; TOPICS</t>
  </si>
  <si>
    <t>Interest is an important concept in psychology and pedagogy and is widely studied in many fields. Especially in recent years, the widespread use of many interest-based recommendation systems has greatly promoted research on interest modeling and mining on social networks. However, the existing studies have rarely tried to explore the relationships among interests and their application value, and most similar studies analyze user behavior data. In this paper, we propose and verify two hypotheses about the interests of social network users. We then use association rules to mine users' interests from LinkedIn users' profiles. Finally, based on the interest association rules and user interest distribution on Twitter, we design an approach to mine interests for Twitter users and conduct two experiments to systematically demonstrate the approach's effectiveness. According to our research, we found that there are a large number of association rules between human interests. These rules play a considerable role in our method of interest mining. Our research work not only provides new ideas for interest mining but also reveals the internal relationship between interest and its application value. The research work has certain theoretical and practical value.</t>
  </si>
  <si>
    <t>[Si, Huayou; Zhou, Jiayong; Chen, Zhihui; Wan, Jian; Zhang, Wei] Hangzhou Dianzi Univ, Sch Comp Sci &amp; Technol, Hangzhou 310018, Zhejiang, Peoples R China; [Si, Huayou; Zhou, Jiayong; Chen, Zhihui; Wan, Jian; Zhang, Wei] Minist Educ, Key Lab Complex Syst Modeling &amp; Simulat, Hangzhou 310018, Zhejiang, Peoples R China; [Xiong, Neal N.] Northeastern State Univ, Dept Math &amp; Comp Sci, Tahlequah, OK 74464 USA; [Vasilakos, Athanasios V.] Fuzhou Univ, Coll Math &amp; Comp Sci, Fuzhou 350116, Fujian, Peoples R China</t>
  </si>
  <si>
    <t>Hangzhou Dianzi University; Northeastern State University; Fuzhou University</t>
  </si>
  <si>
    <t>Wan, J (corresponding author), Hangzhou Dianzi Univ, Sch Comp Sci &amp; Technol, Hangzhou 310018, Zhejiang, Peoples R China.;Wan, J (corresponding author), Minist Educ, Key Lab Complex Syst Modeling &amp; Simulat, Hangzhou 310018, Zhejiang, Peoples R China.;Xiong, NN (corresponding author), Northeastern State Univ, Dept Math &amp; Comp Sci, Tahlequah, OK 74464 USA.</t>
  </si>
  <si>
    <t>wanjian@zust.edu.cn; xiongnaixue@gmail.com</t>
  </si>
  <si>
    <t>xiong, naixue/M-4277-2019; Vasilakos, Athanasios/J-2824-2017</t>
  </si>
  <si>
    <t>xiong, naixue/0000-0002-0394-4635; Vasilakos, Athanasios/0000-0003-1902-9877</t>
  </si>
  <si>
    <t>National Natural Science Foundation of China [61472112, 61502129]; Key R&amp;D Program of Zhejiang Science and Technology Department [2017C03047]</t>
  </si>
  <si>
    <t>National Natural Science Foundation of China(National Natural Science Foundation of China (NSFC)); Key R&amp;D Program of Zhejiang Science and Technology Department</t>
  </si>
  <si>
    <t>This work was supported in part by the National Natural Science Foundation of China under Grants No. 61472112 and No. 61502129, and the Key R&amp;D Program of Zhejiang Science and Technology Department under Grant 2017C03047.</t>
  </si>
  <si>
    <t>10.1109/ACCESS.2019.2925819</t>
  </si>
  <si>
    <t>IV4FY</t>
  </si>
  <si>
    <t>WOS:000484230200036</t>
  </si>
  <si>
    <t>Calvaresi, D; Calbimonte, JP; Dubosson, F; Najjar, A; Schumacher, M</t>
  </si>
  <si>
    <t>Barnaghi, P; Gottlob, G; Manolopoulos, Y; Tzouramanis, T; Vakali, A</t>
  </si>
  <si>
    <t>Calvaresi, Davide; Calbimonte, Jean-Paul; Dubosson, Fabien; Najjar, Amro; Schumacher, Michael</t>
  </si>
  <si>
    <t>Social Network Chatbots for Smoking Cessation: Agent and Multi-Agent Frameworks</t>
  </si>
  <si>
    <t>2019 IEEE/WIC/ACM INTERNATIONAL CONFERENCE ON WEB INTELLIGENCE (WI 2019)</t>
  </si>
  <si>
    <t>19th IEEE/WIC/ACM International Conference on Web Intelligence (WI)</t>
  </si>
  <si>
    <t>OCT 13-17, 2019</t>
  </si>
  <si>
    <t>Thessaloniki, GREECE</t>
  </si>
  <si>
    <t>IEEE,WIC,Assoc Comp Machinery,Aristotle Univ Thessaloniki,Open Univ Cyprus</t>
  </si>
  <si>
    <t>MAS; agent-based chatbots; smoking cessation</t>
  </si>
  <si>
    <t>Asynchronous messaging is leading human-machine interaction due to the boom of mobile devices and social networks. The recent release of dedicated APIs from messaging platforms boosted the development of computer programs able to conduct conversations, (i.e., chatbots), which have been adopted in several domain-specific contexts. This paper proposes SMAG: a chatbot framework supporting a smoking cessation program (JDF) deployed on a social network. In particular, it details the single-agent implementation, the campaign results, a multi-agent design for SMAG enabling the modelization of personalized behavior and user profiling, and highlighting of coupling chatbot technology with and multi-agent systems.</t>
  </si>
  <si>
    <t>[Calvaresi, Davide; Calbimonte, Jean-Paul; Dubosson, Fabien; Schumacher, Michael] HES SO Valais Wallis, Sierre, Switzerland; [Najjar, Amro] Luxembourg Univ, Luxembourg, Luxembourg</t>
  </si>
  <si>
    <t>University of Applied Sciences &amp; Arts Western Switzerland; University of Luxembourg</t>
  </si>
  <si>
    <t>Calvaresi, D (corresponding author), HES SO Valais Wallis, Sierre, Switzerland.</t>
  </si>
  <si>
    <t>davide.calvaresi@hevs.ch; jean-paul.calbimonte@hevs.ch; fabien.dubosson@hevs.ch; amro.najjar@uni.lu; michael.schumacher@hevs.ch</t>
  </si>
  <si>
    <t>; Calbimonte, Jean-Paul/AAW-6802-2021; Calvaresi, Davide/ABC-9502-2020</t>
  </si>
  <si>
    <t>Schumacher, Michael Ignaz/0000-0002-5123-5075; Calbimonte, Jean-Paul/0000-0002-0364-6945; Calvaresi, Davide/0000-0001-9816-7439</t>
  </si>
  <si>
    <t>978-1-4503-6934-3</t>
  </si>
  <si>
    <t>10.1145/3350546.3352532</t>
  </si>
  <si>
    <t>BO5YE</t>
  </si>
  <si>
    <t>WOS:000519076200039</t>
  </si>
  <si>
    <t>Phan, HP; Ngu, BH</t>
  </si>
  <si>
    <t>Phan, Huy P.; Ngu, Bing H.</t>
  </si>
  <si>
    <t>An examination of social and psychological influences on academic learning: a focus on self-esteem, social relationships, and personal interest</t>
  </si>
  <si>
    <t>SOCIAL PSYCHOLOGY OF EDUCATION</t>
  </si>
  <si>
    <t>Enactive learning experience; Self-esteem; Social relationships; Personal interest in learning tasks</t>
  </si>
  <si>
    <t>EFFORT ATTRIBUTIONAL FEEDBACK; TEACHER-STUDENT RELATIONSHIPS; EFFICACY BELIEFS; SECONDARY-EDUCATION; CHILD RELATIONSHIPS; PEER RELATIONSHIPS; SCHOOL ENGAGEMENT; ACHIEVEMENT GOALS; MEDIATING ROLE; MOTIVATION</t>
  </si>
  <si>
    <t>The present study focused on an examination of both global and domain-specific self-esteems in secondary mathematics learning. The extent to which self-esteem, in general, would account and explain educational success through social relationships with teachers and peers, and personal interest in learning tasks is the main inquiry of this correlational investigation. Two hundred and eighty-three year 10 students (128 girls, 155 boys) were asked to respond to a number of Likert-scale inventories. Causal modeling procedures, aided by the statistical software MPlus 7.3, were used to analyze the data and to test the hypothesized model. A series of a posteriori analyses yielded a modified model for discussion, producing a number of key findings, namely: (a) the differential influences of both global (e.g., -&gt; relationship with teachers) and domain-specific (e.g., -&gt; relationship with peers) self-esteems, (b) the positive influences of social relation with teachers (e.g., -&gt; exam result) and interest in learning tasks (e.g., -&gt; end-of-school term grade), and (c) the mediating functioning of relationship with peers and interest in learning tasks. This evidence, overall, provides additional theoretical insights into the operational nature and trajectories of effective learning.</t>
  </si>
  <si>
    <t>[Phan, Huy P.; Ngu, Bing H.] Univ New England, Sch Educ, Armidale, NSW 2351, Australia</t>
  </si>
  <si>
    <t>University of New England</t>
  </si>
  <si>
    <t>Phan, HP (corresponding author), Univ New England, Sch Educ, Armidale, NSW 2351, Australia.</t>
  </si>
  <si>
    <t>hphan2@une.edu.au; bngu@une.edu.au</t>
  </si>
  <si>
    <t>/HQY-7932-2023; Phan, Huy P/AAJ-6166-2021</t>
  </si>
  <si>
    <t>Ngu, Bing Hiong/0000-0001-9623-2938; Phan, Huy P/0000-0002-3066-4647</t>
  </si>
  <si>
    <t>1381-2890</t>
  </si>
  <si>
    <t>1573-1928</t>
  </si>
  <si>
    <t>SOC PSYCHOL EDUC</t>
  </si>
  <si>
    <t>Soc. Psychol. Educ.</t>
  </si>
  <si>
    <t>10.1007/s11218-017-9407-9</t>
  </si>
  <si>
    <t>GA8YT</t>
  </si>
  <si>
    <t>WOS:000428628400003</t>
  </si>
  <si>
    <t>Sun, CA; Jing, CX; Qiu, LQ; Yang, QY; Zhang, CX</t>
  </si>
  <si>
    <t>Sun Chengai; Jing Caixia; Qiu Liqing; Yang Qingyu; Zhang Chunxue</t>
  </si>
  <si>
    <t>PC-IEN: a click-through rate prediction method based on dynamic collaborative personalized interest extraction</t>
  </si>
  <si>
    <t>ARTIFICIAL INTELLIGENCE REVIEW</t>
  </si>
  <si>
    <t>Online social network; Click-through rate prediction; Collaborative filtering; Interest extraction</t>
  </si>
  <si>
    <t>The development of online social networks enables users to generate a large amount of historical behavior data. How to effectively extract user interests from these data is crucial to improve the performance of click-through rate (CTR) prediction. However, existing research ignores the importance of collaborative personalized interest extraction based on the dynamic relationship in CTR prediction, which will cause the model to lose some important information to improve performance. Therefore, this paper designs an adaptive dynamic extraction (ADE) Unit to obtain user interest representations. First, the ADE unit designs a time weighting function to consider the dynamic evolution of user interests; then, the user's personalized interest representation is generated for a specific item. Finally, collaborative users are used to obtain the interest intensity of newly interested users. Based on the ADE unit, a new CTR prediction model is proposed, called personalized collaborative interest extraction network (PC-IEN). The model design feature embedding layer obtains a low-dimensional representation vector. Mini-batch aware regularization and the Dice activation function are employed to train many parameters of the network. The experimental results on three real datasets show that compared with other algorithms, the model can improve AUC by at least 0.11% and GAUC by 0.2%, indicating that the proposed algorithm outperforms other models in performance.</t>
  </si>
  <si>
    <t>[Sun Chengai; Jing Caixia; Qiu Liqing; Zhang Chunxue] Shandong Univ Sci &amp; Technol, Coll Comp Sci &amp; Engn, Qianwangang Rd, Qingdao 266590, Peoples R China; [Yang Qingyu] Shandong Univ Sci &amp; Technol, Intelligent Equipment Coll, Daizong St, Tai An 271001, Peoples R China</t>
  </si>
  <si>
    <t>Shandong University of Science &amp; Technology; Shandong University of Science &amp; Technology</t>
  </si>
  <si>
    <t>Qiu, LQ (corresponding author), Shandong Univ Sci &amp; Technol, Coll Comp Sci &amp; Engn, Qianwangang Rd, Qingdao 266590, Peoples R China.</t>
  </si>
  <si>
    <t>SUN910213@126.COM; 2428235388@QQ.COM; qiuliqing2019@163.com; 1016685691@QQ.COM; 1930860601@QQ.COM</t>
  </si>
  <si>
    <t>荆, 荆彩霞/JGZ-9931-2023; yang, qingyu/LXV-6840-2024</t>
  </si>
  <si>
    <t>National Natural Science Foundation of China [61702305, 11971270, 61903089]; China Postdoctoral Science Foundation [2017M622234]</t>
  </si>
  <si>
    <t>National Natural Science Foundation of China(National Natural Science Foundation of China (NSFC)); China Postdoctoral Science Foundation(China Postdoctoral Science Foundation)</t>
  </si>
  <si>
    <t>AcknowledgementsThis work was supported by the National Natural Science Foundation of China under grant nos. 61702305, 11971270, and 61903089, the China Postdoctoral Science Foundation under grant no. 2017M622234.</t>
  </si>
  <si>
    <t>0269-2821</t>
  </si>
  <si>
    <t>1573-7462</t>
  </si>
  <si>
    <t>ARTIF INTELL REV</t>
  </si>
  <si>
    <t>Artif. Intell. Rev.</t>
  </si>
  <si>
    <t>OCT</t>
  </si>
  <si>
    <t>10.1007/s10462-023-10447-x</t>
  </si>
  <si>
    <t>T3JH5</t>
  </si>
  <si>
    <t>WOS:000946638300001</t>
  </si>
  <si>
    <t>Cheng, SL; Yang, S; Cheng, XF; Li, KY; Zheng, Y</t>
  </si>
  <si>
    <t>Cheng, Shulin; Yang, Shan; Cheng, Xiufang; Li, Keyu; Zheng, Yu</t>
  </si>
  <si>
    <t>Semantic overlapping community detection with embedding multi-dimensional relationships and spatial context</t>
  </si>
  <si>
    <t>Semantic overlapping community; Multi-dimensional relationships; Semantic information; Spatial context; Seed nodes</t>
  </si>
  <si>
    <t>Semantic overlapping community detection is an important research hotspot in social networks. However, most of the existing methods ignore the fusion of multi-semantic attributes of users and variability of topological features under the spatial context. Motivated by this, we propose a semantic overlapping community detection method with embedding multi-dimensional relationships and spatial context. Firstly, on the basis of modeling users' Microblogs by LDA, we further extract the semantic topic information. Two core topic matrices are captured to quantify users' interest preferences. And the structure of social network is optimized by a new index named Network Constructability in line with user interest preference. Secondly, taking the network topology embedded with implicit semantic information as the core, the seed nodes are generated by leveraging Entropy to fuse explicit information. Finally, under the spatial context, Friend Probability and the Preference Matching Degree are utilized to deeply search the corresponding neighbor nodes in the process of detection. The effectiveness of the method is verified on the real datasets of social networks. The experimental results show that the method has obvious advantages and can detect the high-quality semantic overlapping communities with spatial context in real social networks.</t>
  </si>
  <si>
    <t>[Cheng, Shulin; Yang, Shan; Cheng, Xiufang; Li, Keyu] Anqing Normal Univ, Sch Comp &amp; Informat, Anqing 246133, Anhui, Peoples R China; [Zheng, Yu] Anqing Normal Univ, Sch Econ &amp; Management, Anqing 246133, Anhui, Peoples R China</t>
  </si>
  <si>
    <t>Anqing Normal University; Anqing Normal University</t>
  </si>
  <si>
    <t>Cheng, SL (corresponding author), Anqing Normal Univ, Sch Comp &amp; Informat, Anqing 246133, Anhui, Peoples R China.</t>
  </si>
  <si>
    <t>cmcmok@126.com; 1424890347@qq.com; chengxiufang@163.com; 1050763692@qq.com; fangshuan@126.com</t>
  </si>
  <si>
    <t>Cheng, Shulin/HGU-7766-2022; li, keyu/HSG-2159-2023</t>
  </si>
  <si>
    <t>Cheng, Shulin/0000-0002-3744-6335; Yang, Shan/0000-0001-7750-3579;</t>
  </si>
  <si>
    <t>DEC 17</t>
  </si>
  <si>
    <t>10.1007/s13278-023-01173-x</t>
  </si>
  <si>
    <t>DA4V6</t>
  </si>
  <si>
    <t>WOS:001129308900002</t>
  </si>
  <si>
    <t>Zhang, WQ; Yin, GS; Dong, YX; Chen, FK; Zia, Q</t>
  </si>
  <si>
    <t>Zhang, Weiqi; Yin, Guisheng; Dong, Yuxin; Chen, Fukun; Zia, Qasim</t>
  </si>
  <si>
    <t>DPTP-LICD: A differential privacy trajectory protection method based on latent interest community detection</t>
  </si>
  <si>
    <t>HIGH-CONFIDENCE COMPUTING</t>
  </si>
  <si>
    <t>Differential privacy; Community detection; Trajectory data; Community of interest; Recommendation</t>
  </si>
  <si>
    <t>ACHIEVING K-ANONYMITY; LOCATION</t>
  </si>
  <si>
    <t>With the rapid development of high-speed mobile network technology and high-precision positioning technology, the trajectory information of mobile users has received extensive attention from academia and industry in the field of Location-based Social Networks. Researchers can mine users' trajectories in Location-based Social Networks to obtain sensitive information, such as friendship groups, activity patterns, and consumption habits. Therefore, mobile users' privacy and security issues have received growing attention in Location-based Social networks. It is crucial to strike a balance between privacy protection and data availability. This paper proposes a differential privacy trajectory protection method based on latent interest community detection (DPTP-LICD), ensuring strict privacy protection standards and user data availability. Firstly, based on the historical trajectory information of users, spatiotemporal constraint information is extracted to construct a potential community strength model for mobile users. Secondly, the latent interest community obtained from the analysis is used to identify preferred hot spots on the user's trajectory, and their priorities are assigned based on a popularity model. A reasonable privacy budget is allocated to prevent excessive noise from being added and rendering the protected trajectory data unusable. Finally, to prevent privacy leakage, we add Laplace and exponential noise in generating preferred hot spots and recommending user interest points. Security and effectiveness analysis shows that our mechanism provides effective points of interest recommendations and protects users' privacy from disclosure.(c) 2023 The Author(s). Published by Elsevier B.V. on behalf of Shandong University. This is an open access article under the CC BY-NC-ND license (http://creativecommons.org/licenses/by-nc-nd/4.0/).</t>
  </si>
  <si>
    <t>[Zhang, Weiqi; Yin, Guisheng; Dong, Yuxin; Chen, Fukun] Harbin Engn Univ, Coll Comp Sci &amp; Technol, Harbin 150001, Peoples R China; [Zia, Qasim] Georgia State Univ, Dept Comp Sci, Atlanta, GA 30303 USA</t>
  </si>
  <si>
    <t>Harbin Engineering University; University System of Georgia; Georgia State University</t>
  </si>
  <si>
    <t>Dong, YX (corresponding author), Harbin Engn Univ, Coll Comp Sci &amp; Technol, Harbin 150001, Peoples R China.</t>
  </si>
  <si>
    <t>dongyuxin@hrbeu.edu.cn</t>
  </si>
  <si>
    <t>Zia, Qasim/0009-0004-2028-5960; Zhang, Weiqi/0000-0003-4441-5286</t>
  </si>
  <si>
    <t>National Foreign Expert Project [DL2022180003L]; Ministry of Industry and Information Technology Special Project for High Quality Development of Man-ufacturing Industry [G064620007, KY10600200059]</t>
  </si>
  <si>
    <t>National Foreign Expert Project; Ministry of Industry and Information Technology Special Project for High Quality Development of Man-ufacturing Industry</t>
  </si>
  <si>
    <t>Our research fund is supported by National Foreign Expert Project (DL2022180003L) , Ministry of Industry and Information Technology Special Project for High Quality Development of Man-ufacturing Industry (G064620007, KY10600200059) .</t>
  </si>
  <si>
    <t>2667-2952</t>
  </si>
  <si>
    <t>HIGH-CONFID COMPUT</t>
  </si>
  <si>
    <t>High-Confid. Comput.</t>
  </si>
  <si>
    <t>10.1016/j.hcc.2023.100134</t>
  </si>
  <si>
    <t>DT4H9</t>
  </si>
  <si>
    <t>WOS:001134307800001</t>
  </si>
  <si>
    <t>Gao, B; Li, QN</t>
  </si>
  <si>
    <t>Gao, Bo; Li, Qianni</t>
  </si>
  <si>
    <t>Social entertainment robot based on neural network algorithm in personalized music course simulation</t>
  </si>
  <si>
    <t>ENTERTAINMENT COMPUTING</t>
  </si>
  <si>
    <t>Neural network algorithm; Social entertainment robots; Music courses; Personalized courses</t>
  </si>
  <si>
    <t>This study focuses on the simulation of personalized music courses using social entertainment robots based on neural network algorithms, and introduces the current research status of music processing algorithms based on neural networks. A detailed explanation was provided on the training methods for neural network algorithms, including BP neural network training and music generation algorithms. Research was conducted on activation functions, music output detection, and loss function detection. A virtual music course system framework has been designed to provide students with personalized learning experiences. In a social entertainment robot based on neural network algorithms, a complete control node system was reconstructed, aiming to achieve interactive and entertainment effects of music courses through sensing technology. The control node system includes multiple key components, and the robot is able to perceive and recognize the actions, facial expressions, and sounds of students. Social entertainment robots have intelligent classification and recommendation functions, and this algorithm can intelligently classify and recommend music resources based on students' music preferences, levels, and needs. By analyzing the personal preferences and learning progress of students, robots can provide customized music course content and learning materials for each student, improving learning effectiveness and personal interests.</t>
  </si>
  <si>
    <t>[Gao, Bo; Li, Qianni] Hunan Normal Univ, Sch Mus, Changsha 410012, Peoples R China</t>
  </si>
  <si>
    <t>Hunan Normal University</t>
  </si>
  <si>
    <t>Gao, B (corresponding author), Hunan Normal Univ, Sch Mus, Changsha 410012, Peoples R China.</t>
  </si>
  <si>
    <t>bobogao20220@163.com</t>
  </si>
  <si>
    <t>gao, bo/MFI-9383-2025; Li, Qianni/GXF-2295-2022</t>
  </si>
  <si>
    <t>1875-9521</t>
  </si>
  <si>
    <t>1875-953X</t>
  </si>
  <si>
    <t>ENTERTAIN COMPUT</t>
  </si>
  <si>
    <t>Entertain. Comput.</t>
  </si>
  <si>
    <t>10.1016/j.entcom.2024.100771</t>
  </si>
  <si>
    <t>JUN 2024</t>
  </si>
  <si>
    <t>Computer Science, Cybernetics; Computer Science, Interdisciplinary Applications; Computer Science, Software Engineering</t>
  </si>
  <si>
    <t>C8D0Z</t>
  </si>
  <si>
    <t>WOS:001291609500001</t>
  </si>
  <si>
    <t>Kim, HL; Breslin, JG; Decker, S; Kim, HG</t>
  </si>
  <si>
    <t>Kim, Hak-Lae; Breslin, John G.; Decker, Stefan; Kim, Hong-Gee</t>
  </si>
  <si>
    <t>Mining and Representing User Interests: The Case of Tagging Practices</t>
  </si>
  <si>
    <t>IEEE TRANSACTIONS ON SYSTEMS MAN AND CYBERNETICS PART A-SYSTEMS AND HUMANS</t>
  </si>
  <si>
    <t>Concept analysis; Semantic Web; social tagging; tag ontology</t>
  </si>
  <si>
    <t>FORMAL CONCEPT ANALYSIS; SOCIAL NETWORKS; FAST ALGORITHM; LATTICE; OBJECT; MODEL</t>
  </si>
  <si>
    <t>Social tagging in online communities has become an important method for reflecting classified thoughts of individual users. A number of social Web sites provide tagging functionalities and also offer folksonomies within or across the sites. However, it is practically not easy to find users' interests based on such folksonomies. In this paper, we provide a novel approach for clustering user-centric interests by analyzing tagging practices of individual users. To do this, we collect Really Simple Syndication data from blogosphere, find conceptual clusters using formal concept analysis, and then evaluate the significance of these clusters. The results of the empirical evaluation show that we can effectively recommend different collections of tags to an individual or a set of users.</t>
  </si>
  <si>
    <t>[Kim, Hak-Lae] Samsung Elect Co Ltd, Suwon 443742, South Korea; [Breslin, John G.; Decker, Stefan] Natl Univ Ireland, Digital Enterprise Res Inst, Galway, Ireland; [Kim, Hong-Gee] Seoul Natl Univ, Dent Res Inst, Seoul 110749, South Korea</t>
  </si>
  <si>
    <t>Samsung; Samsung Electronics; Ollscoil na Gaillimhe-University of Galway; Seoul National University (SNU)</t>
  </si>
  <si>
    <t>Kim, HL (corresponding author), Samsung Elect Co Ltd, Suwon 443742, South Korea.</t>
  </si>
  <si>
    <t>haklae.kim@gmail.com; john.breslin@nuigalway.ie; stefan.decker@deri.org; hgkim@snu.ac.kr</t>
  </si>
  <si>
    <t>Breslin, John/B-7025-2015; Decker, Stefan/D-5589-2017</t>
  </si>
  <si>
    <t>Breslin, John/0000-0001-5790-050X; Kim, Hong-Gee/0000-0002-2610-4321; Decker, Stefan/0000-0001-6324-7164</t>
  </si>
  <si>
    <t>1083-4427</t>
  </si>
  <si>
    <t>1558-2426</t>
  </si>
  <si>
    <t>IEEE T SYST MAN CY A</t>
  </si>
  <si>
    <t>IEEE Trans. Syst. Man Cybern. Paart A-Syst. Hum.</t>
  </si>
  <si>
    <t>10.1109/TSMCA.2011.2132709</t>
  </si>
  <si>
    <t>Computer Science, Cybernetics; Computer Science, Theory &amp; Methods</t>
  </si>
  <si>
    <t>779YV</t>
  </si>
  <si>
    <t>WOS:000291819000008</t>
  </si>
  <si>
    <t>Lange, C; Gorbunova, A; Shmeleva, E; Costley, J</t>
  </si>
  <si>
    <t>Lange, Christopher; Gorbunova, Anna; Shmeleva, Evgeniia; Costley, Jamie</t>
  </si>
  <si>
    <t>The relationship between instructional scaffolding strategies and maintained situational interest</t>
  </si>
  <si>
    <t>INTERACTIVE LEARNING ENVIRONMENTS</t>
  </si>
  <si>
    <t>Conceptual scaffolding; direct instruction; e-learning; maintained situational interest; online learning; strategic scaffolding; video lectures; worked examples</t>
  </si>
  <si>
    <t>TECHNOLOGY ACCEPTANCE MODEL; LEARNING MANAGEMENT-SYSTEM; UNIVERSITY-STUDENTS INTENTION; INFORMATION-SYSTEMS; PERCEIVED USEFULNESS; USER ACCEPTANCE; BEHAVIORAL INTENTION; HIGHER-EDUCATION; SUCCESS; ADOPTION</t>
  </si>
  <si>
    <t>Although widely used, video lectures may have negative effects on maintaining student interest. When content is presented in video lectures, information processing issues can contribute to a decrease in interest and engagement. One solution is to scaffold instruction so that information is processed efficiently, and interest is maintained. While extant research examines two known scaffolding strategies (strategic and conceptual) in isolation, the current study combines the two to see if a more complete instructional scaffolding model leads to higher levels of maintained situational interest. A group of university students studying online in South Korea (n = 2,183) were surveyed about their perceptions of the way in which scaffolding occurred in their courses, with items focusing on the presence of the following: explanatory direct instruction early in the lectures, reduction of instructional support involving worked examples in the heart of the lecture (conceptual scaffolding) and an overall separation of content in a simple to the complex manner (strategic scaffolding). The results show a positive relationship between these combined instructional scaffolding strategies and the maintained situational interest of the students. Therefore, these strategies can be used to maintain student interest and engagement with online learning materials.</t>
  </si>
  <si>
    <t>[Lange, Christopher] Dankook Univ, Dept British &amp; Amer Humanities, Yongin, South Korea; [Gorbunova, Anna; Shmeleva, Evgeniia; Costley, Jamie] Natl Res Univ, Higher Sch Econ, Inst Educ, Myasnitskaya Ulitsa 20, Moscow, Russia</t>
  </si>
  <si>
    <t>Dankook University; HSE University (National Research University Higher School of Economics)</t>
  </si>
  <si>
    <t>Costley, J (corresponding author), Natl Res Univ, Higher Sch Econ, Inst Educ, Myasnitskaya Ulitsa 20, Moscow, Russia.</t>
  </si>
  <si>
    <t>jcostley@hse.ru</t>
  </si>
  <si>
    <t>Lange, Christopher/L-3456-2016; Shmeleva, Evgeniia/P-9230-2019; Gorbunova, Anna/HLH-2043-2023; Costley, Jamie/Y-7100-2018</t>
  </si>
  <si>
    <t>Lange, Christopher/0000-0002-3962-3278; Shmeleva, Evgeniia/0000-0001-8004-3315; Gorbunova, Anna/0000-0003-1679-8443;</t>
  </si>
  <si>
    <t>Basic Research Program at the National Research University Higher School of Economics (HSE University)</t>
  </si>
  <si>
    <t>This work/article is an output of a research project implemented as part of the Basic Research Program at the National Research University Higher School of Economics (HSE University).</t>
  </si>
  <si>
    <t>1049-4820</t>
  </si>
  <si>
    <t>1744-5191</t>
  </si>
  <si>
    <t>INTERACT LEARN ENVIR</t>
  </si>
  <si>
    <t>Interact. Learn. Environ.</t>
  </si>
  <si>
    <t>DEC 15</t>
  </si>
  <si>
    <t>10.1080/10494820.2022.2042314</t>
  </si>
  <si>
    <t>FEB 2022</t>
  </si>
  <si>
    <t>ED3Y8</t>
  </si>
  <si>
    <t>WOS:000762543000001</t>
  </si>
  <si>
    <t>Wandabwa, H; Naeem, MA; Mirza, F; Pears, R; Nguyen, A</t>
  </si>
  <si>
    <t>Hofmann, S; Muller, O; Rossi, M</t>
  </si>
  <si>
    <t>Wandabwa, Herman; Naeem, M. Asif; Mirza, Farhaan; Pears, Russel; Nguyen, Andy</t>
  </si>
  <si>
    <t>Multi-interest User Profiling in Short Text Microblogs</t>
  </si>
  <si>
    <t>DESIGNING FOR DIGITAL TRANSFORMATION: CO-CREATING SERVICES WITH CITIZENS AND INDUSTRY, DESRIST 2020</t>
  </si>
  <si>
    <t>Information Systems and Applications, incl. Internet/Web, and HCI</t>
  </si>
  <si>
    <t>15th International Conference on Design Science Research in Information Systems and Technology (DESRIST)</t>
  </si>
  <si>
    <t>DEC 02-04, 2020</t>
  </si>
  <si>
    <t>Kristiansand, NORWAY</t>
  </si>
  <si>
    <t>Information retrieval; Taste profiling; Social web; Neural networks</t>
  </si>
  <si>
    <t>Discourse on short text platforms like Twitter shapes the design of underlying knowledge-based recommendation engines. The resulting recommendations are powered by user connections as social network nodes as well as with shared interests. Twitter as a platform provides a complex mesh of users' interest levels where some users tend to consume certain topical content to a lesser or greater extent. This consumption of content is usually considered a defining factor in curation of their online identity. Our aim in this paper is to quantify the multi-interests of users based on the tweets they disseminate. We do this by (i) representing all tweets as vectors for computations (ii) generating cluster centroids representative of the topics of interest. (iii) computing a responsibility matrix to depict their interest levels in the topics (iv) aggregating intra-user interest levels to define the user's multi-topic affinities. We use a Twitter dataset geolocated to Kenya to validate users' intratopical interests. Our experimental results demonstrate the effectiveness of our approach in terms of capturing their multi-interests and in turn generate their multi-topic interest profiles.</t>
  </si>
  <si>
    <t>[Wandabwa, Herman; Naeem, M. Asif; Mirza, Farhaan; Pears, Russel] Auckland Univ Technol, Auckland, New Zealand; [Naeem, M. Asif] Natl Univ Comp &amp; Emerging Sci, Islamabad, Pakistan; [Nguyen, Andy] Univ Oulu, Oulu, Finland</t>
  </si>
  <si>
    <t>Auckland University of Technology; University of Oulu</t>
  </si>
  <si>
    <t>Wandabwa, H (corresponding author), Auckland Univ Technol, Auckland, New Zealand.</t>
  </si>
  <si>
    <t>herman.wandabwa@aut.ac.nz; muhammad.asif.naeem@aut.ac.nz; farhaan.mirza@aut.ac.nz; russel.pears@aut.ac.nz; andy.nguyen@oulu.fi</t>
  </si>
  <si>
    <t>Nguyen, Andy/F-5932-2019</t>
  </si>
  <si>
    <t>Nguyen, Andy/0000-0002-0759-9656; Wandabwa, Herman/0000-0002-2063-1382</t>
  </si>
  <si>
    <t>978-3-030-64822-0; 978-3-030-64823-7</t>
  </si>
  <si>
    <t>IN SY AP IN WE HC</t>
  </si>
  <si>
    <t>10.1007/978-3-030-64823-7_15</t>
  </si>
  <si>
    <t>Computer Science, Artificial Intelligence; Computer Science, Interdisciplinary Applications; Engineering, Industrial</t>
  </si>
  <si>
    <t>BX5DN</t>
  </si>
  <si>
    <t>WOS:001297793500015</t>
  </si>
  <si>
    <t>Zhou, XK; Liang, W; Luo, ZJ; Pan, Y</t>
  </si>
  <si>
    <t>Zhou, Xiaokang; Liang, Wei; Luo, Zijia; Pan, Yi</t>
  </si>
  <si>
    <t>Periodic-Aware Intelligent Prediction Model for Information Diffusion in Social Networks</t>
  </si>
  <si>
    <t>Social Network; Deep Learning; Periodic-Aware; Semantic Analysis; Sentiment Analysis; Information Diffusion</t>
  </si>
  <si>
    <t>DATA DISSEMINATION; CONTAGION</t>
  </si>
  <si>
    <t>Due to the rapid development of information and communication technologies with several emerging computing paradigms, such as ubiquitous computing, social computing, and mobile computing, modeling of information diffusion becomes an increasingly significant issue in the big data era. In this study, we focus on a periodic-aware intelligent prediction method based on a comprehensive modeling of user and contagion features, which can be applied to support information diffusion across social networks in accordance with users' adoption behaviors. In particular, the Dynamically Socialized User Networking (DSUN) model and sentiment-Latent Dirichlet Allocation (LDA) topic model, which consider a series of social factors, including user interests and social roles, semantic topics and sentiment polarities, are constructed and integrated together to facilitate the information diffusion process. A periodic-aware preception mechanism usingreinforcement learning with a newly designed reward rule based on topic distribution is then designed to detect and classify different periods into the so-called routine period and emergency period. Finally, a deep learning scheme based on multi-factor analysis is developed for adoption behavior prediction within the identified different periods. Experiments using the real-world data demonstrate the effectiveness and usefulness of our proposed model and method in heterogenous social network environments.</t>
  </si>
  <si>
    <t>[Zhou, Xiaokang] Shiga Univ, Fac Data Sci, Hikone 5228522, Japan; [Zhou, Xiaokang] RIKEN, Ctr Adv Intelligence Project, Tokyo 1030027, Japan; [Liang, Wei; Luo, Zijia] Hunan Univ Technol &amp; Business, Base Int Sci &amp; Technol Innovat &amp; Cooperat Big Dat, Changsha 410205, Peoples R China; [Pan, Yi] Georgia State Univ, Dept Comp Sci, Atlanta, GA 30302 USA</t>
  </si>
  <si>
    <t>Shiga University; RIKEN; Hunan University of Technology &amp; Business; University System of Georgia; Georgia State University</t>
  </si>
  <si>
    <t>Liang, W (corresponding author), Hunan Univ Technol &amp; Business, Base Int Sci &amp; Technol Innovat &amp; Cooperat Big Dat, Changsha 410205, Peoples R China.</t>
  </si>
  <si>
    <t>zhou@biwako.shiga-u.ac.jp; weiliang@csu.edu.cn; lzj13310056@163.com; yipan@gsu.edu</t>
  </si>
  <si>
    <t>Liang, Wei/ITV-5002-2023; Pan, Yi/AAJ-2341-2021</t>
  </si>
  <si>
    <t>Liang, Wei/0000-0002-0689-256X; Pan, Yi/0000-0002-2766-3096</t>
  </si>
  <si>
    <t>National Key R&amp;D Program of China [2017YFE0117500, 2019YFE0190500, 2019GK1010]; National Natural Science Foundation of China [62072171]; Natural Science Foundation of Hunan Province of China [2019JJ40150, 2018JJ2198]</t>
  </si>
  <si>
    <t>National Key R&amp;D Program of China(National Key Research &amp; Development Program of China); National Natural Science Foundation of China(National Natural Science Foundation of China (NSFC)); Natural Science Foundation of Hunan Province of China(Natural Science Foundation of Hunan Province)</t>
  </si>
  <si>
    <t>Manuscript received January 1, 2020; revised June 4, 2020 and August 17, 2020 and January 12, 2021; accepted February 17, 2021. Date of publication March 9, 2021; date of current version July 7, 2021. The work was supported in part by the National Key R&amp;D Program of China under Grants 2017YFE0117500, 2019YFE0190500, and 2019GK1010, in part by the National Natural Science Foundation of China under Grant 62072171, and in part by the Natural Science Foundation of Hunan Province of China under Grants 2019JJ40150 and 2018JJ2198. Recommended for acceptance by Dr. Yingshu Li. (Corresponding author: Wei Liang.)</t>
  </si>
  <si>
    <t>10.1109/TNSE.2021.3064952</t>
  </si>
  <si>
    <t>TU2SY</t>
  </si>
  <si>
    <t>WOS:000680892400008</t>
  </si>
  <si>
    <t>Li, YX; Xu, PM; Lagun, D; Navalpakkam, V</t>
  </si>
  <si>
    <t>Li, Yixuan; Xu, Pingmei; Lagun, Dmitry; Navalpakkam, Vidhya</t>
  </si>
  <si>
    <t>Towards Measuring and Inferring User Interest from Gaze</t>
  </si>
  <si>
    <t>mobile phones; user attention; eye-tracking; personalization; user interest; inference</t>
  </si>
  <si>
    <t>SEARCH; MODEL</t>
  </si>
  <si>
    <t>How can we reliably infer web users' interest and evaluate the content relevance when lacking active user interaction such as click behavior? In this paper, we investigate the relationship between mobile users' implicit interest inferred from attention metrics, such as eye gaze or viewport time, and explicit interest expressed by users. We present the first quantitative gaze tracking study using front-facing camera of mobile devices instead of specialized, expensive eye-tracking devices. We focus on multi-column digital media pages in Google Play Store that display 30+ items per page belonging to diverse categories. In such pages, we find significantly different distribution of gaze metrics on items that users rate as interesting vs. not. We leverage this insight by building a prediction model that is able to infer a user's interest ratings from the the non-click actions of the user. Our model is able to attain AUC of 90.32% in predicting user interest at an individual item level. In addition, our experiments on collection item re-ranking show how user gaze and viewport signals can be used to personalize item ranking on the collection page. Beyond understanding users' attention behavior in novel contexts such as multi-column digital media pages in Google Play Store, the findings in this study have implications for the design of a novel personalization and recommendation mechanism by (1) prioritizing items that are most likely of interest to users based on historical attention signals, and (2) prioritizing positions receiving significant portion of gaze attention.</t>
  </si>
  <si>
    <t>[Li, Yixuan] Cornell Univ, Ithaca, NY 14853 USA; [Li, Yixuan; Xu, Pingmei; Lagun, Dmitry; Navalpakkam, Vidhya] Google, Mountain View, CA 94043 USA</t>
  </si>
  <si>
    <t>Cornell University; Alphabet Inc.; Google Incorporated</t>
  </si>
  <si>
    <t>Li, YX (corresponding author), Cornell Univ, Ithaca, NY 14853 USA.</t>
  </si>
  <si>
    <t>yli@cs.cornell.edu; pingmeix@google.com; dlagun@google.com; vidhyan@google.com</t>
  </si>
  <si>
    <t>navalpakkam, vidhya/KLZ-0361-2024</t>
  </si>
  <si>
    <t>US Army Research Office [W911NF-14-1-0477]</t>
  </si>
  <si>
    <t>US Army Research Office(Army Research Office)</t>
  </si>
  <si>
    <t>We thank Julie Fischer and Khalil Cader for helping with preparing study materials and formalizing the research questions. Yixuan Li has been supported by US Army Research Office W911NF-14-1-0477 for her thesis research.</t>
  </si>
  <si>
    <t>WOS:000712212600065</t>
  </si>
  <si>
    <t>Nedjah, N; Azevedo, VR; Mourelle, LD</t>
  </si>
  <si>
    <t>Nedjah, Nadia; Azevedo, Victor Ribeiro; Mourelle, Luiza De Macedo</t>
  </si>
  <si>
    <t>Client profile prediction using convolutional neural networks for efficient recommendation systems in the context of smart factories</t>
  </si>
  <si>
    <t>ENTERPRISE INFORMATION SYSTEMS</t>
  </si>
  <si>
    <t>Convolutional neural networks; deep learning; social media image classification; customer profile identification</t>
  </si>
  <si>
    <t>In this work, we exploit a classifier based on convolutional neural network to predict users' interests regarding products and services, according to their publications in social media. We aim at designing a customizable recommendation system to target social networks' users as potential buyers. We evaluate the performance of training algorithms that use adaptive learning. The evaluation is performed in terms of the achieved accuracy rate to predict user's interest. The selection result is backed up by the multi-criteria decision making. Two metrics are used to identify the real user interest profile of users based on publicly available photos.</t>
  </si>
  <si>
    <t>[Nedjah, Nadia; Azevedo, Victor Ribeiro] Univ Estado Rio De Janeiro, Dept Elect Engn &amp; Telecommun, Fac Engn, Rio De Janeiro, Brazil; [Mourelle, Luiza De Macedo] Univ Estado Rio De Janeiro, Dept Syst Engn &amp; Computat, Fac Engn, Rio De Janeiro, Brazil</t>
  </si>
  <si>
    <t>Universidade Federal de Juiz de Fora; Universidade do Estado do Rio de Janeiro; Universidade do Estado do Rio de Janeiro; Universidade Federal de Juiz de Fora</t>
  </si>
  <si>
    <t>Nedjah, N (corresponding author), Univ Estado Rio De Janeiro, Dept Elect Engn &amp; Telecommun, Fac Engn, Rio De Janeiro, Brazil.</t>
  </si>
  <si>
    <t>nadia@eng.uerj.br</t>
  </si>
  <si>
    <t>de Macedo Mourelle, Luiza/AAG-8935-2019; Nedjah, Nadia/AAE-7320-2019</t>
  </si>
  <si>
    <t>de Macedo Mourelle, Luiza/0000-0002-4680-2047;</t>
  </si>
  <si>
    <t>Fundacao Carlos Chagas Filho de Amparo a Pesquisa do Estado do Rio de Janeiro [203.111/2018]</t>
  </si>
  <si>
    <t>Fundacao Carlos Chagas Filho de Amparo a Pesquisa do Estado do Rio de Janeiro(Fundacao Carlos Chagas Filho de Amparo a Pesquisa do Estado do Rio De Janeiro (FAPERJ))</t>
  </si>
  <si>
    <t>This work was supported by the Fundacao Carlos Chagas Filho de Amparo a Pesquisa do Estado do Rio de Janeiro [203.111/2018].</t>
  </si>
  <si>
    <t>1751-7575</t>
  </si>
  <si>
    <t>1751-7583</t>
  </si>
  <si>
    <t>ENTERP INF SYST-UK</t>
  </si>
  <si>
    <t>Enterp. Inf. Syst.</t>
  </si>
  <si>
    <t>OCT 3</t>
  </si>
  <si>
    <t>10-11</t>
  </si>
  <si>
    <t>10.1080/17517575.2020.1856423</t>
  </si>
  <si>
    <t>DEC 2020</t>
  </si>
  <si>
    <t>4O7YC</t>
  </si>
  <si>
    <t>WOS:000603766300001</t>
  </si>
  <si>
    <t>Chianese, A; Cuomo, S; De Michele, P; Piccialli, F</t>
  </si>
  <si>
    <t>Chianese, Angelo; Cuomo, Salvatore; De Michele, Pasquale; Piccialli, Francesco</t>
  </si>
  <si>
    <t>Self and social network behaviours of users in cultural spaces</t>
  </si>
  <si>
    <t>social network; clustering techniques; cultural heritage; internet of things; IoT; user behaviours</t>
  </si>
  <si>
    <t>HERITAGE</t>
  </si>
  <si>
    <t>Many cultural spaces offer their visitors the use of ICT tools to enhance their visit experience. Data collected within such spaces can be analysed in order to discover hidden information related to visitors' behaviours and needs. In this paper, a computational model inspired by neuroscience simulating the personalised interactions of users with cultural heritage objects is presented. We compare a strengthened validation approach for neural networks based on classification techniques with a novel proposal one, based on clustering strategies. Such approaches allow us to identify natural users' groups in data and to verify the model responses in terms of user interests. Finally, the presented model has been extended to simulate social behaviours in a community, through the sharing of interests and opinions related to cultural heritage assets. This data propagation has been further analysed in order to reproduce applicative scenarios on social networks.</t>
  </si>
  <si>
    <t>[Chianese, Angelo; Piccialli, Francesco] Univ Naples Federico II, Dept Elect Engn &amp; Informat Technol, Naples, Italy; [Cuomo, Salvatore; De Michele, Pasquale] Univ Naples Federico II, Dept Math &amp; Applicat Renato Caccioppoli, Naples, Italy</t>
  </si>
  <si>
    <t>University of Naples Federico II; University of Naples Federico II</t>
  </si>
  <si>
    <t>Piccialli, F (corresponding author), Univ Naples Federico II, Dept Elect Engn &amp; Informat Technol, Naples, Italy.</t>
  </si>
  <si>
    <t>angchian@unina.it; salvatore.cuomo@unina.it; pasquale.demichele@unina.it; francesco.piccialli@unina.it</t>
  </si>
  <si>
    <t>Piccialli, Francesco/ABC-2457-2020; Cuomo, Salvatore/Q-1365-2016</t>
  </si>
  <si>
    <t>Cuomo, Salvatore/0000-0003-4128-2588</t>
  </si>
  <si>
    <t>10.1504/IJCSE.2018.091770</t>
  </si>
  <si>
    <t>GG6NB</t>
  </si>
  <si>
    <t>WOS:000432812600006</t>
  </si>
  <si>
    <t>Camacho, LAG; Alves-Souza, SN</t>
  </si>
  <si>
    <t>Gonzalez Camacho, Lesly Alejandra; Alves-Souza, Solange Nice</t>
  </si>
  <si>
    <t>Social network data to alleviate cold-start in recommender system: A systematic review</t>
  </si>
  <si>
    <t>Cold start; Social network; Collaborative filtering; Recommender system; Systematic literature review</t>
  </si>
  <si>
    <t>USER INTEREST; CHALLENGES; TRUST</t>
  </si>
  <si>
    <t>Recommender Systems are currently highly relevant for helping users deal with the information overload they suffer from the large volume of data on the web, and automatically suggest the most appropriate items that meet users needs. However, in cases in which a user is new to Recommender System, the system cannot recommend items that are relevant to her/him because of lack of previous information about the user and/or the user-item rating history that helps to determine the users preferences. This problem is known as cold-start, which remains open because it does not have a final solution. Social networks have been employed as a good source of information to determine users preferences to mitigate the cold-start problem. This paper presents the results of a Systematic Literature Review on Collaborative Filtering-based Recommender System that uses social network data to mitigate the cold-start problem. This Systematic Literature Review compiled the papers published between 2011-2017, to select the most recent studies in the area. Each selected paper was evaluated and classified according to the depth which social networks used to mitigate the cold-start problem. The final results show that there are several publications that use the information of the social networks within the Recommender System; however, few research papers currently use this data to mitigate the cold start problem.</t>
  </si>
  <si>
    <t>[Gonzalez Camacho, Lesly Alejandra; Alves-Souza, Solange Nice] EPUSP, Dept Engn Comp &amp; Sistemas Digitais, Av Prof Luciano Gualberto,Travessa 3,158 Butanta, BR-05508010 Sao Paulo, SP, Brazil</t>
  </si>
  <si>
    <t>Camacho, LAG (corresponding author), EPUSP, Dept Engn Comp, Av Prof Luciano Gualberto,Travessa 3,158 Butanta, BR-05508010 Sao Paulo, SP, Brazil.</t>
  </si>
  <si>
    <t>alejandragc@usp.br; ssouza@usp.br</t>
  </si>
  <si>
    <t>Alves-Souza, Solange Nice/I-8780-2012</t>
  </si>
  <si>
    <t>Alves-Souza, Solange Nice/0000-0002-6112-3536; Gonzalez Camacho, Lesly Alejana/0000-0002-9387-8351</t>
  </si>
  <si>
    <t>Sao Paulo Research Foundation (FAPESP) [2014/04851-8]; Fundacao de Amparo a Pesquisa do Estado de Sao Paulo (FAPESP) [14/04851-8] Funding Source: FAPESP</t>
  </si>
  <si>
    <t>Sao Paulo Research Foundation (FAPESP)(Fundacao de Amparo a Pesquisa do Estado de Sao Paulo (FAPESP)); Fundacao de Amparo a Pesquisa do Estado de Sao Paulo (FAPESP)(Fundacao de Amparo a Pesquisa do Estado de Sao Paulo (FAPESP))</t>
  </si>
  <si>
    <t>Authors are grateful for the support given by Sao Paulo Research Foundation (FAPESP). Grant #2014/04851-8</t>
  </si>
  <si>
    <t>THE BOULEVARD, LANGFORD LANE, KIDLINGTON, OXFORD OX5 1GB, OXON, ENGLAND</t>
  </si>
  <si>
    <t>10.1016/j.ipm.2018.03.004</t>
  </si>
  <si>
    <t>GI8AH</t>
  </si>
  <si>
    <t>WOS:000434743700004</t>
  </si>
  <si>
    <t>Webster, YW; Dow, ER; Koehler, J; Gudivada, RC; Palakal, MJ</t>
  </si>
  <si>
    <t>Webster, Yue W.; Dow, Ernst R.; Koehler, Jacob; Gudivada, Ranga C.; Palakal, Mathew J.</t>
  </si>
  <si>
    <t>Leveraging health social networking communities in translational research</t>
  </si>
  <si>
    <t>JOURNAL OF BIOMEDICAL INFORMATICS</t>
  </si>
  <si>
    <t>Translational research; Health social networking; Semantic Web; Graph algorithm</t>
  </si>
  <si>
    <t>AMYOTROPHIC-LATERAL-SCLEROSIS; SEMANTIC WEB; GENE; SUSCEPTIBILITY; ASSOCIATION; MUTATIONS; PARAMETERS; RILUZOLE; SURVIVAL; CANCER</t>
  </si>
  <si>
    <t>Health social networking communities are emerging resources for translational research. We have designed and implemented a framework called HyGen, which combines Semantic Web technologies, graph algorithms and user profiling to discover and prioritize novel associations across disciplines. This manuscript focuses on the key strategies developed to overcome the challenges in handling patient-generated content in Health social networking communities. Heuristic and quantitative evaluations were carried out in colorectal cancer. The results demonstrate the potential of our approach to bridge silos and to identify hidden links among clinical observations, drugs, genes and diseases. In Amyotrophic Lateral Sclerosis case studies, HyGen has identified 15 of the 20 published disease genes. Additionally, HyGen has highlighted new candidates for future investigations, as well as a scientifically meaningful connection between riluzole and alcohol abuse. (C) 2011 Elsevier Inc. All rights reserved.</t>
  </si>
  <si>
    <t>[Webster, Yue W.] Eli Lilly &amp; Co, Lilly Corp Ctr, Discovery Informat, Indianapolis, IN 46285 USA; [Webster, Yue W.; Dow, Ernst R.; Palakal, Mathew J.] Indiana Univ Purdue Univ, Sch Informat, Indianapolis, IN USA</t>
  </si>
  <si>
    <t>Eli Lilly; Lilly Research Laboratories; Indiana University System; Indiana University Indianapolis; Purdue University System; Purdue University; Purdue University in Indianapolis</t>
  </si>
  <si>
    <t>Webster, YW (corresponding author), Eli Lilly &amp; Co, Lilly Corp Ctr, Discovery Informat, DC 1930, Indianapolis, IN 46285 USA.</t>
  </si>
  <si>
    <t>yuwang@umail.iu.edu; dow@lilly.com; kohlerja@lilly.com; gudivadara@lilly.com; mpalakal@iupui.edu</t>
  </si>
  <si>
    <t>Dow, Ernst R/0000-0002-6976-5138</t>
  </si>
  <si>
    <t>ACADEMIC PRESS INC ELSEVIER SCIENCE</t>
  </si>
  <si>
    <t>SAN DIEGO</t>
  </si>
  <si>
    <t>525 B ST, STE 1900, SAN DIEGO, CA 92101-4495 USA</t>
  </si>
  <si>
    <t>1532-0464</t>
  </si>
  <si>
    <t>1532-0480</t>
  </si>
  <si>
    <t>J BIOMED INFORM</t>
  </si>
  <si>
    <t>J. Biomed. Inform.</t>
  </si>
  <si>
    <t>10.1016/j.jbi.2011.01.010</t>
  </si>
  <si>
    <t>Computer Science, Interdisciplinary Applications; Medical Informatics</t>
  </si>
  <si>
    <t>Computer Science; Medical Informatics</t>
  </si>
  <si>
    <t>800OO</t>
  </si>
  <si>
    <t>WOS:000293371500004</t>
  </si>
  <si>
    <t>Ren, JQ; Jiang, L; Peng, H; Lyu, LJ; Liu, ZW; Chen, CC; Wu, J; Bai, X; Yu, PS</t>
  </si>
  <si>
    <t>Ren, Jiaqian; Jiang, Lei; Peng, Hao; Lyu, Lingjuan; Liu, Zhiwei; Chen, Chaochao; Wu, Jia; Bai, Xu; Yu, Philip S.</t>
  </si>
  <si>
    <t>Cross-Network Social User Embedding with Hybrid Differential Privacy Guarantees</t>
  </si>
  <si>
    <t>PROCEEDINGS OF THE 31ST ACM INTERNATIONAL CONFERENCE ON INFORMATION AND KNOWLEDGE MANAGEMENT, CIKM 2022</t>
  </si>
  <si>
    <t>31st ACM International Conference on Information and Knowledge Management (CIKM)</t>
  </si>
  <si>
    <t>OCT 17-21, 2022</t>
  </si>
  <si>
    <t>Network Integration; Differential Privacy; User Linkage; Representation Learning</t>
  </si>
  <si>
    <t>Integrating multiple online social networks (OSNs) has important implications for many downstream social mining tasks, such as user preference modelling, recommendation, and link prediction. However, it is unfortunately accompanied by growing privacy concerns about leaking sensitive user information. How to fully utilize the data from different online social networks while preserving user privacy remains largely unsolved. To this end, we propose a Cross-network Social User Embedding framework, namely DP-CroSUE, to learn the comprehensive representations of users in a privacy-preserving way. We jointly consider information from partially aligned social networks with differential privacy guarantees. In particular, for each heterogeneous social network, we first introduce a hybrid differential privacy notion to capture the variation of privacy expectations for heterogeneous data types. Next, to find user linkages across social networks, we make unsupervised user embedding-based alignment in which the user embeddings are achieved by the heterogeneous network embedding technology. To further enhance user embeddings, a novel cross-network GCN embedding model is designed to transfer knowledge across networks through those aligned users. Extensive experiments on three real-world datasets demonstrate that our approach makes a significant improvement on user interest prediction tasks as well as defending user attribute inference attacks from embedding.</t>
  </si>
  <si>
    <t>[Ren, Jiaqian; Bai, Xu] Chinese Acad Sci, Inst Informat Engn, Beijing, Peoples R China; [Ren, Jiaqian] Univ Chinese Acad Sci, Sch Cyber Secur, Beijing, Peoples R China; [Jiang, Lei] Chinese Acad Sci, Inst Informat Engn, Res Room 2, Beijing, Peoples R China; [Peng, Hao] Beihang Univ, Sch Cyber Sci &amp; Technol, Beijing, Peoples R China; [Lyu, Lingjuan] Sony AI, Tokyo 1080075, Japan; [Liu, Zhiwei] Salesforce, Palo Alto, CA 94301 USA; [Chen, Chaochao] Zhejiang Univ, Hangzhou 310058, Peoples R China; [Wu, Jia] Macquarie Univ, Sydney, NSW 2109, Australia; [Yu, Philip S.] Univ Illinois, Chicago, IL 60607 USA</t>
  </si>
  <si>
    <t>Chinese Academy of Sciences; Nanjing Institute of Geology &amp; Paleontology, CAS; Institute of Information Engineering, CAS; Chinese Academy of Sciences; University of Chinese Academy of Sciences, CAS; Chinese Academy of Sciences; Beihang University; Salesforce; Zhejiang University; Macquarie University; University of Illinois System; University of Illinois Chicago; University of Illinois Chicago Hospital</t>
  </si>
  <si>
    <t>Jiang, L (corresponding author), Chinese Acad Sci, Inst Informat Engn, Res Room 2, Beijing, Peoples R China.;Peng, H (corresponding author), Beihang Univ, Sch Cyber Sci &amp; Technol, Beijing, Peoples R China.</t>
  </si>
  <si>
    <t>renjiaqian@iie.ac.cn; jianglei@iie.ac.cn; penghao@buaa.edu.cn; Lingjuan.Lv@sony.com; zhiweiliu@salesforce.com; zjuccc@zju.edu.cn; jia.wu@mq.edu.au; baixu@iie.ac.cn; psyu@uic.edu</t>
  </si>
  <si>
    <t>Wu, Jia/LSL-0570-2024; Lyu, Lingjuan/AAQ-8618-2020; Peng, Hao/L-7364-2019; Liu, Zhiwei/AAN-8965-2021; WU, Jia/LSL-0570-2024; Ren, Jiaqian/JQX-3171-2023; Yu, Philip/A-2815-2012</t>
  </si>
  <si>
    <t>Wu, Jia/0000-0002-1371-5801; Lyu, Lingjuan/0009-0004-3502-8094; WU, Jia/0000-0001-9013-0818;</t>
  </si>
  <si>
    <t>National Key R&amp;D Program of China [2021YFB1714800]; NSFC [U20B2053]; S&amp;T Program of Hebei [21340301D]; Beijing Natural Science Foundation [4222030]; Fundamental Research Funds for the Central Universities; NSF [III-1763325, III-1909323, III-2106758, SaTC-1930941]</t>
  </si>
  <si>
    <t>National Key R&amp;D Program of China(National Key Research &amp; Development Program of China); NSFC(National Natural Science Foundation of China (NSFC)); S&amp;T Program of Hebei; Beijing Natural Science Foundation(Beijing Natural Science Foundation); Fundamental Research Funds for the Central Universities(Fundamental Research Funds for the Central Universities); NSF(National Science Foundation (NSF))</t>
  </si>
  <si>
    <t>The authors of this paper were supported by the National Key R&amp;D Program of China through grant 2021YFB1714800, NSFC through grant U20B2053, S&amp;T Program of Hebei through grant 21340301D, Beijing Natural Science Foundation through grant 4222030, and the Fundamental Research Funds for the Central Universities. Philip S. Yu was supported by NSF under grants III-1763325, III-1909323, III-2106758, and SaTC-1930941. Thanks for computing infrastructure provided by Huawei MindSpore platform. For any correspondence, please refer to Lei Jiang and Hao Peng.</t>
  </si>
  <si>
    <t>978-1-4503-9236-5</t>
  </si>
  <si>
    <t>10.1145/3511808.3557278</t>
  </si>
  <si>
    <t>BV8AK</t>
  </si>
  <si>
    <t>WOS:001074639601064</t>
  </si>
  <si>
    <t>Mensah, S; Hu, CM; Li, X; Liu, XD; Zhang, RC</t>
  </si>
  <si>
    <t>Mensah, Samuel; Hu, Chunming; Li, Xue; Liu, Xudong; Zhang, Richong</t>
  </si>
  <si>
    <t>A Probabilistic Model for User Interest Propagation in Recommender Systems</t>
  </si>
  <si>
    <t>Social networking (online); Recommender systems; Prediction algorithms; User-generated content; Probabilistic logic; Computational modeling; Sum product algorithm; Propagation; recommender system; sum-product algorithm; user interest modeling</t>
  </si>
  <si>
    <t>User interests modeling has been exploited as a critical component to improve the predictive performance of recommender systems. However, with the absence of explicit information to model user interests, most approaches to recommender systems exploit users activities (user generated contents or user ratings) to inference the interest of users. In reality, the relationship among users also serves as a rich source of information of shared interest. To this end, we propose a framework which avoids the sole dependence of user activities to infer user interests and allows the exploitation of the direct relationship between users to propagate user interests to improve system's performance. In this paper, we advocate a novel modeling framework. We construct a probabilistic user interests model and propose a user interests propagation algorithm (UIP), which applies a factor graph based approach to estimate the distribution of the interests of users. Moreover, we incorporate our UIP algorithm with conventional matrix factorization (MF) for recommender systems. Experimental results demonstrate that our proposed approach outperforms previous methods used for recommender systems.</t>
  </si>
  <si>
    <t>[Mensah, Samuel; Hu, Chunming; Li, Xue; Liu, Xudong; Zhang, Richong] Beihang Univ, Sch Comp Sci &amp; Engn, BDBC, Beijing 100191, Peoples R China; [Mensah, Samuel; Hu, Chunming; Li, Xue; Liu, Xudong; Zhang, Richong] Beihang Univ, Sch Comp Sci &amp; Engn, SKLSDE, Beijing 100191, Peoples R China</t>
  </si>
  <si>
    <t>Beihang University; Beihang University</t>
  </si>
  <si>
    <t>Hu, CM (corresponding author), Beihang Univ, Sch Comp Sci &amp; Engn, BDBC, Beijing 100191, Peoples R China.</t>
  </si>
  <si>
    <t>hucm@act.buaa.edu.cn</t>
  </si>
  <si>
    <t>Liu, Xudong/AAW-1567-2021</t>
  </si>
  <si>
    <t>Mensah, Samuel/0000-0003-0779-5574</t>
  </si>
  <si>
    <t>National Natural Science Foundation of China [61772059, 61421003]; Beijing Advanced Innovation Center for Big Data and Brain Computing (BDBC); State Key Laboratory of Software Development Environment; Fundamental Research Funds for the Central Universities; Beijing ST Committee</t>
  </si>
  <si>
    <t>National Natural Science Foundation of China(National Natural Science Foundation of China (NSFC)); Beijing Advanced Innovation Center for Big Data and Brain Computing (BDBC); State Key Laboratory of Software Development Environment; Fundamental Research Funds for the Central Universities(Fundamental Research Funds for the Central Universities); Beijing ST Committee</t>
  </si>
  <si>
    <t>This work is supported partly by the National Natural Science Foundation of China (No. 61772059, 61421003), by the Beijing Advanced Innovation Center for Big Data and Brain Computing (BDBC), by the State Key Laboratory of Software Development Environment, by the Fundamental Research Funds for the Central Universities and by the Beijing S&amp;T Committee.</t>
  </si>
  <si>
    <t>10.1109/ACCESS.2020.3001210</t>
  </si>
  <si>
    <t>MM0LR</t>
  </si>
  <si>
    <t>WOS:000549852300001</t>
  </si>
  <si>
    <t>Liu, TC; Liao, JX; Wang, YL; Wang, JY; Qi, Q</t>
  </si>
  <si>
    <t>Liu, Tongcun; Liao, Jianxin; Wang, Yulong; Wang, Jingyu; Qi, Qi</t>
  </si>
  <si>
    <t>Collaborative tensor-topic factorization model for personalized activity recommendation</t>
  </si>
  <si>
    <t>Location-based social network; Tensor factorization; Biterm topic model; Activity recommendation</t>
  </si>
  <si>
    <t>Activity recommendation is a new aspect of location-based social networks (LBSNs) that is being increasingly researched in academia and industry. Previous studies focus mainly on the identification of behavioral regularity by users and use sporadic check-in data, so they suffer severely from data sparsity problems and provide inaccurate recommendations. Furthermore, tips that imply a user's interests and the semantic data available for locations have not been extensively investigated. In this paper, we describe a collaborative tensor-topic factorization (CTTF) model that incorporates user interest topics and activity topics into a tensor factorization framework to create improved activity recommendations for users. We represent user activity feedback with a third-order tensor and penalize false preferences inferred from check-ins using term frequency-inverse document frequency. A biterm topic model was used to learn user interest topics and activity topics from location content information. We learned the latent relations between users, activities, and times by incorporating user interest topics and activity topics into a tensor factorization framework. Experimental results on real world datasets show that the CTTF model outperforms current state-of-the-art approaches.</t>
  </si>
  <si>
    <t>[Liu, Tongcun; Liao, Jianxin; Wang, Yulong; Wang, Jingyu; Qi, Qi] Beijing Univ Posts &amp; Telecommun, State Key Lab Networking &amp; Switching Technol, Beijing 100876, Peoples R China</t>
  </si>
  <si>
    <t>Liu, TC (corresponding author), Beijing Univ Posts &amp; Telecommun, State Key Lab Networking &amp; Switching Technol, Beijing 100876, Peoples R China.</t>
  </si>
  <si>
    <t>tongcun.liu@gmail.com</t>
  </si>
  <si>
    <t>Wang, Jingyu/JFK-6346-2023; 王, 玉龙/PGT-1150-2026</t>
  </si>
  <si>
    <t>Liu, TongCun/0000-0002-0520-7807</t>
  </si>
  <si>
    <t>National Natural Science Foundation of China [617710686, 61671079, 61471063, 61372120, 61421061]; Beijing Municipal Natural Science Foundation [4182041, 4152039]; National Basic Research Program of China [2013CB329102]</t>
  </si>
  <si>
    <t>National Natural Science Foundation of China(National Natural Science Foundation of China (NSFC)); Beijing Municipal Natural Science Foundation(Beijing Natural Science Foundation); National Basic Research Program of China(National Basic Research Program of China)</t>
  </si>
  <si>
    <t>This work was jointly supported by: (1) National Natural Science Foundation of China (Nos. 617710686, 61671079, 61471063, 61372120, and 61421061); (2) Beijing Municipal Natural Science Foundation (Nos. 4182041 and 4152039); and (3) the National Basic Research Program of China (No. 2013CB329102).</t>
  </si>
  <si>
    <t>10.1007/s11042-018-7019-9</t>
  </si>
  <si>
    <t>IE0RM</t>
  </si>
  <si>
    <t>WOS:000472094500053</t>
  </si>
  <si>
    <t>Dolezal, D; Posekany, A; Vittori, L; Koppensteiner, G; Motschnig, R</t>
  </si>
  <si>
    <t>Dolezal, Dominik; Posekany, Alexandra; Vittori, Lisa; Koppensteiner, Gottfried; Motschnig, Renate</t>
  </si>
  <si>
    <t>Student-Centered Classrooms in Engineering Education: Concept and Evaluation of a Learning Office for Software Development and Applied Mathematics</t>
  </si>
  <si>
    <t>2018 IEEE FRONTIERS IN EDUCATION CONFERENCE (FIE)</t>
  </si>
  <si>
    <t>Frontiers in Education Conference</t>
  </si>
  <si>
    <t>48th IEEE Frontiers in Education Conference (FIE)</t>
  </si>
  <si>
    <t>OCT 03-06, 2018</t>
  </si>
  <si>
    <t>San Jose State Univ, San Jose, CA</t>
  </si>
  <si>
    <t>Inst Elect &amp; Elect Engineers,Inst Elect &amp; Elect Engineers Educ Soc,Inst Elect &amp; Elect Engineers Comp Soc,Amer Soc Engn Educ, Educat Res Methods Div,SJSU Charles W Davidson Coll Engn</t>
  </si>
  <si>
    <t>San Jose State Univ</t>
  </si>
  <si>
    <t>learning office; person-centered learning; student-centered classrooms; engineering education</t>
  </si>
  <si>
    <t>ENGAGEMENT</t>
  </si>
  <si>
    <t>This Research to Practice Full Paper depicts and evaluates a school pilot project introducing student-centered classrooms for applied mathematics and software development at a higher technical secondary school. These student-centered classrooms are an alternative organizational form: If students choose to participate in the pilot project, they have non-traditional class schedules. Students can choose freely which subject they want to work on each day and visit the respective room, called learning office. Self-explanatory learning material is available in each learning office and students work independently on exercises and projects at their own pace and level, allowing them to specialize according to their personal interests. Teachers accompany pupils as coaches who help them plan and structure. The evaluation showed that students choosing the student-centered form need time, about half a year, to adapt to the change of system and thus perform worse in their first attempt at exams. However, after passing the first year, there is no notable difference in software development and only a weakly significant difference in applied mathematics. The average grades and passing rate of the two approaches show no notable differences. By cooperating significantly more frequently they develop social skills and show significantly higher motivation for attending school.</t>
  </si>
  <si>
    <t>[Dolezal, Dominik; Posekany, Alexandra; Vittori, Lisa; Koppensteiner, Gottfried] TGM Vienna Inst Technol, IT Dept, Vienna, Austria; [Dolezal, Dominik; Posekany, Alexandra] Univ Appl Sci Technikum Wien, Dept Comp Sci, Vienna, Austria; [Posekany, Alexandra] Danube Univ Krems, Dept Clin Neurosci &amp; Prevent Med, Krems, Austria; [Dolezal, Dominik; Motschnig, Renate] Univ Vienna, Fac Comp Sci, Vienna, Austria</t>
  </si>
  <si>
    <t>Danube University Krems; University of Vienna</t>
  </si>
  <si>
    <t>Dolezal, D (corresponding author), TGM Vienna Inst Technol, IT Dept, Vienna, Austria.;Dolezal, D (corresponding author), Univ Appl Sci Technikum Wien, Dept Comp Sci, Vienna, Austria.;Dolezal, D (corresponding author), Univ Vienna, Fac Comp Sci, Vienna, Austria.</t>
  </si>
  <si>
    <t>Motschnig, Renate/IZQ-2392-2023; Dolezal, Dominik/ABA-3043-2021</t>
  </si>
  <si>
    <t>Dolezal, Dominik/0000-0002-0125-4817</t>
  </si>
  <si>
    <t>Austrian Ministry of Education (Bundesministerium fur Bildung, Wissenschaft und Forschung); eEducation Austria Center (Bundes- und Koordinationszentrum eEducation Austria)</t>
  </si>
  <si>
    <t>We would like to thank our students for their courage and trust to be the first students to take part in this school pilot project. Your participation enables us to pursue our research and lay the foundation for the learning office approach and helps future students in the field of engineering education. We would also like to thank the Austrian Ministry of Education (Bundesministerium fur Bildung, Wissenschaft und Forschung) as well as the eEducation Austria Center (Bundes- und Koordinationszentrum eEducation Austria) for their support.</t>
  </si>
  <si>
    <t>0190-5848</t>
  </si>
  <si>
    <t>978-1-5386-1174-6</t>
  </si>
  <si>
    <t>PROC FRONT EDUC CONF</t>
  </si>
  <si>
    <t>Education, Scientific Disciplines; Engineering, Electrical &amp; Electronic</t>
  </si>
  <si>
    <t>BM7TQ</t>
  </si>
  <si>
    <t>WOS:000468396901066</t>
  </si>
  <si>
    <t>Gao, M; Lim, EP; Lo, D; Zhu, FD; Prasetyo, PK; Zhou, AY</t>
  </si>
  <si>
    <t>Aggarwal, C; Zhou, ZH; Tuzhilin, A; Xiong, H; Wu, X</t>
  </si>
  <si>
    <t>Gao, Ming; Lim, Ee-Peng; Lo, David; Zhu, Feida; Prasetyo, Philips Kokoh; Zhou, Aoying</t>
  </si>
  <si>
    <t>CNL: Collective Network Linkage across Heterogeneous Social Platforms</t>
  </si>
  <si>
    <t>2015 IEEE INTERNATIONAL CONFERENCE ON DATA MINING (ICDM)</t>
  </si>
  <si>
    <t>IEEE International Conference on Data Mining</t>
  </si>
  <si>
    <t>IEEE International Conference on Data Mining (ICDM)</t>
  </si>
  <si>
    <t>Atlantic City, NJ</t>
  </si>
  <si>
    <t>IEEE Comp Soc,Stony Brook Univ,Pinnacle,IEEE,RUTGERS,KD nuggets,cisco,drawbridge,NSF</t>
  </si>
  <si>
    <t>The popularity of social media has led many users to create accounts with different online social networks. Identifying these multiple accounts belonging to same user is of critical importance to user profiling, community detection, user behavior understanding and product recommendation. Nevertheless, linking users across heterogeneous social networks is challenging due to large network sizes, heterogeneous user attributes and behaviors in different networks, and noises in user generated data. In this paper, we propose an unsupervised method, Collective Network Linkage (CNL), to link users across heterogeneous social networks. CNL incorporates heterogeneous attributes and social features unique to social network users, handles missing data, and performs in a collective manner. CNL is highly accurate and efficient even without training data. We evaluate CNL on linking users across different social networks. Our experiment results on a Twitter network and another Foursquare network demonstrate that CNL performs very well and its accuracy is superior than the supervised Mobius approach.</t>
  </si>
  <si>
    <t>[Gao, Ming] ECNU, Inst Data Sci &amp; Engn, 3663 Zhongshan Rd N, Shanghai 200062, Peoples R China; [Gao, Ming] SMU, Sch Informat Syst, Shanghai 200062, Peoples R China; [Lim, Ee-Peng; Lo, David; Zhu, Feida; Prasetyo, Philips Kokoh] SMU, Sch Informat Syst, Singapore 178902, Singapore; [Zhou, Aoying] ECNU, Shanghai Key Lab Trustworthy Comp, Shanghai 200062, Peoples R China</t>
  </si>
  <si>
    <t>East China Normal University; Shanghai Maritime University; Singapore Management University; East China Normal University</t>
  </si>
  <si>
    <t>Gao, M (corresponding author), ECNU, Inst Data Sci &amp; Engn, 3663 Zhongshan Rd N, Shanghai 200062, Peoples R China.;Gao, M (corresponding author), SMU, Sch Informat Syst, Shanghai 200062, Peoples R China.</t>
  </si>
  <si>
    <t>mgao@sei.ecnu.edu.cn; eplim@smu.edu.sg; davidlo@smu.edu.sg; fdzhu@smu.edu.sg; pprasetyo@smu.edu.sg; ayzhou@sei.ecnu.edu.cn</t>
  </si>
  <si>
    <t>Zhu, Feida/E-8579-2012; Lim, Ee-Peng/E-8562-2012; Lo, David/A-2493-2012</t>
  </si>
  <si>
    <t>Zhu, Feida/0000-0001-6077-4356; Lim, Ee-Peng/0000-0003-0065-8665; Lo, David/0000-0002-4367-7201</t>
  </si>
  <si>
    <t>1550-4786</t>
  </si>
  <si>
    <t>978-1-4673-9503-8</t>
  </si>
  <si>
    <t>IEEE DATA MINING</t>
  </si>
  <si>
    <t>10.1109/ICDM.2015.34</t>
  </si>
  <si>
    <t>BF3GO</t>
  </si>
  <si>
    <t>WOS:000380541000082</t>
  </si>
  <si>
    <t>Krishna, SMH; Hegde, S; Santosh, G; Shivakumar, M; Srihari, R; Lakshmi, NS</t>
  </si>
  <si>
    <t>Krishna, Hari S. M.; Hegde, Shridhar; Santosh, G.; Shivakumar, M.; Srihari, R.; Lakshmi, Shree N.</t>
  </si>
  <si>
    <t>User Interest Prediction based on Social Network Profile with Machine Learning</t>
  </si>
  <si>
    <t>2021 6TH INTERNATIONAL CONFERENCE FOR CONVERGENCE IN TECHNOLOGY (I2CT)</t>
  </si>
  <si>
    <t>6th International Conference for Convergence in Technology (I2CT)</t>
  </si>
  <si>
    <t>APR 02-04, 2021</t>
  </si>
  <si>
    <t>ELECTR NETWORK</t>
  </si>
  <si>
    <t>IEEE Bombay Sect,Siddhant Coll Engn</t>
  </si>
  <si>
    <t>Data Analysis; Social Network Mining; Machine Learning; Image Processing; Data Visualization</t>
  </si>
  <si>
    <t>The explosion of social media data which holds important, massive, rapidly evolving unstructured information has provided an opportunity to research public opinion and know people's feelings. Capturing the views on social events, corporate strategies, political movements, marketing campaigns and product preferences et cetera brings growing interest from the scientific and business communities to improve their performances. This has resulted in an emerging field of social network mining or sentiment analysis. This paper describes a system that was built to analyze data from social media platforms such as Twitter, Instagram, Facebook and Reddit. The data is gathered from various services and programs which involves using the official API's and scraping tools. Machine Learning &amp; Image Processing algorithms are applied on the gathered data to gain insights about the individual users' interests, usage patterns, media reachability, et cetera. These models are then relayed to a web application where various visualizations of the insights can be obtained.</t>
  </si>
  <si>
    <t>[Krishna, Hari S. M.; Hegde, Shridhar; Santosh, G.; Shivakumar, M.; Srihari, R.; Lakshmi, Shree N.] MS Ramaiah Univ Appl Sci, Dept Comp Sci &amp; Engn, Bangalore, Karnataka, India</t>
  </si>
  <si>
    <t>M. S. Ramaiah University of Applied Sciences</t>
  </si>
  <si>
    <t>Krishna, SMH (corresponding author), MS Ramaiah Univ Appl Sci, Dept Comp Sci &amp; Engn, Bangalore, Karnataka, India.</t>
  </si>
  <si>
    <t>harikrishna.cs.et@msruas.ac.in; iamshridharhegde@gmail.com; santoshgunashekar@gmail.com; shivakumarm250@gmail.com; sriharikrishna06@gmail.com; shrelakshmi.n@gmail.com</t>
  </si>
  <si>
    <t>/ABI-8049-2020</t>
  </si>
  <si>
    <t>978-1-7281-8876-8</t>
  </si>
  <si>
    <t>10.1109/I2CT51068.2021.9418126</t>
  </si>
  <si>
    <t>BR9PH</t>
  </si>
  <si>
    <t>WOS:000679383900222</t>
  </si>
  <si>
    <t>Nguyen, H; Richards, R; Chan, CC; Liszka, KJ</t>
  </si>
  <si>
    <t>Hoang Nguyen; Richards, Rachel; Chan, Chien-Chung; Liszka, Kathy J.</t>
  </si>
  <si>
    <t>RedTweet: recommendation engine for reddit</t>
  </si>
  <si>
    <t>JOURNAL OF INTELLIGENT INFORMATION SYSTEMS</t>
  </si>
  <si>
    <t>Social networking; Genre classification; Ensemble classifiers; Twitter; Reddit; WordNet</t>
  </si>
  <si>
    <t>Twitter and Reddit are two of the most popular social media sites used today. In this paper, we study the use of machine learning and WordNet-based classifiers to generate an interest profile from a user's tweets and use this to recommend loosely related Reddit threads which the reader is most likely to be interested in. We introduce a genre classification algorithm using a similarity measure derived from WordNet lexical database for English to label genres for nouns in tweets. The proposed algorithm generates a user's interest profile from their tweets based on a referencing taxonomy of genres derived from the genre-tagged Brown Corpus augmented with a technology genre. The top K genres of a user's interest profile can be used for recommending subreddit articles in those genres. Experiments using real life test cases collected from Twitter have been done to compare the performance on genre classification by using the WordNet classifier and machine learning classifiers such as SVM, Random Forests, and an ensemble of Bayesian classifiers. Empirically, we have obtained similar results from the two different approaches with a sufficient number of tweets. It seems that machine learning algorithms as well as the WordNet ontology are viable tools for developing recommendation engine based on genre classification. One advantage of the WordNet approach is simplicity and no learning is required. However, the WordNet classifier tends to have poor precision on users with very few tweets.</t>
  </si>
  <si>
    <t>[Hoang Nguyen; Richards, Rachel; Chan, Chien-Chung; Liszka, Kathy J.] Univ Akron, Dept Comp Sci, Akron, OH 44325 USA</t>
  </si>
  <si>
    <t>University System of Ohio; University of Akron</t>
  </si>
  <si>
    <t>Chan, CC (corresponding author), Univ Akron, Dept Comp Sci, Akron, OH 44325 USA.</t>
  </si>
  <si>
    <t>chan@uakron.edu; liszka@uakron.edu</t>
  </si>
  <si>
    <t>0925-9902</t>
  </si>
  <si>
    <t>1573-7675</t>
  </si>
  <si>
    <t>J INTELL INF SYST</t>
  </si>
  <si>
    <t>J. Intell. Inf. Syst.</t>
  </si>
  <si>
    <t>10.1007/s10844-016-0410-y</t>
  </si>
  <si>
    <t>DW3WT</t>
  </si>
  <si>
    <t>WOS:000383574500005</t>
  </si>
  <si>
    <t>Reinhard, S; Serth, S; Staubitz, T; Meinel, C</t>
  </si>
  <si>
    <t>Reinhard, Selina; Serth, Sebastian; Staubitz, Thomas; Meinel, Christoph</t>
  </si>
  <si>
    <t>From One-Size-Fits-All to Individualisation: Redefining MOOCs through Flexible Learning Paths</t>
  </si>
  <si>
    <t>PROCEEDINGS OF THE ELEVENTH ACM CONFERENCE ON LEARNING@SCALE, L@S 2024</t>
  </si>
  <si>
    <t>11h ACM Conference on Learning@Scale (L@S)</t>
  </si>
  <si>
    <t>JUL 18-20, 2024</t>
  </si>
  <si>
    <t>MOOC; Learning Path; Flexibility; Individualisation; Course Design; Self-Regulated Learning</t>
  </si>
  <si>
    <t>INTRINSIC MOTIVATION</t>
  </si>
  <si>
    <t>Massive Open Online Courses (MOOCs) are a popular form of online education that often attracts a huge and heterogeneous group of learners with diverse interests and backgrounds. However, most MOOCs follow a one-size-fits-all approach, providing a fixed order of learning materials and expecting all learners to follow this recommended path. Thus, they neither motivate nor support their learners in adapting the courses to their individual preferences. In the work at hand, we tackle this issue by introducing and evaluating the concept of flexible learning paths in MOOCs. We, therefore, establish a network of dependencies between course content, omit intermediate deadlines, and thereby rethink the way learners interact with the course. By presenting learners with a non-linear course format, we encourage them to create their individual learning paths based on instructor-defined dependencies and their personal interests. Our evaluation of flexible learning paths within a programming MOOC shows that learners chose many different learning paths. Despite achieving similar results in individual tasks compared to learners using the traditional course structure, they engaged with less course content, resulting in a slight decrease in their overall performance. This may indicate a lack of self-regulatory learning skills, with learners struggling to organise their work without instructorgiven deadlines. However, the flexible course format significantly increased the motivation of learners. By introducing and evaluating the concept of flexible learning paths in MOOCs, this work provides valuable insights into the individualisation of online education.</t>
  </si>
  <si>
    <t>[Reinhard, Selina; Serth, Sebastian; Meinel, Christoph] Hasso Plattner Inst, Potsdam, Brandenburg, Germany; [Staubitz, Thomas; Meinel, Christoph] German Univ Digital Sci, Potsdam, Brandenburg, Germany</t>
  </si>
  <si>
    <t>University of Potsdam</t>
  </si>
  <si>
    <t>Reinhard, S (corresponding author), Hasso Plattner Inst, Potsdam, Brandenburg, Germany.</t>
  </si>
  <si>
    <t>selina.reinhard@student.hpi.de; sebastian.serth@hpi.de; thomas.staubitz@german-uds.de; christoph.meinel@hpi.de</t>
  </si>
  <si>
    <t>Serth, Sebastian/AGY-1728-2022; Staubitz, Thomas/ABE-5388-2020</t>
  </si>
  <si>
    <t>Serth, Sebastian/0000-0003-1236-6600; Staubitz, Thomas/0000-0002-8595-7922; Reinhard, Selina/0009-0004-4915-0103</t>
  </si>
  <si>
    <t>979-8-4007-0633-2</t>
  </si>
  <si>
    <t>10.1145/3657604.3662037</t>
  </si>
  <si>
    <t>Computer Science, Interdisciplinary Applications; Computer Science, Theory &amp; Methods; Education &amp; Educational Research; Education, Scientific Disciplines</t>
  </si>
  <si>
    <t>BX3EU</t>
  </si>
  <si>
    <t>WOS:001276257200013</t>
  </si>
  <si>
    <t>Chan, YC; Chung, KL; Hew, KF</t>
  </si>
  <si>
    <t>Chan, Yat Chung; Lo, Chung Kwan; Hew, Khe Foon</t>
  </si>
  <si>
    <t>An Exploratory Study of Using the Next Generation Science Standards (NGSS) to flip Hong Kong Secondary School Science Education</t>
  </si>
  <si>
    <t>2018 2ND INTERNATIONAL CONFERENCE ON E-SOCIETY, E-EDUCATION AND E-TECHNOLOGY (ICSET 2018)</t>
  </si>
  <si>
    <t>2nd International Conference on E-Society, E-Education and E-Technology (ICSET)</t>
  </si>
  <si>
    <t>AUG 13-15, 2018</t>
  </si>
  <si>
    <t>Ming Chuan Univ, Taipei, TAIWAN</t>
  </si>
  <si>
    <t>Ming Chuan Univ</t>
  </si>
  <si>
    <t>NGSS; science education; flipped learning; flipped classroom; inverted classroom</t>
  </si>
  <si>
    <t>INSTRUCTION; PRINCIPLES; CLASSROOMS</t>
  </si>
  <si>
    <t>In Hong Kong, student interest and achievement in science have been declining in recent years. We thus aim to seek ways to improve our science education. This paper reports an attempt of using the flipped classroom approach together with the Next Generation Science Standards (NGSS) to deliver a science unit (electrical conductors and insulators). This exploratory study was divided into two stages. In Stage 1, the teacher-researcher designed the science lessons using the NGSS and prepared flipped learning materials (e.g., pre-class videos, online exercises, class activities). In Stage 2, these lessons were implemented in a Hong Kong secondary school, involving a total of 32 ninth-graders from two classes. At the end of this study, two focus group interviews (five students each) were conducted to understand student perceptions of flipped science learning. Teacher reflections of the implementation were also collected and analyzed to reveal his experiences of flipping with the NGSS. Overall, the findings suggest that the students perceived flipped science learning positively because of the ability of self-paced learning, better class preparation, and more in-class interactions. From the teacher's point of view, however, the science curriculum in Hong Kong and the NGSS are different in terms of their focus and content. Time constraint and inadequate laboratory equipment in school also hindered the implementation of the NGSS in Hong Kong. We recommend further research be conducted to investigate how to adopt the NGSS in other topics of Hong Kong science education and examine its effects on student interest and achievement in the long run.</t>
  </si>
  <si>
    <t>[Chan, Yat Chung; Lo, Chung Kwan; Hew, Khe Foon] Univ Hong Kong, Fac Educ, Hong Kong, Peoples R China</t>
  </si>
  <si>
    <t>University of Hong Kong</t>
  </si>
  <si>
    <t>Chan, YC (corresponding author), Univ Hong Kong, Fac Educ, Hong Kong, Peoples R China.</t>
  </si>
  <si>
    <t>roychan919@gmail.com; cklohku@gmail.com; kfhew@hku.hk</t>
  </si>
  <si>
    <t>Hew, Khe/ABB-1737-2020; Lo, Chung Kwan/HZH-6853-2023</t>
  </si>
  <si>
    <t>Lo, Chung Kwan/0000-0003-2305-9227</t>
  </si>
  <si>
    <t>978-1-4503-6528-4</t>
  </si>
  <si>
    <t>10.1145/3268808.3268817</t>
  </si>
  <si>
    <t>Computer Science, Information Systems; Computer Science, Interdisciplinary Applications; Education &amp; Educational Research</t>
  </si>
  <si>
    <t>BO4YC</t>
  </si>
  <si>
    <t>WOS:000515699400003</t>
  </si>
  <si>
    <t>Wang, YQ; Feng, CY; Chen, L; Yin, HZ; Guo, CL; Chu, YF</t>
  </si>
  <si>
    <t>Wang, Yaqing; Feng, Chunyan; Chen, Ling; Yin, Hongzhi; Guo, Caili; Chu, Yunfei</t>
  </si>
  <si>
    <t>User identity linkage across social networks via linked heterogeneous network embedding</t>
  </si>
  <si>
    <t>WORLD WIDE WEB-INTERNET AND WEB INFORMATION SYSTEMS</t>
  </si>
  <si>
    <t>User identity linkage; Network embedding; Transfer learning; Heterogeneous social network</t>
  </si>
  <si>
    <t>User identity linkage has important implications in many cross-network applications, such as user profile modeling, recommendation and link prediction across social networks. To discover accurate cross-network user correspondences, it is a critical prerequisite to find effective user representations. While structural and content information describe users from different perspectives, there is a correlation between the two aspects of information. For example, a user who follows a celebrity tends to post content about the celebrity as well. Therefore, the projections of structural and content information of a user should be as close to each other as possible, which inspires us to fuse the two aspects of information in a unified space. However, owing to the information heterogeneity, most existing methods extract features from content and structural information respectively, instead of describing them in a unified way. In this paper, we propose a Linked Heterogeneous Network Embedding model (LHNE) to learn the comprehensive representations of users by collectively leveraging structural and content information in a unified framework. We first model the topics of user interests from content information to filter out noise. Next, cross-network structural and content information are embedded into a unified space by jointly capturing the friend-based and interest-based user co-occurrence in intra-network and inter-network, respectively. Meanwhile, LHNE learns user transfer and topic transfer for enhancing information exchange across networks. Empirical results show LHNE outperforms the state-of-the-art methods on both real social network and synthetic datasets and can work well even with little or no structural information.</t>
  </si>
  <si>
    <t>[Wang, Yaqing; Feng, Chunyan] Beijing Univ Posts &amp; Telecommun, Sch Informat &amp; Commun Engn, Beijing Key Lab Network Syst Architecture &amp; Conve, Beijing, Peoples R China; [Chen, Ling] Univ Technol Sydney, Ctr Artificial Intelligence, Sydney, NSW, Australia; [Yin, Hongzhi] Univ Queensland, Sch Informat Technol &amp; Elect Engn, Brisbane, Qld, Australia; [Guo, Caili; Chu, Yunfei] Beijing Lab Adv Informat Networks, Beijing, Peoples R China</t>
  </si>
  <si>
    <t>Beijing University of Posts &amp; Telecommunications; University of Technology Sydney; University of Queensland</t>
  </si>
  <si>
    <t>Wang, YQ (corresponding author), Beijing Univ Posts &amp; Telecommun, Sch Informat &amp; Commun Engn, Beijing Key Lab Network Syst Architecture &amp; Conve, Beijing, Peoples R China.</t>
  </si>
  <si>
    <t>wangyq@bupt.edu.cn; cyfeng@bupt.edu.cn; ling.chen@uts.edu.au; db.hongzhi@gmail.com; guocaili@bupt.edu.cn; yfchu@bupt.edu.cn</t>
  </si>
  <si>
    <t>Chu, Yunfei/C-8002-2013; Yin, Hongzhi/AAP-2078-2020</t>
  </si>
  <si>
    <t>Chen, Ling/0000-0002-6468-5729; Yin, Hongzhi/0000-0003-1395-261X</t>
  </si>
  <si>
    <t>1386-145X</t>
  </si>
  <si>
    <t>1573-1413</t>
  </si>
  <si>
    <t>WORLD WIDE WEB</t>
  </si>
  <si>
    <t>World Wide Web</t>
  </si>
  <si>
    <t>10.1007/s11280-018-0572-3</t>
  </si>
  <si>
    <t>JY3MK</t>
  </si>
  <si>
    <t>WOS:000504322400016</t>
  </si>
  <si>
    <t>Zhou, L; Chen, BL; Liu, H; Wang, LY</t>
  </si>
  <si>
    <t>Zhou, Lei; Chen, Bolun; Liu, Hu; Wang, Liuyang</t>
  </si>
  <si>
    <t>Personalized Sliding Window Recommendation Algorithm Based on Sequence Alignment</t>
  </si>
  <si>
    <t>personalized sliding window; recommendation algorithm; sequence alignment</t>
  </si>
  <si>
    <t>SYSTEMS; TIME</t>
  </si>
  <si>
    <t>With the explosive growth of the amount of information in social networks, the recommendation system, as an application of social networks, has attracted widespread attention in recent years on how to obtain user-interested content in massive data. At present, in the process of algorithm design of the recommending system, most methods ignore structural relationships between users. Therefore, in this paper, we designed a personalized sliding window for different users by combining timing information and network topology information, then extracted the information sequence of each user in the sliding window and obtained the similarity between users through sequence alignment. The algorithm only needs to extract part of the data in the original dataset, and the time series comparison shows that our method is superior to the traditional algorithm in recommendation Accuracy, Popularity, and Diversity.</t>
  </si>
  <si>
    <t>[Zhou, Lei; Chen, Bolun; Liu, Hu; Wang, Liuyang] Huaiyin Inst Technol, Fac Comp &amp; Software Engn, Huaian 223003, Peoples R China; [Chen, Bolun] Univ Fribourg, Dept Phys, CH-1700 Fribourg, Switzerland</t>
  </si>
  <si>
    <t>Huai'an University; University of Fribourg</t>
  </si>
  <si>
    <t>Zhou, L (corresponding author), Huaiyin Inst Technol, Fac Comp &amp; Software Engn, Huaian 223003, Peoples R China.</t>
  </si>
  <si>
    <t>zhoulei@hyit.edu.cn</t>
  </si>
  <si>
    <t>Humanities and Social Sciences Project of the Ministry of Education of China; Chinese National Natural Science Foundation [61602202, 61603146]; Natural Science Foundation of Jiangsu Province [BK20160428, BK20160427]; Six talent peaks project in Jiangsu Province [XYDXX-034]; Jiangsu Association for science and technology</t>
  </si>
  <si>
    <t>Humanities and Social Sciences Project of the Ministry of Education of China; Chinese National Natural Science Foundation(National Natural Science Foundation of China (NSFC)); Natural Science Foundation of Jiangsu Province(Natural Science Foundation of Jiangsu Province); Six talent peaks project in Jiangsu Province; Jiangsu Association for science and technology</t>
  </si>
  <si>
    <t>This research was funded, in part, by the Humanities and Social Sciences Project of the Ministry of Education of China, the Chinese National Natural Science Foundation under grant numbers 61602202 and 61603146, the Natural Science Foundation of Jiangsu Province under contracts BK20160428 and BK20160427, the Six talent peaks project in Jiangsu Province under contract XYDXX-034, and the project in Jiangsu Association for science and technology.</t>
  </si>
  <si>
    <t>10.3390/e24111662</t>
  </si>
  <si>
    <t>6V7XP</t>
  </si>
  <si>
    <t>WOS:000895255900001</t>
  </si>
  <si>
    <t>Chomutare, T; Årsand, E; Fernandez-Luque, L; Lauritzen, J; Hartvigsen, G</t>
  </si>
  <si>
    <t>Chomutare, T.; Arsand, E.; Fernandez-Luque, L.; Lauritzen, J.; Hartvigsen, G.</t>
  </si>
  <si>
    <t>Inferring Community Structure in Healthcare Forums An Empirical Study</t>
  </si>
  <si>
    <t>METHODS OF INFORMATION IN MEDICINE</t>
  </si>
  <si>
    <t>Diabetes; social networks; homophily; assortativity; community detection</t>
  </si>
  <si>
    <t>LARGE SOCIAL NETWORK; COMPLEX NETWORKS; COLLECTIVE DYNAMICS; CONTAGION; SMOKING; SPREAD</t>
  </si>
  <si>
    <t>Background: Detecting community structures in complex networks is a problem interesting to several domains. In healthcare, discovering communities may enhance the quality of web offerings for people with chronic diseases. Understanding the social dynamics and community attachments is key to predicting and influencing interaction and information flow to the right patients. Objectives: The goal of the study is to empirically assess the extent to which we can infer meaningful community structures from implicit networks of peer interaction in online healthcare forums. Methods: We used datasets from five online diabetes forums to design networks based on peer-interactions. A quality function based on user interaction similarity was used to assess the quality of the discovered communities to complement existing homophily measures. Results: Results show that we can infer meaningful communities by observing forum interactions. Closely similar users tended to co-appear in the top communities, suggesting the discovered communities are intuitive. The number of years since diagnosis was a significant factor for cohesiveness in some diabetes communities. Conclusion: Network analysis is a tool that can be useful in studying implicit networks that form in healthcare forums. Current analysis informs further work on predicting and influencing interaction, information flow and user interests that could be useful for personalizing medical social media.</t>
  </si>
  <si>
    <t>[Chomutare, T.; Arsand, E.; Hartvigsen, G.] Univ Hosp North Norway, Norwegian Ctr Integrated Care &amp; Telemed, N-9038 Tromso, Norway; [Fernandez-Luque, L.] Northern Res Inst, Tromso, Norway; [Arsand, E.; Lauritzen, J.] Univ Tromso, Dept Comp Sci, Tromso, Norway</t>
  </si>
  <si>
    <t>UiT The Arctic University of Tromso; University Hospital of North Norway; UiT The Arctic University of Tromso</t>
  </si>
  <si>
    <t>Chomutare, T (corresponding author), Univ Hosp North Norway, Norwegian Ctr Integrated Care &amp; Telemed, N-9038 Tromso, Norway.</t>
  </si>
  <si>
    <t>taridzo.chomutare@telemed.no</t>
  </si>
  <si>
    <t>; Hartvigsen, Gunnar/L-1646-2013; Fernandez-Luque, Luis/C-6723-2011</t>
  </si>
  <si>
    <t>Chomutare, Taridzo/0000-0003-3603-175X; Fernandez-Luque, Luis/0000-0001-8165-9904</t>
  </si>
  <si>
    <t>Research Program for Telemedicine, Helse Nord RHF, Norway; Centre for Research-based Innovation, Tromso Telemedicine Lab. (TTL), Norwegian Research Council [174934]</t>
  </si>
  <si>
    <t>Research Program for Telemedicine, Helse Nord RHF, Norway; Centre for Research-based Innovation, Tromso Telemedicine Lab. (TTL), Norwegian Research Council</t>
  </si>
  <si>
    <t>Work supported in part by the Research Program for Telemedicine, Helse Nord RHF, Norway, and Centre for Research-based Innovation, Tromso Telemedicine Lab. (TTL), Norwegian Research Council Grant No. 174934.</t>
  </si>
  <si>
    <t>SCHATTAUER GMBH-VERLAG MEDIZIN NATURWISSENSCHAFTEN</t>
  </si>
  <si>
    <t>STUTTGART</t>
  </si>
  <si>
    <t>HOLDERLINSTRASSE 3, D-70174 STUTTGART, GERMANY</t>
  </si>
  <si>
    <t>0026-1270</t>
  </si>
  <si>
    <t>METHOD INFORM MED</t>
  </si>
  <si>
    <t>Methods Inf. Med.</t>
  </si>
  <si>
    <t>10.3414/ME12-02-0003</t>
  </si>
  <si>
    <t>Computer Science, Information Systems; Health Care Sciences &amp; Services; Medical Informatics</t>
  </si>
  <si>
    <t>Computer Science; Health Care Sciences &amp; Services; Medical Informatics</t>
  </si>
  <si>
    <t>115WA</t>
  </si>
  <si>
    <t>WOS:000316841400008</t>
  </si>
  <si>
    <t>Abd El-Rahman, AAH; El Khayat, GA; Abd El-Ghaffar, Y</t>
  </si>
  <si>
    <t>Abd El-Rahman, Aya Aly Hassan; El Khayat, Ghada A.; Abd El-Ghaffar, Yasser</t>
  </si>
  <si>
    <t>Analyzing User Interests and Emotions for Product Recommendations Based on Interactive Social Media Content</t>
  </si>
  <si>
    <t>2025 INTERNATIONAL CONFERENCE ON MACHINE INTELLIGENCE AND SMART INNOVATION, ICMISI</t>
  </si>
  <si>
    <t>2025 International Conference on Machine Intelligence and Smart Innovation-ICMISI-Annual</t>
  </si>
  <si>
    <t>MAY 10-12, 2025</t>
  </si>
  <si>
    <t>Alexandria, EGYPT</t>
  </si>
  <si>
    <t>User Interest; User emotions; User profiling; Automatic personality recognition system; Bag-of-Words Model; Cold-Start</t>
  </si>
  <si>
    <t>COLD-START</t>
  </si>
  <si>
    <t>Online social networks have witnessed remarkable growth, with millions of users sharing data daily. This has significantly impacted social commerce, which combines online shopping with social networking to connect businesses and customers. Businesses leverage recommendation systems to examine purchase histories and propose products that capture customer interest. However, traditional product recommendation systems have two main drawbacks: repetitive recommendations and difficulty in predicting new items, generally known as the cold-start problem. Another problem that faces the user's topical interests and behavior mining is representing the user's content through the bag-of-words model, which may include items in the predicted interests that the user no longer finds interesting. In this paper, we introduce a new framework for building user profiles that capture both explicit and implicit topics of interest, providing insights into users' needs. Additionally, the framework identifies five emotional scores-joy, anger, sadness, fear, and disgust-that characterize each user and are used to create personality profiles. We investigate the possibility of determining the interests of users who are not active on social networks called cold-start users. We utilize real-world user data from Twitter (X) and focus on interactive tweets to enhance the accuracy of interest and emotion detection by introducing a novel scoring mechanism for tweet interactivity. This framework represents an intermediate stage in our research, serving as a foundation for future work in building a comprehensive product recommendation system. Results presented in this paper are very promising.</t>
  </si>
  <si>
    <t>[Abd El-Rahman, Aya Aly Hassan; El Khayat, Ghada A.; Abd El-Ghaffar, Yasser] Alexandria Univ, Fac Commerce, Informat Syst &amp; Comp Dept, Alexandria, Egypt</t>
  </si>
  <si>
    <t>Egyptian Knowledge Bank (EKB); Alexandria University</t>
  </si>
  <si>
    <t>Abd El-Rahman, AAH (corresponding author), Alexandria Univ, Fac Commerce, Informat Syst &amp; Comp Dept, Alexandria, Egypt.</t>
  </si>
  <si>
    <t>ayaalii@alexu.edu.eg; ghada.ellchayat@alexu.edu.eg; yasser.cis@gmail.com</t>
  </si>
  <si>
    <t>Abdelrahman, Aya/PCT-9724-2025</t>
  </si>
  <si>
    <t>979-8-3315-2350-3; 979-8-3315-2349-7</t>
  </si>
  <si>
    <t>10.1109/ICMISI65108.2025.11115465</t>
  </si>
  <si>
    <t>Computer Science, Artificial Intelligence; Engineering, Mechanical</t>
  </si>
  <si>
    <t>BZ4JO</t>
  </si>
  <si>
    <t>WOS:001583425500014</t>
  </si>
  <si>
    <t>Suganthini, C; Baskaran, R</t>
  </si>
  <si>
    <t>Suganthini, C.; Baskaran, R.</t>
  </si>
  <si>
    <t>Identifying Influential Communities Using IID for a Multilayer Networks</t>
  </si>
  <si>
    <t>INTELLIGENT AUTOMATION AND SOFT COMPUTING</t>
  </si>
  <si>
    <t>Influential information diffusion model; community detection; influential communities; social network</t>
  </si>
  <si>
    <t>INFORMATION DIFFUSION PROBABILITIES; SOCIAL NETWORKS; REAL-WORLD; ATTITUDES</t>
  </si>
  <si>
    <t>In online social networks (OSN), they generate several specific user activities daily, corresponding to the billions of data points shared. However, although users exhibit significant interest in social media, they are uninterested in the content, discussions, or opinions available on certain sites. Therefore, this study aims to identify influential communities and understand user behavior across networks in the information diffusion process. Social media platforms, such as Facebook and Twitter, extract data to analyze the information diffusion process, based on which they cascade information among the individuals in the network. Therefore, this study proposes an influential information diffusion model that identifies influential communities across these two social media sites. Moreover, it addresses site migration by visualizing a set of overlapping communities using hyper-edge detection. Thus, the overlapping community structure is used to identify similar communities with identical user interests. Furthermore, the community structure helps in determining the node activation and user influence from the information cascade model. Finally, the Fraction of Intra/Inter-Layer (FIL) diffusion score is used to evaluate the efficiency of the influential information diffusion model by analyzing the trending influential communities in a multilayer network. However, from the experimental result, it observes that the FIL diffusion score for the proposed method achieves better results in terms of accuracy, precision, recall and efficiency of community detection than the existing methods.</t>
  </si>
  <si>
    <t>[Suganthini, C.; Baskaran, R.] Anna Univ, Coll Engn, Dept Comp Sci &amp; Engn, Chennai, Tamilnadu, India</t>
  </si>
  <si>
    <t>Anna University; Anna University Chennai</t>
  </si>
  <si>
    <t>Suganthini, C (corresponding author), Anna Univ, Coll Engn, Dept Comp Sci &amp; Engn, Chennai, Tamilnadu, India.</t>
  </si>
  <si>
    <t>chinna246@gmail.com</t>
  </si>
  <si>
    <t>RAMACHANDRAN, BASKARAN/F-6219-2012; C, Suganthini/ADA-5774-2022</t>
  </si>
  <si>
    <t>Visvesvaraya Ph.D. Scheme of the Ministry of Electronics and Information Technology, Government of India</t>
  </si>
  <si>
    <t>This publication is an outcome of the R &amp; D work undertaken in the project under the Visvesvaraya Ph.D. Scheme of the Ministry of Electronics and Information Technology, Government of India, being implemented by Digital India Corporation (formerly Media Lab Asia).</t>
  </si>
  <si>
    <t>TECH SCIENCE PRESS</t>
  </si>
  <si>
    <t>HENDERSON</t>
  </si>
  <si>
    <t>871 CORONADO CENTER DR, SUTE 200, HENDERSON, NV 89052 USA</t>
  </si>
  <si>
    <t>1079-8587</t>
  </si>
  <si>
    <t>2326-005X</t>
  </si>
  <si>
    <t>INTELL AUTOM SOFT CO</t>
  </si>
  <si>
    <t>Intell. Autom. Soft Comput.</t>
  </si>
  <si>
    <t>10.32604/iasc.2023.034019</t>
  </si>
  <si>
    <t>Automation &amp; Control Systems; Computer Science, Artificial Intelligence</t>
  </si>
  <si>
    <t>8I1UG</t>
  </si>
  <si>
    <t>WOS:000921512300005</t>
  </si>
  <si>
    <t>Koggalahewa, D; Xu, Y; Foo, E</t>
  </si>
  <si>
    <t>Xu, Y; Wang, R; Lord, A; Boo, YL; Nayak, R; Zhao, Y; Williams, G</t>
  </si>
  <si>
    <t>Koggalahewa, Darshika; Xu, Yue; Foo, Ernest</t>
  </si>
  <si>
    <t>A Drift Aware Hierarchical Test Based Approach for Combating Social Spammers in Online Social Networks</t>
  </si>
  <si>
    <t>DATA MINING, AUSDM 2021</t>
  </si>
  <si>
    <t>Communications in Computer and Information Science</t>
  </si>
  <si>
    <t>19th Australasian Data Mining Conference (AusDM)</t>
  </si>
  <si>
    <t>DEC 14-15, 2021</t>
  </si>
  <si>
    <t>Spam detection; Concept drift; Hierarchical test</t>
  </si>
  <si>
    <t>MACHINE</t>
  </si>
  <si>
    <t>Spam detection in online social networks (OSNs) have become an immensely challenging task with the nature and the use of online social networks. The spammers tend to change their behaviors over time which is commonly known as the spam drift in Online Social networks. The most popular spam combatting approaches, such as classification will grew mere unsuccessful when the drift is present since old labels cannot be used to train the new classifiers. This paper presents the comprehensive results of an approach developed to identify the drift by using a set of datasets. It introduces a set of real time user interest-based features which can be used for spam drift detection in OSNs. The paper presents a hierarchical test-based drift detection approach for spam drift learning overtime, where it learns features in an unsupervised manner. The feature similarity differences, KL divergence and the Peer Acceptability of a user is then used to detect and validate the drifted content of spam users in the real time. The system automatically updates the learning model and relabeled the users with new predicted label for classification with the new knowledge acquired through drift detection. The results are encouraging. The error rate of the classifiers with drift detection is below 1%.</t>
  </si>
  <si>
    <t>[Koggalahewa, Darshika; Xu, Yue] Queensland Univ Technol, Brisbane, Qld, Australia; [Foo, Ernest] Griffith Univ, Brisbane, Qld, Australia</t>
  </si>
  <si>
    <t>Queensland University of Technology (QUT); Griffith University</t>
  </si>
  <si>
    <t>Koggalahewa, D (corresponding author), Queensland Univ Technol, Brisbane, Qld, Australia.</t>
  </si>
  <si>
    <t>darshikaniranjan.koggalahewa@hdr.qut.edu.au; yue.xu@qut.edu.au; e.foo@griffith.edu.au</t>
  </si>
  <si>
    <t>Foo, Ernest/AAU-2301-2021; Xu, Yue/AAD-9854-2020</t>
  </si>
  <si>
    <t>Foo, Ernest/0000-0002-3971-6415;</t>
  </si>
  <si>
    <t>1865-0929</t>
  </si>
  <si>
    <t>1865-0937</t>
  </si>
  <si>
    <t>978-981-16-8531-6; 978-981-16-8530-9</t>
  </si>
  <si>
    <t>COMM COM INF SC</t>
  </si>
  <si>
    <t>10.1007/978-981-16-8531-6_4</t>
  </si>
  <si>
    <t>BU6FS</t>
  </si>
  <si>
    <t>WOS:000923379400004</t>
  </si>
  <si>
    <t>Bampatzia, S; Antoniou, A; Lepouras, G; Vasilakis, C; Wallace, M</t>
  </si>
  <si>
    <t>Anagnostopoulos, I; Paraskakis, I</t>
  </si>
  <si>
    <t>Bampatzia, Stavroula; Antoniou, Angeliki; Lepouras, George; Vasilakis, Costas; Wallace, Manolis</t>
  </si>
  <si>
    <t>Using Social media to stimulate history reflection in cultural heritage</t>
  </si>
  <si>
    <t>2016 11TH INTERNATIONAL WORKSHOP ON SEMANTIC AND SOCIAL MEDIA ADAPTATION AND PERSONALIZATION (SMAP)</t>
  </si>
  <si>
    <t>11th International Workshop on Semantic and Social Media Adaptation and Personalization (SMAP)</t>
  </si>
  <si>
    <t>OCT 20-21, 2016</t>
  </si>
  <si>
    <t>IEEE Computat Intelligence Soc,Univ Thessaly,S E European Res Ctr,Univ Thessaly, Dept Comp Sci &amp; Biomed Informat</t>
  </si>
  <si>
    <t>social networks; user profiling; cognitive style; reflection; history</t>
  </si>
  <si>
    <t>CrossCult H2020 is a European project, the aim of which is the reflection of history in a cultural setting. In this paper, we describe how social media can be linked to cultural heritage and in particular how we can incorporate games, social networks, history reflection and culture. The paper presents the case study of one of the project pilots, to show how history reflection can be enhanced with the use of social networks.</t>
  </si>
  <si>
    <t>[Bampatzia, Stavroula; Antoniou, Angeliki; Lepouras, George; Vasilakis, Costas] Univ Peloponnese, Dept Informat &amp; Telecommun, Human Comp Interact &amp; Virtual Real Lab, Tripolis, Greece; [Wallace, Manolis] Univ Peloponnese, Dept Informat &amp; Telecommun, Knowledge &amp; Uncertainty Res Lab, Tripolis, Greece</t>
  </si>
  <si>
    <t>University of Peloponnese; University of Peloponnese</t>
  </si>
  <si>
    <t>Bampatzia, S (corresponding author), Univ Peloponnese, Dept Informat &amp; Telecommun, Human Comp Interact &amp; Virtual Real Lab, Tripolis, Greece.</t>
  </si>
  <si>
    <t>s.babatzia@uop.gr; angelant@uop.gr; gl@uop.gr; costas@uop.gr; wallace@uop.gr</t>
  </si>
  <si>
    <t>Vassilakis, Costas/AAH-5948-2019; Lepouras, Georgios/AAM-3058-2021; Antoniou, Angeliki/E-4824-2012; Wallace, Manolis/QAY-7063-2026</t>
  </si>
  <si>
    <t>Vassilakis, Costas/0000-0001-9940-1821;</t>
  </si>
  <si>
    <t>European Union's Horizon 2020 research and innovation program [693150]; H2020 Societal Challenges Programme [693150] Funding Source: H2020 Societal Challenges Programme</t>
  </si>
  <si>
    <t>European Union's Horizon 2020 research and innovation program; H2020 Societal Challenges Programme</t>
  </si>
  <si>
    <t>This work has been realized within the CrossCult: Empowering reuse of digital cultural heritage in context-aware crosscuts of European history, funded by the European Union's Horizon 2020 research and innovation program, Grant#693150.</t>
  </si>
  <si>
    <t>978-1-5090-5245-5</t>
  </si>
  <si>
    <t>BG7WN</t>
  </si>
  <si>
    <t>WOS:000391858200016</t>
  </si>
  <si>
    <t>Correa, D; Sureka, A; Pundir, M</t>
  </si>
  <si>
    <t>Correa, Denzil; Sureka, Ashish; Pundir, Mayank</t>
  </si>
  <si>
    <t>iTop - Interaction Based Topic Centric Community Discovery on Twitter</t>
  </si>
  <si>
    <t>PROCEEDINGS OF THE 5TH PH.D. WORKSHOP ON INFORMATION AND KNOWLEDGE</t>
  </si>
  <si>
    <t>5th ACM Ph.D. Workshop in Information and Knowledge (PIKM) Co-located with 21st ACM International Conference Information and Knowledge Management (CIKM)</t>
  </si>
  <si>
    <t>OCT 29-NOV 02, 2012</t>
  </si>
  <si>
    <t>Maui, HI</t>
  </si>
  <si>
    <t>Assoc Comp Machinery Special Interest Grp Informat Retrieval (ACM SIGIR),Assoc Comp Machinery SIGWEB (ACM SIGWEB)</t>
  </si>
  <si>
    <t>Community Detection; Social Networks; Twitter</t>
  </si>
  <si>
    <t>Automatic detection of communities (or cohesive groups of actors in social network) in online social media platforms based on user interests and interaction is a problem that has recently attracted a lot of research attention. Mining user interactions on Twitter to discover such communities is a technically challenging information retrieval task. We present an algorithm - iTop - to discover interaction based topic centric communities by mining user interaction signals (such as @-messages and retweets) which indicate cohesion. iTop takes any topic as an input keyword and exploits local information to infer global topic-centric communities. We evaluate the discovered communities along three dimensions: graph based (node-edge quality), empirical-based (Twitter lists) and semantic based (frequent n-grams in tweets). We conduct experiments on a publicly available scrape of Twitter provided by InfoChimps via a web service. We perform a case study on two diverse topics - 'Computer Aided Design (CAD)' and 'Kashmir' to demonstrate the efficacy of iTop. Empirical results from both case studies show that iTop is successfully able to discover topic-centric, interaction based communities on Twitter.</t>
  </si>
  <si>
    <t>[Correa, Denzil; Sureka, Ashish; Pundir, Mayank] Indraprastha Inst Informat Technol IIIT Delhi, New Delhi, India</t>
  </si>
  <si>
    <t>Indraprastha Institute of Information Technology Delhi</t>
  </si>
  <si>
    <t>Correa, D (corresponding author), Indraprastha Inst Informat Technol IIIT Delhi, New Delhi, India.</t>
  </si>
  <si>
    <t>denzilc@iiitd.ac.in; ashish@iiitd.ac.in; mayank09025@iiitd.ac.in</t>
  </si>
  <si>
    <t>Sureka, Ashish/H-1631-2015</t>
  </si>
  <si>
    <t>Sureka, Ashish/0000-0001-6084-9661</t>
  </si>
  <si>
    <t>978-1-4503-1721-4</t>
  </si>
  <si>
    <t>BDC65</t>
  </si>
  <si>
    <t>WOS:000312656600008</t>
  </si>
  <si>
    <t>Lewenberg, Y; Bachrach, Y; Volkova, S</t>
  </si>
  <si>
    <t>Gaussier, E; Cao, LB; Gallinari, P; Kwok, J; Pasi, G; Zaiane, O</t>
  </si>
  <si>
    <t>Lewenberg, Yoad; Bachrach, Yoram; Volkova, Svitlana</t>
  </si>
  <si>
    <t>Using Emotions to Predict User Interest Areas in Online Social Networks</t>
  </si>
  <si>
    <t>PROCEEDINGS OF THE 2015 IEEE INTERNATIONAL CONFERENCE ON DATA SCIENCE AND ADVANCED ANALYTICS (IEEE DSAA 2015)</t>
  </si>
  <si>
    <t>Proceedings of the 2015 IEEE International Conference on Data Science and Advanced Analytics (IEEE DSAA 2015)</t>
  </si>
  <si>
    <t>OCT 19-21, 2015</t>
  </si>
  <si>
    <t>IEEE, PARIS, FRANCE</t>
  </si>
  <si>
    <t>IEEE Computat Intelligence Soc,IEEE,Infosys,Booz Allen Hamilton,TCS,IEEE Big Data,technicolor,Baidu,Telecom ParisTech,Chaire Machine Learning For Big Data,Omnibond,Google,Prof. Ram Kumar Memorial Fdn,IM,Inria,Lioaning Tech Univ,UPMC,Universite Joseph Fourier,AXA,Grenoble INP,Springer,KDD,ACM Chapter,CCF,IEEE Talk Force on Data Science and Advanced Analytics,KD Nuggets,IDA,CNRS</t>
  </si>
  <si>
    <t>MEDIA; PERSONALITY</t>
  </si>
  <si>
    <t>We examine the relation between the emotions users express on social networks and their perceived areas of interests, based on a sample of Twitter users. Our methodology relies on training machine learning models to classify the emotions expressed in tweets, according to Ekman's six high-level emotions. We then used raters, sourced from Amazon's Mechanical Turk, to examine several Twitter profiles and to determine whether the profile owner is interested in various areas, including sports, movies, technology and computing, politics, news, economics, science, arts, health and religion. We find that the propensity of a user to express various emotions correlates with their perceived degree of interest in various areas. We present several models that use the emotional distribution of a Twitter user, as reflected by their tweets, to predict whether they are interested or disinterested in a topic or to determine their degree of interest in a topic.</t>
  </si>
  <si>
    <t>[Lewenberg, Yoad] Hebrew Univ Jerusalem, Sch Comp Sci &amp; Engn, IL-91905 Jerusalem, Israel; [Bachrach, Yoram] Microsoft Res, Cambridge, England; [Volkova, Svitlana] Johns Hopkins Univ, Ctr Language &amp; Speech Proc, Baltimore, MD 21218 USA</t>
  </si>
  <si>
    <t>Hebrew University of Jerusalem; Microsoft; Microsoft United Kingdom; Johns Hopkins University</t>
  </si>
  <si>
    <t>Lewenberg, Y (corresponding author), Hebrew Univ Jerusalem, Sch Comp Sci &amp; Engn, IL-91905 Jerusalem, Israel.</t>
  </si>
  <si>
    <t>yoadlew@cs.huji.ac.il; yobach@microsoft.com; svitlana@jhu.edu</t>
  </si>
  <si>
    <t>978-1-4673-8273-1</t>
  </si>
  <si>
    <t>Computer Science, Information Systems; Computer Science, Interdisciplinary Applications</t>
  </si>
  <si>
    <t>BF2HP</t>
  </si>
  <si>
    <t>WOS:000380468400107</t>
  </si>
  <si>
    <t>Hu, R; Liu, JX; Wen, YP; Mao, YY</t>
  </si>
  <si>
    <t>ReiffMarganiec, S</t>
  </si>
  <si>
    <t>Hu, Rong; Liu, Jianxun; Wen, Yiping; Mao, Yiyu</t>
  </si>
  <si>
    <t>USER: A usage-based service recommendation approach</t>
  </si>
  <si>
    <t>2016 IEEE INTERNATIONAL CONFERENCE ON WEB SERVICES (ICWS)</t>
  </si>
  <si>
    <t>IEEE 23rd International Conference on Web Services (ICWS)</t>
  </si>
  <si>
    <t>JUN 27-JUL 02, 2016</t>
  </si>
  <si>
    <t>IEEE,IEEE Comp Soc,Serv Soc,IBM Res,SAP,HP,Huawei,Object Management Grp,Big Data,IBM,Int Journal Business Proc Integrat &amp; Management,IT Profess,Int Journal Web Serv Res,Comp Now,IEEE Transact Serv Comp,Cloud Comp,Serv Comp,Ericsson,IEEE Cloud Comp</t>
  </si>
  <si>
    <t>usage information; logistic function; interest decay rate; collaborative filtering</t>
  </si>
  <si>
    <t>SOCIAL NETWORK</t>
  </si>
  <si>
    <t>Collaborative filtering approach based on rating is one of the most broadly used service recommendation approach. However, rating data is very sparse in most service recommender systems, which seriously impacts the precision of service recommendation. In view of this problem, a usage-based service recommendation approach is proposed in this paper. What is special about this approach is that usage information instead of rating data is recruited to infer user interest. Some experiments are implemented to verify the efficient of this approach.</t>
  </si>
  <si>
    <t>[Hu, Rong; Liu, Jianxun; Wen, Yiping; Mao, Yiyu] Hunan Univ Sci &amp; Technol, Xiangtan, Peoples R China</t>
  </si>
  <si>
    <t>Hunan University of Science &amp; Technology</t>
  </si>
  <si>
    <t>Hu, R (corresponding author), Hunan Univ Sci &amp; Technol, Xiangtan, Peoples R China.</t>
  </si>
  <si>
    <t>ronghu@126.com; ljx529@gmail.com; ypwen81@gmail.com; 1270397155@qq.com</t>
  </si>
  <si>
    <t>978-1-5090-2675-3</t>
  </si>
  <si>
    <t>10.1109/ICWS.2016.101</t>
  </si>
  <si>
    <t>Computer Science, Interdisciplinary Applications; Engineering, Multidisciplinary</t>
  </si>
  <si>
    <t>BG5FZ</t>
  </si>
  <si>
    <t>WOS:000389471700099</t>
  </si>
  <si>
    <t>Widyantoro, DH; Ioerger, TR; Yen, J</t>
  </si>
  <si>
    <t>Gauch, S</t>
  </si>
  <si>
    <t>An adaptive algorithm for learning changes in user interests</t>
  </si>
  <si>
    <t>PROCEEDINGS OF THE EIGHTH INTERNATIONAL CONFERENCE ON INFORMATION KNOWLEDGE MANAGEMENT, CIKM'99</t>
  </si>
  <si>
    <t>8th International Conference on Information Knowledge Management (CIKM 99)</t>
  </si>
  <si>
    <t>NOV 02-06, 1999</t>
  </si>
  <si>
    <t>KANSAS CITY, MO</t>
  </si>
  <si>
    <t>Assoc Comp Machinery,Special Interest Grp Management Informat Syst,Special Interest Grp Management Informat,Special Interest Grp Informat Retrieval</t>
  </si>
  <si>
    <t>information filtering; intelligent agents</t>
  </si>
  <si>
    <t>In this paper, we describe a new scheme to learn dynamic users' interests in an automated information filtering and gathering system running on the Internet. Our scheme is aimed to handle multiple domains of long-term and short-term user's interests simultaneously, which is learned through positive and negative user's relevance feedback. We developed a 3-descriptor approach to represent the user's interest categories. Using a learning algorithm derived for this representation, our scheme adapts quickly to significant changes in user interest, and is also able to learn exceptions to interest categories.</t>
  </si>
  <si>
    <t>Texas A&amp;M Univ, Dept Comp Sci, College Stn, TX 77844 USA</t>
  </si>
  <si>
    <t>Widyantoro, DH (corresponding author), Texas A&amp;M Univ, Dept Comp Sci, College Stn, TX 77844 USA.</t>
  </si>
  <si>
    <t>dhw7942@cs.tamu.edu; ioerger@cs.tamu.edu; yen@cs.tamu.edu</t>
  </si>
  <si>
    <t>Widyantoro, Dwi Henatmo/GWC-3871-2022</t>
  </si>
  <si>
    <t>Widyantoro, Dwi Henatmo/0000-0002-8718-5604</t>
  </si>
  <si>
    <t>1-58113-146-1</t>
  </si>
  <si>
    <t>10.1145/319950.323230</t>
  </si>
  <si>
    <t>BP17F</t>
  </si>
  <si>
    <t>WOS:000084311500053</t>
  </si>
  <si>
    <t>Colecchia, G; Cuomo, S; Maiorano, F; Piccialli, F</t>
  </si>
  <si>
    <t>DiBaja, GS; Gallo, L; Yetongnon, K; Dipanda, A; CastrillonSantana, M; Chbeir, R</t>
  </si>
  <si>
    <t>Colecchia, Giovanni; Cuomo, Salvatore; Maiorano, Francesco; Piccialli, Francesco</t>
  </si>
  <si>
    <t>Traditional and Deep Learning Approaches to Information and Influence Propagation in Social Networks</t>
  </si>
  <si>
    <t>2018 14TH INTERNATIONAL CONFERENCE ON SIGNAL IMAGE TECHNOLOGY &amp; INTERNET BASED SYSTEMS (SITIS)</t>
  </si>
  <si>
    <t>14th International Conference on Signal Image Technology &amp; Internet Based Systems (SITIS)</t>
  </si>
  <si>
    <t>NOV 26-29, 2018</t>
  </si>
  <si>
    <t>Las Palmas de Gran Canaria, SPAIN</t>
  </si>
  <si>
    <t>IEEE Comp Soc,Univ Las Palmas Gran Canaria,Univ Milan,Univ Bourgogne, Laboratoire Electronique Image Informatique Res Grp,Natl Res Council Italy, Inst High Performance Comp &amp; Networking,IEEE, Special Interest Grp Seman Multimedia Management,ACM SIGAPP fr, Special Interest Grp Appl Comp, French Chapter,Patronato Turismo Gran Canaria</t>
  </si>
  <si>
    <t>social network analysis; data mining; user profiling</t>
  </si>
  <si>
    <t>Social network analysis is an interdisciplinary topic attracting researchers from biology, economics, psychology, and machine learning. It has attracted interests from both the research and business communities for a strong potential and variety of applications. Also, this interest has been fueled by the large success of online social networking sites and the subsequent abundance of social network data produced. An important aspect in this research field is influence maximization in social networks. The goal is to find a set of individuals to be targeted, with the aim to drive social contagion and generate a diffusion cascade. We provide here an overview of the models and approaches used to analyze interaction networks. The challenges this problem introduces are recently being tackled using Deep Learning approaches such as Recurrent Neural Networks (RNNs) which are particularly suited to model sequence inputs.</t>
  </si>
  <si>
    <t>[Colecchia, Giovanni; Cuomo, Salvatore; Maiorano, Francesco; Piccialli, Francesco] Univ Naples Federico II, Naples, Italy</t>
  </si>
  <si>
    <t>University of Naples Federico II</t>
  </si>
  <si>
    <t>Colecchia, G (corresponding author), Univ Naples Federico II, Naples, Italy.</t>
  </si>
  <si>
    <t>giovanni.colecchia@unina.it; salvatore.cuomo@unina.it; frmaiorano@gmail.com; francesco.piccialli@unina.it</t>
  </si>
  <si>
    <t>Centro Servizi Metrologici e Tecnologici Avanzati (CeSMA)</t>
  </si>
  <si>
    <t>Authors thank Centro Servizi Metrologici e Tecnologici Avanzati (CeSMA) for supporting this research.</t>
  </si>
  <si>
    <t>978-1-5386-9385-8</t>
  </si>
  <si>
    <t>10.1109/SITIS.2018.00079</t>
  </si>
  <si>
    <t>Computer Science, Software Engineering; Computer Science, Theory &amp; Methods; Engineering, Electrical &amp; Electronic</t>
  </si>
  <si>
    <t>BM8IL</t>
  </si>
  <si>
    <t>WOS:000469258400068</t>
  </si>
  <si>
    <t>Jiamthapthaksin, R</t>
  </si>
  <si>
    <t>Pranolo, A; Hendriana, Y; Prahara, A; Azhari, A; Ariyanto, G; Riza, LS; Ramadiani; Septiarini, A; Hamdani; Syafrullah, M; Riyanto, I; Adiyarta, K; Wihardi, Y; Yanto, ITR; Wibawa, AP; Wicaksono, O; Wara, PH; Dengen, N</t>
  </si>
  <si>
    <t>Jiamthapthaksin, Rachsuda</t>
  </si>
  <si>
    <t>Thai Text Topic Modeling System for Discovering Group Interests of Facebook Young Adult Users</t>
  </si>
  <si>
    <t>PROCEEDINGS OF 2016 2ND INTERNATIONAL CONFERENCE ON SCIENCE IN INFORMATION TECHNOLOGY (ICSITECH) - INFORMATION SCIENCE FOR GREEN SOCIETY AND ENVIRONMENT</t>
  </si>
  <si>
    <t>2nd International Conference on Science in Information Technology (ICSITech)</t>
  </si>
  <si>
    <t>OCT 26-27, 2016</t>
  </si>
  <si>
    <t>Mulawarman Univ, Balikpapan, INDONESIA</t>
  </si>
  <si>
    <t>Univ Pendidikan Indonesia,Univ Ahmad Dahlan,UPN Veteran Yogyakarta,Univ Muhammadiyah Surakarta,Univ Teknologi Malaysia, UTM Big Data Ctr,Univ Teknologi Malaysia,Univ Putra Malaysia,Univ Malaysia Sabah,Univ Budi Luhur,IEEE Indonesia Sect,Minist Res Technol &amp; Higher Educ,IEEE</t>
  </si>
  <si>
    <t>Mulawarman Univ</t>
  </si>
  <si>
    <t>Topic Mining; Latent Dirichlet Allocation; Knowledge Discovery; Social User Interests; Mining Thai Text Posts</t>
  </si>
  <si>
    <t>Facebook is the largest digital social network in the world, and is the most popular social network in Thailand. This paper proposes Thai text topic modeling system that turns Facebook posts into valuable users' group interests. Latent Dirichlet Allocation (LDA) for topic modeling, if applied directly on Thai text posts, does not capture well the group interests due to unique characteristics of the data like intentional typo. The main contributions of the paper include the integration of Thai slangs from posts for extracting Thai words, insertion and stop words removal, slang stemming, and applying LDA for seed word acquisition and topic modeling enhancement. The experiments performed on Thai Facebook posts of undergraduate student volunteers at Assumption University was used to demonstrate feature size reduction, model enhancement, and discovery of meaningful group interests.</t>
  </si>
  <si>
    <t>[Jiamthapthaksin, Rachsuda] Assumption Univ, Dept Comp Sci, Bangkok, Thailand</t>
  </si>
  <si>
    <t>Assumption University Thailand</t>
  </si>
  <si>
    <t>Jiamthapthaksin, R (corresponding author), Assumption Univ, Dept Comp Sci, Bangkok, Thailand.</t>
  </si>
  <si>
    <t>rachsuda@scitech.au.edu</t>
  </si>
  <si>
    <t>978-1-5090-1721-8</t>
  </si>
  <si>
    <t>Computer Science, Artificial Intelligence; Computer Science, Hardware &amp; Architecture; Computer Science, Information Systems</t>
  </si>
  <si>
    <t>BH5UW</t>
  </si>
  <si>
    <t>WOS:000401505300015</t>
  </si>
  <si>
    <t>Halder, N; Pearson, R; Chang, LCR</t>
  </si>
  <si>
    <t>Halder, Neel; Pearson, Rachel; Chang, Lik-Chee Ricci</t>
  </si>
  <si>
    <t>Student learning needs in psychiatry</t>
  </si>
  <si>
    <t>JOURNAL OF MENTAL HEALTH TRAINING EDUCATION AND PRACTICE</t>
  </si>
  <si>
    <t>Undergraduates; Medical students; Psychiatry; Placements; Resources; Learning; Study; Recruitment; Medical personnel; United Kingdom</t>
  </si>
  <si>
    <t>Purpose - This study aims to explore the area of learning materials used by students in their psychiatry placement in more detail, and to identify any gaps not adequately filled currently. It also seeks to explore student interest in psychiatry and whether they are considering pursuing it as a future career. Design/methodology/approach - This was a cross sectional study, using questionnaires completed by medical students about their psychiatric undergraduate placement at Manchester University. Findings - Of 144 students, 126 responded (response rate 87.5 per cent). Students spent a mean of 10.1 hours a week studying psychiatry (outside formal teaching). Handouts from lectures or tutors were most commonly used (by 95.2 per cent of respondents) with journals and podcasts being the least common (18.5 per cent and 17.5 per cent, respectively). Psychiatric textbooks were the most useful material for learning about psychiatry. Students identified the need for better quality, more structured and more frequent teaching (n = 58). They also identified a need for greater clinical experience and increased availability of resources such as textbooks. Research limitations/implications - Knowing what materials and resources students prefer to learn from will be crucial to maximize the delivery of an enjoyable and educational psychiatry module. This in turn may result in more students choosing psychiatry as a career. Larger studies are required to support the findings in this study. Originality/value - To the authors' knowledge, there is very little published research into what materials medical students use to learn for their psychiatry placement.</t>
  </si>
  <si>
    <t>[Halder, Neel] Univ Manchester, Alpha Hosp, Manchester, Lancs, England; [Pearson, Rachel] Cent Manchester Fdn NHS Hosp Trust, Manchester, Lancs, England; [Chang, Lik-Chee Ricci] Mind Pro Psychol Med, Dept Psychiat, Hong Kong, Hong Kong, Peoples R China</t>
  </si>
  <si>
    <t>University of Manchester</t>
  </si>
  <si>
    <t>Halder, N (corresponding author), Univ Manchester, Alpha Hosp, Manchester, Lancs, England.</t>
  </si>
  <si>
    <t>neel.halder@alphahospitals.co.uk</t>
  </si>
  <si>
    <t>BINGLEY</t>
  </si>
  <si>
    <t>HOWARD HOUSE, WAGON LANE, BINGLEY BD16 1WA, W YORKSHIRE, ENGLAND</t>
  </si>
  <si>
    <t>1755-6228</t>
  </si>
  <si>
    <t>2042-8707</t>
  </si>
  <si>
    <t>J MENT HEALTH TRAIN</t>
  </si>
  <si>
    <t>J. Ment. Health Train. Educ. Pract.</t>
  </si>
  <si>
    <t>10.1108/17556221211269910</t>
  </si>
  <si>
    <t>Psychiatry</t>
  </si>
  <si>
    <t>V6B2E</t>
  </si>
  <si>
    <t>WOS:000420125100002</t>
  </si>
  <si>
    <t>Tapola, A; Jaakkola, T; Niemivirta, M</t>
  </si>
  <si>
    <t>Tapola, Anna; Jaakkola, Tomi; Niemivirta, Markku</t>
  </si>
  <si>
    <t>The Influence of Achievement Goal Orientations and Task Concreteness on Situational Interest</t>
  </si>
  <si>
    <t>achievement goal orientation; computer simulation; interest; motivation; science learning</t>
  </si>
  <si>
    <t>INDIVIDUAL INTEREST; SELF-EFFICACY; STUDENTS; MOTIVATION; PERFORMANCE; CONTEXT; EMOTIONS; FAILURE; ABILITY; TEXT</t>
  </si>
  <si>
    <t>This study investigated changes in elementary school students' (n = 140) situational interest as a function of achievement goal orientation profiles and task characteristics. The authors repeatedly measured situational interest during a simulated science learning task in 2 task conditions that differed in the concreteness of the task elements. The authors identified 3 groups of students with different goal orientation profiles: success-, mastery-, and avoidance-oriented. Results of repeated-measures analysis of covariance showed that students with different profiles displayed different patterns of changes in situational interest in the 2 task conditions. The results confirmed the importance of acknowledging the interaction of student and task characteristics in the arousal and maintenance of situational interest across a learning task.</t>
  </si>
  <si>
    <t>[Tapola, Anna; Niemivirta, Markku] Univ Helsinki, Inst Behav Sci, FIN-00014 Helsinki, Finland; [Jaakkola, Tomi] Univ Turku, Ctr Learning Res, Acad Finland, SF-20500 Turku, Finland</t>
  </si>
  <si>
    <t>University of Helsinki; University of Turku; Research Council of Finland</t>
  </si>
  <si>
    <t>Tapola, A (corresponding author), Univ Helsinki, Inst Behav Sci, POB 9, FIN-00014 Helsinki, Finland.</t>
  </si>
  <si>
    <t>anna.tapola@helsinki.fi</t>
  </si>
  <si>
    <t>; /ABC-1632-2020</t>
  </si>
  <si>
    <t>Niemivirta, Markku/0000-0001-7152-5152; Tapola, Anna-Kaarina/0000-0003-0442-2051</t>
  </si>
  <si>
    <t>10.1080/00220973.2013.813370</t>
  </si>
  <si>
    <t>AN1SO</t>
  </si>
  <si>
    <t>WOS:000340364100002</t>
  </si>
  <si>
    <t>Shah, B; Verma, AP; Tiwari, S</t>
  </si>
  <si>
    <t>Chaki, N; Cortesi, A; Devarakonda, N</t>
  </si>
  <si>
    <t>Shah, Bansari; Verma, Ananda Prakash; Tiwari, Shailendra</t>
  </si>
  <si>
    <t>User Interest Modeling from Social Media Network Graph, Enriched with Semantic Web</t>
  </si>
  <si>
    <t>PROCEEDINGS OF INTERNATIONAL CONFERENCE ON COMPUTATIONAL INTELLIGENCE AND DATA ENGINEERING</t>
  </si>
  <si>
    <t>Lecture Notes on Data Engineering and Communications Technologies</t>
  </si>
  <si>
    <t>1st International Conference on Computational Intelligence &amp; Data Engineering (ICCIDE)</t>
  </si>
  <si>
    <t>JUL 14-15, 2017</t>
  </si>
  <si>
    <t>Lakireddy Bali Reddy Coll Engn, Mylavaram, INDIA</t>
  </si>
  <si>
    <t>Lakireddy Bali Reddy Coll Engn</t>
  </si>
  <si>
    <t>Social media; Network graph; Semantic web; Ontology</t>
  </si>
  <si>
    <t>This paper intends to model a user's interests from his activities on social media as well as the extended social network he is a part of. Besides that, this paper also intends to reflect the change in one's behaviors over a period by following his activities on social media over time. It is observed that one's interests may vary with time, thus inferring it only from his own activity is perhaps inconsistent. But, if a user's network is also traced for similar and correlated actions, then it is possible to infer one's consistent interest to a certain extent. This paper introduces an approach that will consider a user and his network's activities, about common tags, people, and organizations from their social media posts which prepare a strong ground for the desired inference. Furthermore, to enrich inferred interests, the approach mentioned here also utilizes the semantic web using DBpedia ontology.</t>
  </si>
  <si>
    <t>[Shah, Bansari; Verma, Ananda Prakash; Tiwari, Shailendra] Coviam Technol &amp; Serv Pvt Ltd, Bengaluru, India; [Shah, Bansari] Ahmedabad Univ, Sch Engn &amp; Appl Sci, Ahmadabad, Gujarat, India</t>
  </si>
  <si>
    <t>Ahmedabad University</t>
  </si>
  <si>
    <t>Shah, B (corresponding author), Coviam Technol &amp; Serv Pvt Ltd, Bengaluru, India.</t>
  </si>
  <si>
    <t>bansari.shah@coviam.com; ananda.verma@coviam.com; shailendra.tiwari@coviam.com</t>
  </si>
  <si>
    <t>Verma, Adarsh/AAM-1554-2021; Tiwari, Shailendra/NUP-9659-2025</t>
  </si>
  <si>
    <t>2367-4512</t>
  </si>
  <si>
    <t>978-981-10-6319-0; 978-981-10-6318-3</t>
  </si>
  <si>
    <t>LECT NOTE DATA ENG</t>
  </si>
  <si>
    <t>10.1007/978-981-10-6319-0_5</t>
  </si>
  <si>
    <t>BL4UF</t>
  </si>
  <si>
    <t>WOS:000450834400005</t>
  </si>
  <si>
    <t>Zhu, ZG; Zhou, YH; Deng, XY; Wang, XH</t>
  </si>
  <si>
    <t>Zhu, Zhiguo; Zhou, Yuhe; Deng, Xiaoyi; Wang, Xuhui</t>
  </si>
  <si>
    <t>A graph-oriented model for hierarchical user interest in precision social marketing</t>
  </si>
  <si>
    <t>Feature extraction; Precision social marketing; Semantic similarity; Social commerce; User interest graph</t>
  </si>
  <si>
    <t>PERSONALIZED RECOMMENDATION; BEHAVIOR</t>
  </si>
  <si>
    <t>With the rapid development of social commerce, how to push and diffuse marketing messages in online social network (OSN) more effectively has increasingly become a significant issue, which can result in benefits for enterprises, users and platforms. A fundamental solution to this issue is how to accurately and comprehensively model user interest. To resolve such a significant and challenging task, our study constructed a user interest graph represented by a hierarchical tree structure that covers a wide range of topics, from coarse-grained to fine-grained three-level interest topics, such as food, entertainment and shopping, with a total of 167 nodes. In addition, considering that a user's interests are always changing over time, an exponential interest decay scheme is employed in this study. Finally, a series of experiments are conducted to evaluate the performance of the proposed model by comparing it with three benchmarks designed based on the proposed algorithm and two similar hierarchical user interest models. The experimental results demonstrate our model works well to predict user interests. This research will provide important basic technology and valuable decision support for precise and personalized social marketing practices.</t>
  </si>
  <si>
    <t>[Zhu, Zhiguo; Zhou, Yuhe] Dongbei Univ Finance &amp; Econ, Sch Management Sci &amp; Engn, Dalian 116025, Peoples R China; [Deng, Xiaoyi] Huaqiao Univ, Business Sch, Quanshou 362021, Peoples R China; [Deng, Xiaoyi] Rutgers State Univ, Rutgers Business Sch, Newark, NJ 07102 USA; [Wang, Xuhui] Dongbei Univ Finance &amp; Econ, Sch Business Admin, Dalian 116025, Peoples R China</t>
  </si>
  <si>
    <t>Dongbei University of Finance &amp; Economics; Huaqiao University; Rutgers University System; Rutgers University Newark; Rutgers University New Brunswick; Dongbei University of Finance &amp; Economics</t>
  </si>
  <si>
    <t>Zhu, ZG (corresponding author), Dongbei Univ Finance &amp; Econ, Sch Management Sci &amp; Engn, Dalian 116025, Peoples R China.</t>
  </si>
  <si>
    <t>Zhu_zg@dufe.edu.cn</t>
  </si>
  <si>
    <t>; zhou, yuhe/KDN-8911-2024; zhu, zhiguo/K-8534-2015</t>
  </si>
  <si>
    <t>Deng, Xiaoyi/0000-0002-5331-4981; 周, 雨禾/0000-0003-0418-6247;</t>
  </si>
  <si>
    <t>National Natural Science Foundation of China [71672023, 71401058, 71672026, 71272050, 71771040]; Humanities and Social Sciences Foundation of the Ministry of Education of China [16YJAZH083]; General Research Project Funds of Dongbei University of Finance and Economics [DUFE2017Y03]</t>
  </si>
  <si>
    <t>National Natural Science Foundation of China(National Natural Science Foundation of China (NSFC)); Humanities and Social Sciences Foundation of the Ministry of Education of China; General Research Project Funds of Dongbei University of Finance and Economics</t>
  </si>
  <si>
    <t>The authors greatly appreciate the valuable and insightful comments and suggestions raised by the editors and reviewers, who have certainly been of great help to improve the quality of this article. This work was supported and funded by the National Natural Science Foundation of China (Nos. 71672023, 71401058, 71672026, 71272050, 71771040); the Humanities and Social Sciences Foundation of the Ministry of Education of China (No. 16YJAZH083); and the General Research Project Funds of Dongbei University of Finance and Economics (No. DUFE2017Y03).</t>
  </si>
  <si>
    <t>10.1016/j.elerap.2019.100845</t>
  </si>
  <si>
    <t>IM0HP</t>
  </si>
  <si>
    <t>WOS:000477668400007</t>
  </si>
  <si>
    <t>Galwas, B; Zylawski, A</t>
  </si>
  <si>
    <t>Galwas, Bogdan; Zylawski, Andrzej</t>
  </si>
  <si>
    <t>SUCCESSFUL MOOC PROJECT IT SCHOOL FOR INFORMATICS EDUCATION ON SECONDARY LEVEL</t>
  </si>
  <si>
    <t>6TH INTERNATIONAL CONFERENCE OF EDUCATION, RESEARCH AND INNOVATION (ICERI 2013)</t>
  </si>
  <si>
    <t>6th International Conference on Education, Research and Innovation (ICERI)</t>
  </si>
  <si>
    <t>NOV 18-20, 2013</t>
  </si>
  <si>
    <t>innovation; research projects; IT education - secondary level; MOOC</t>
  </si>
  <si>
    <t>Warsaw School of Computer Science has launched a multi-annual MOOC Project IT SCHOOL to prepare and open on-line a number of popular courses and other materials in the area of basics of computer knowledge for students of secondary level. The main objective of the Project IT SCHOOL is to popularize basic knowledge of computer technology, to encourage young people to study in the field of Information Technology and thus facilitate the study of the core courses. In the framework of Project twelve online courses were prepared and opened with particular care in preparing self-assessment tests, allowing students to check the level of understanding of the learning material after each course (http://www.it-szkola.edu.pl). The final test assesses student knowledge and its completion allows receiving a certificate. Courses were met with great interest of the students. Within 7 months, the number of visits reached 3 millions, 25.000 registered students from 400 schools received over 70.000 certificates. Courses also received positive feedback from secondary schools computer science teachers. Research done among techers indicated a significant increase in student interest in education of computer science. In the next academic year, the number of on-line courses offered in the framework of Project will be doubled and new interdisciplinary materials will be offered. During conference presentation the education technology used for preparing the lectures will be explained in details.</t>
  </si>
  <si>
    <t>[Galwas, Bogdan; Zylawski, Andrzej] Warsaw Sch Comp Sci, Warsaw, Poland</t>
  </si>
  <si>
    <t>978-84-616-3847-5</t>
  </si>
  <si>
    <t>BB8PK</t>
  </si>
  <si>
    <t>WOS:000347240602132</t>
  </si>
  <si>
    <t>Roussaki, I; Kalatzis, N; Liampotis, N; Kosmides, P; Anagnostou, M; Doolin, K; Jennings, E; Bouloudis, Y; Xynogalas, S</t>
  </si>
  <si>
    <t>Roussaki, Ioanna; Kalatzis, Nikos; Liampotis, Nicolas; Kosmides, Pavlos; Anagnostou, Miltiades; Doolin, Kevin; Jennings, Edel; Bouloudis, Yiorgos; Xynogalas, Stavros</t>
  </si>
  <si>
    <t>Context-Awareness in Wireless and Mobile Computing Revisited to Embrace Social Networking</t>
  </si>
  <si>
    <t>IEEE COMMUNICATIONS MAGAZINE</t>
  </si>
  <si>
    <t>The inherent context-awareness properties of pervasive computing and the need for efficient user profiling and location information management quickly made it obvious that context management would become a top priority requirement in telecommunications service platforms. What we now call social networking was born around the early-mid '00s, a time when the first context management models and frameworks were being designed for the market. While the world was developing the first context management systems, social networking was growing fast; so fast in fact that no one can afford to ignore it any more. The introduction of smart-phones into the global telecommunications market enabled social networking to actually change the way people lived, the way they communicated, and their habits. Information and Communication Technologies research has started taking this new reality very seriously and numerous initiatives have invested in relevant projects, in order to explore all social networking aspects and incorporate its logic in the lowest architectural layers. This article presents a short historical review of the evolution of various aspects of context management in pervasive computing systems, it revisits the earlier models, in order to put community context where it belongs, it presents a context management architecture that is suitable for pervasive services combined with social networking and explores its added value for users all over the world.</t>
  </si>
  <si>
    <t>[Roussaki, Ioanna; Kalatzis, Nikos; Liampotis, Nicolas; Kosmides, Pavlos; Anagnostou, Miltiades] Natl Tech Univ Athens, Sch Elect &amp; Comp Engn, GR-10682 Athens, Greece; [Jennings, Edel] TSSG, Waterford Inst Technol, Waterford, Ireland</t>
  </si>
  <si>
    <t>National Technical University of Athens; South East Technological University (SETU)</t>
  </si>
  <si>
    <t>Roussaki, I (corresponding author), Natl Tech Univ Athens, Sch Elect &amp; Comp Engn, GR-10682 Athens, Greece.</t>
  </si>
  <si>
    <t>ioanna.roussaki@cn.ntua.gr</t>
  </si>
  <si>
    <t>; Doolin, Kevin/AAH-8677-2019; Kosmides, Pavlos/JBI-9966-2023; /AAY-6028-2020; Roussaki, Ioanna/AIF-3176-2022</t>
  </si>
  <si>
    <t>Dillon Jennings, Julie Edel/0000-0002-7473-5531; Doolin, Kevin/0000-0001-7604-8594; Anagnostou, Miltiades/0000-0003-1393-1501; Liampotis, Nicolas/0000-0003-3005-7502</t>
  </si>
  <si>
    <t>European Community [257493]</t>
  </si>
  <si>
    <t>European Community</t>
  </si>
  <si>
    <t>The research leading to these results has received funding from the European Community's Seventh Framework Programme [FP7/2007-2013] under grant agreement no 257493 of the SOCIETIES (Self Orchestrating CommunIty ambiEnT IntelligEnce Spaces) Integrated Project. However, this article expresses the authors' personal views, which are not necessarily those of the SOCIETIES consortium.</t>
  </si>
  <si>
    <t>0163-6804</t>
  </si>
  <si>
    <t>1558-1896</t>
  </si>
  <si>
    <t>IEEE COMMUN MAG</t>
  </si>
  <si>
    <t>IEEE Commun. Mag.</t>
  </si>
  <si>
    <t>10.1109/MCOM.2012.6211489</t>
  </si>
  <si>
    <t>957JH</t>
  </si>
  <si>
    <t>WOS:000305157200009</t>
  </si>
  <si>
    <t>Pande, SD; Ahammad, SKH; Gurav, MN; Faragallah, OS; Eid, MMA; Rashed, ANZ</t>
  </si>
  <si>
    <t>Pande, Sandeep Dwarkanath; Hasane Ahammad, S. K.; Gurav, Madhuri Navnath; Faragallah, Osama S.; Eid, Mahmoud M. A.; Rashed, Ahmed Nabih Zaki</t>
  </si>
  <si>
    <t>Depression detection based on social networking sites using data mining</t>
  </si>
  <si>
    <t>Bag of words; Data Mining; Depression detection; Depression level; Naive Bayes; Social networking</t>
  </si>
  <si>
    <t>Social networking is becoming increasingly prevalent in today's globe. Young folks, senior citizens, and the general public use social media. However, over usage of social network communication harms human existence. In recent years, many mental diseases, such as reliance on cybernetic interactions, information overload, and network restriction, have been noticed in social networks. Currently, the indications of those mental diseases can be seen, posing several dangers. Human emotions, such as despair, are interior feelings that reveal an individual's actual behavior. Monitoring and detecting these thoughts from individual's choices in virtual social interactions could be very beneficial in realizing their behavior. This research develops a system that uses social media posts to detect individuals' depression. Data mining techniques have been employed to analyze social media data to identify individuals at risk of depression. It provides an overview of the major contributions made in the field of depression detection based on social networking sites using several machine learning (ML), deep learning, and data mining. We discuss the use of sentiment analysis (SA), natural language processing (NLP), ML, user profiling, and early warning systems. The paper highlights the potential benefits of using social media data for depression detection, including the ability to provide early intervention to individuals at risk of depression. However, there are also ethical considerations to be addressed, such as ensuring data privacy and avoiding stigmatization. The bag of words (BoW) approach is effective in capturing the sentiment and emotional tone of social media posts, which is crucial for detecting depression. It employs Naive Bayes (NB) classifier which is is known for its accuracy in classifying text data for detecting the depression level. The implemented approach is compared with other SA methods concerning performance and results. In many evaluation parameters, the proposed method outperforms other SA systems. The approach provides runtime provision for adding new keywords and sentiments which adapts the approach to work fine for newest trends, wordings, and formats of posts. It suggests actions to be undertaken in case of detection of depressed users to control them drowning in further stress. Overall, this paper aims to provide a comprehensive understanding of the current state of research in depression detection based on social networking sites using data mining, and the potential implications for mental health care.</t>
  </si>
  <si>
    <t>[Pande, Sandeep Dwarkanath] MIT Acad Engn, Sch Comp Engn &amp; Technol, Pune, Maharashtra, India; [Hasane Ahammad, S. K.] Koneru Lakshmaiah Educ Fdn, Dept ECE, Vaddeswaram 522302, Andhra Pradesh, India; [Gurav, Madhuri Navnath] Sydata Consulting India Pvt Ltd, Hyderabad, India; [Faragallah, Osama S.] Taif Univ, Coll Comp &amp; Informat Technol, Dept Informat Technol, POB 11099, Taif 21944, Saudi Arabia; [Eid, Mahmoud M. A.] Taif Univ, Coll Engn, Dept Elect Engn, POB 11099, At Taif 21944, Saudi Arabia; [Rashed, Ahmed Nabih Zaki] Menoufia Univ, Fac Elect Engn, Elect &amp; Elect Commun Engn Dept, Menoufia 32951, Egypt; [Rashed, Ahmed Nabih Zaki] SIMATS, Inst Elect &amp; Commun Engn, Saveetha Sch Engn, Dept VLSI Microelect, Chennai 602105, Tamilnadu, India</t>
  </si>
  <si>
    <t>Koneru Lakshmaiah Education Foundation (K L Deemed to be University); Taif University; Taif University; Egyptian Knowledge Bank (EKB); Menofia University; Saveetha Institute of Medical &amp; Technical Science; Saveetha School of Engineering</t>
  </si>
  <si>
    <t>Rashed, ANZ (corresponding author), Menoufia Univ, Fac Elect Engn, Elect &amp; Elect Commun Engn Dept, Menoufia 32951, Egypt.;Rashed, ANZ (corresponding author), SIMATS, Inst Elect &amp; Commun Engn, Saveetha Sch Engn, Dept VLSI Microelect, Chennai 602105, Tamilnadu, India.</t>
  </si>
  <si>
    <t>sandeep7887pande@gmail.com; ahammadklu@gmail.com; guravmadhuri93@gmail.com; o.salah@tu.edu.sa; m.elfateh@tu.edu.sa; ahmed_733@yahoo.com</t>
  </si>
  <si>
    <t>Faragallah, Osama/AHB-8031-2022; Rashed, Ahmed Nabih Zaki/AFB-6046-2022; Pande, Sandeep/ABB-2210-2022; Eid, Mahmoud/JHU-3944-2023</t>
  </si>
  <si>
    <t>Rashed, Ahmed Nabih Zaki/0000-0002-5338-1623;</t>
  </si>
  <si>
    <t>10.1007/s11042-023-16564-7</t>
  </si>
  <si>
    <t>AUG 2023</t>
  </si>
  <si>
    <t>KN2R1</t>
  </si>
  <si>
    <t>WOS:001060201500005</t>
  </si>
  <si>
    <t>Bao, L; Wang, LA; Xu, B; Yang, H; Peng, YM</t>
  </si>
  <si>
    <t>Bao, Lin; Wang, Lina; Xu, Biao; Yang, Hang; Peng, Yumeng</t>
  </si>
  <si>
    <t>Denoising Diffusion Model-Driven Adaptive Estimation of Distribution Algorithm Integrating Multi-Modal Data</t>
  </si>
  <si>
    <t>MATHEMATICS</t>
  </si>
  <si>
    <t>multi-modal data; personalized search; denoising diffusion model; estimation of distribution algorithm; surrogate model</t>
  </si>
  <si>
    <t>BAYESIAN PERSONALIZED RANKING; RECOMMENDATION</t>
  </si>
  <si>
    <t>Personalized search and recommendation algorithms for multi-modal data have attracted widespread attention. However, existing methods often struggle with effectively integrating multi-source information and performing global search in complex optimization problems. To address these limitations, this paper proposed a denoising diffusion model-driven adaptive estimation of a distribution algorithm integrating multi-modal data. Multi-modal user-generated contents are extensively collected, such as users' interaction behaviors, category tags, text comments, images, social network relationships, etc. A user interest preference model based on a denoising diffusion model is established by learning the fusion representation of multi-modal data, which extracts user preference features. The surrogate model based on user preferences and adaptive estimation of distribution strategies is presented in the framework of an estimation of distribution algorithm. A surrogate-driven adaptive estimation of distribution algorithm is designed to align with users' cognitive experiences and behavioral patterns, thereby enhancing the optimization capability of the personalized search algorithm. Additionally, a dynamic model management mechanism is established to update the user interest preference model with new available modal information, which tracks the changes in users' interest preferences in real-world scenarios. It assists users in efficiently filtering items that match their preferences from large-scale information sources. Extensive experiments on general public datasets demonstrate the feasibility, effectiveness, and superiority of the proposed algorithm, confirming its improvements in both search efficiency and recommendation performance for a personalized recommendation algorithm.</t>
  </si>
  <si>
    <t>[Bao, Lin; Wang, Lina; Yang, Hang; Peng, Yumeng] Jiangsu Univ Sci &amp; Technol, Coll Automation, Zhenjiang 212000, Peoples R China; [Xu, Biao] Shantou Univ, Coll Engn, Shantou 515063, Peoples R China</t>
  </si>
  <si>
    <t>Jiangsu University of Science &amp; Technology</t>
  </si>
  <si>
    <t>Xu, B (corresponding author), Shantou Univ, Coll Engn, Shantou 515063, Peoples R China.</t>
  </si>
  <si>
    <t>baolin@just.edu.cn; 251110302103@stu.just.edu.cn; xubiao@stu.edu.cn; 18438137276@163.com; dameng0920@gmail.com</t>
  </si>
  <si>
    <t>Peng, Yumeng/ISA-2518-2023</t>
  </si>
  <si>
    <t>Xu, Biao/0000-0002-9551-8579</t>
  </si>
  <si>
    <t>National Natural Science Foundation of China [61876184]; Natural Science Foundation of Guangdong Province of China [2023B1515120020, 2024A1515012450]</t>
  </si>
  <si>
    <t>National Natural Science Foundation of China(National Natural Science Foundation of China (NSFC)); Natural Science Foundation of Guangdong Province of China(National Natural Science Foundation of Guangdong Province)</t>
  </si>
  <si>
    <t>This research was funded by the Natural Science Foundation of Guangdong Province of China (2023B1515120020, 2024A1515012450). This work was supported by the National Natural Science Foundation of China under grant No. 61876184.</t>
  </si>
  <si>
    <t>2227-7390</t>
  </si>
  <si>
    <t>MATHEMATICS-BASEL</t>
  </si>
  <si>
    <t>Mathematics</t>
  </si>
  <si>
    <t>NOV 25</t>
  </si>
  <si>
    <t>10.3390/math13233777</t>
  </si>
  <si>
    <t>Q8781</t>
  </si>
  <si>
    <t>WOS:001635030300001</t>
  </si>
  <si>
    <t>Grbovic, M; Radosavljevic, V; Djuric, N; Bhamidipati, N; Nagarajan, A</t>
  </si>
  <si>
    <t>Grbovic, Mihajlo; Radosavljevic, Vladan; Djuric, Nemanja; Bhamidipati, Narayan; Nagarajan, Ananth</t>
  </si>
  <si>
    <t>Gender and Interest Targeting for Sponsored Post Advertising at Tumblr</t>
  </si>
  <si>
    <t>KDD'15: PROCEEDINGS OF THE 21ST ACM SIGKDD INTERNATIONAL CONFERENCE ON KNOWLEDGE DISCOVERY AND DATA MINING</t>
  </si>
  <si>
    <t>21st ACM SIGKDD Conference on Knowledge Discovery and Data Mining (KDD)</t>
  </si>
  <si>
    <t>Univ Technol Sydney, Adv Analyt Inst, Sydney, AUSTRALIA</t>
  </si>
  <si>
    <t>Assoc Comp Machinery SIGKDD,Assoc Comp Machinery SIGMOD,Taylor &amp; Francis Grp,Univ Technol Sydney,Morgan &amp; Claypool Publishers</t>
  </si>
  <si>
    <t>Univ Technol Sydney, Adv Analyt Inst</t>
  </si>
  <si>
    <t>Data mining; computational advertising; audience modeling</t>
  </si>
  <si>
    <t>As one of the leading platforms for creative content, Tumblr offers advertisers a unique way of creating brand identity. Advertisers can tell their story through images, animation, text, music, video, and more, and can promote that content by sponsoring it to appear as an advertisement in the users' live feeds. In this paper, we present a framework that enabled two of the key targeted advertising components for Tumblr, gender and interest targeting. We describe the main challenges encountered during the development of the framework, which include the creation of a ground truth for training gender prediction models, as well as mapping Tumblr content to a predefined interest taxonomy. For purposes of inferring user interests, we propose a novel semi-supervised neural language model for categorization of Tumblr content (i.e., post tags and post keywords). The model was trained on a large-scale data set consisting of 6.8 billion user posts, with a very limited amount of categorized keywords, and was shown to have superior performance over the baseline approaches. We successfully deployed gender and interest targeting capability in Yahoo production systems, delivering inference for users that covers more than 90% of daily activities on Tumblr. Online performance results indicate advantages of the proposed approach, where we observed 20% increase in user engagement with sponsored posts in comparison to untargeted campaigns.</t>
  </si>
  <si>
    <t>[Grbovic, Mihajlo; Radosavljevic, Vladan; Djuric, Nemanja; Bhamidipati, Narayan] Yahoo Labs, 701 First Ave, Sunnyvale, CA USA; [Nagarajan, Ananth] Yahoo Inc, Sunnyvale, CA USA</t>
  </si>
  <si>
    <t>Yahoo! Inc; Yahoo! Inc</t>
  </si>
  <si>
    <t>Grbovic, M (corresponding author), Yahoo Labs, 701 First Ave, Sunnyvale, CA USA.</t>
  </si>
  <si>
    <t>mihajlo@yahoo-inc.com; vladan@yahoo-inc.com; nemanja@yahoo-inc.com; narayanb@yahoo-inc.com; ananth@yahoo-inc.com</t>
  </si>
  <si>
    <t>978-1-4503-3664-2</t>
  </si>
  <si>
    <t>10.1145/2783258.2788616</t>
  </si>
  <si>
    <t>BN6IU</t>
  </si>
  <si>
    <t>WOS:000485312900193</t>
  </si>
  <si>
    <t>Li, SC; Cheng, X; Su, S; Sun, HN</t>
  </si>
  <si>
    <t>Li, Shuchen; Cheng, Xiang; Su, Sen; Sun, Haonan</t>
  </si>
  <si>
    <t>Exploiting organizer influence and geographical preference for new event recommendation</t>
  </si>
  <si>
    <t>EXPERT SYSTEMS</t>
  </si>
  <si>
    <t>cold-start problem; event-based social networks; event recommendation</t>
  </si>
  <si>
    <t>ENTERPRISE SYSTEMS</t>
  </si>
  <si>
    <t>The rapid growth of event-based social networks (EBSNs) has generated great demand for personalized event recommendation. Indeed, new events are published every day in EBSNs. In this paper, we focus on the problem of recommending new events (i.e., the newly published events that have not yet received any user response) to registered users in EBSNs. Notice that collaborative filtering is ineffective for recommending new events due to the short lifetime of events and the lack of historical information, that is, the cold-start problem. A straightforward approach to address this problem is to adopt content-based recommendation techniques, for example, deriving user interests through the content information of the events they attended. Nevertheless, we observe that organizer influence and geographical preference also play important roles in a user's decision to participate in an event. Motivated by this observation, we combine user interest, organizer influence, and geographical preference to present a unified model for new event recommendation. In particular, we utilize a topic model to derive user interests while adopting matrix factorization to infer organizer influences on users from the interactions between users and organizers. Moreover, we model users' geographical preferences via their location histories of attended events. We conduct a performance evaluation using real-world data collected from DoubanEvent. The experimental results demonstrate the effectiveness of our proposed recommendation model.</t>
  </si>
  <si>
    <t>[Li, Shuchen; Cheng, Xiang; Su, Sen] Beijing Univ Posts &amp; Telecommun, Beijing, Peoples R China; [Sun, Haonan] Carnegie Mellon Univ, Sch Comp Sci, Pittsburgh, PA 15213 USA</t>
  </si>
  <si>
    <t>Beijing University of Posts &amp; Telecommunications; Carnegie Mellon University</t>
  </si>
  <si>
    <t>Su, S (corresponding author), Beijing Univ Posts &amp; Telecommun, Beijing, Peoples R China.</t>
  </si>
  <si>
    <t>susen@bupt.edu.cn</t>
  </si>
  <si>
    <t>National Natural Science Foundation of China Beijing Municipal Commission of Education [61502047]</t>
  </si>
  <si>
    <t>National Natural Science Foundation of China Beijing Municipal Commission of Education</t>
  </si>
  <si>
    <t>National Natural Science Foundation of China Beijing Municipal Commission of Education, Grant/Award Number: 61502047</t>
  </si>
  <si>
    <t>0266-4720</t>
  </si>
  <si>
    <t>1468-0394</t>
  </si>
  <si>
    <t>EXPERT SYST</t>
  </si>
  <si>
    <t>Expert Syst.</t>
  </si>
  <si>
    <t>10.1111/exsy.12190</t>
  </si>
  <si>
    <t>ER5JQ</t>
  </si>
  <si>
    <t>WOS:000398838300005</t>
  </si>
  <si>
    <t>He, J; Liu, HY; Zheng, YQ; Tang, S; He, W; Du, XY</t>
  </si>
  <si>
    <t>He, Jun; Liu, Hongyan; Zheng, Yiqing; Tang, Shu; He, Wei; Du, Xiaoyong</t>
  </si>
  <si>
    <t>Bi-Labeled LDA: Inferring Interest Tags for Non-famous Users in Social Network</t>
  </si>
  <si>
    <t>DATA SCIENCE AND ENGINEERING</t>
  </si>
  <si>
    <t>Topic model; LDA; Labeled LDA; Social network; Social tagging; Random walk</t>
  </si>
  <si>
    <t>User tags in social network are valuable information for many applications such as Web search, recommender systems and online advertising. Thus, extracting high quality tags to capture user interest has attracted many researchers' study in recent years. Most previous studies inferred users' interest based on text posted in social network. In some cases, ordinary users usually only publish a small number of text posts and text information is not related to their interest very much. Compared with famous user, it is more challenging to find non-famous (ordinary) user's interest. In this paper, we propose a probabilistic topic model, Bi-Labeled LDA, to automatically find interest tags for non-famous users in social network such as Twitter. Instead of extracting tags from text posts, tags of non-famous users are inferred from interest topics of famous users. With the proposed model, the formulation of social relationship between non-famous users and famous user is simulated and interest tags of famous users are exploited to supervise the training of the model and to make use of latent relation among famous users. Furthermore, the influence of popularity of famous user and popular tags are considered, and tags of non-famous users are ranked based on random walk model. Experiments were conducted on Twitter real datasets. Comparison with state-of-the-art methods shows that our method is more superior in terms of both ranking and quality of the tagging results.</t>
  </si>
  <si>
    <t>[He, Jun; Zheng, Yiqing; Tang, Shu; He, Wei; Du, Xiaoyong] Renmin Univ China, Key Lab Data Engn &amp; Knowledge Engn, MOE, Beijing 100872, Peoples R China; [Liu, Hongyan] Tsinghua Univ, Dept Management Sci &amp; Engn, Beijing 100084, Peoples R China</t>
  </si>
  <si>
    <t>Renmin University of China; Tsinghua University</t>
  </si>
  <si>
    <t>Liu, HY (corresponding author), Tsinghua Univ, Dept Management Sci &amp; Engn, Beijing 100084, Peoples R China.</t>
  </si>
  <si>
    <t>hyliu@tsinghua.edu.cn</t>
  </si>
  <si>
    <t>Liu, Hongyan/NJS-7426-2025</t>
  </si>
  <si>
    <t>Liu, Hongyan/0000-0002-4902-1078</t>
  </si>
  <si>
    <t>National Natural Science Foundation of China (NSFC) [71771131, 71272029, 71490724, U1711262]</t>
  </si>
  <si>
    <t>National Natural Science Foundation of China (NSFC)(National Natural Science Foundation of China (NSFC))</t>
  </si>
  <si>
    <t>This work was supported in part by the National Natural Science Foundation of China (NSFC) under Grant Nos. 71771131, 71272029, 71490724, and U1711262.</t>
  </si>
  <si>
    <t>SPRINGERNATURE</t>
  </si>
  <si>
    <t>CAMPUS, 4 CRINAN ST, LONDON, N1 9XW, ENGLAND</t>
  </si>
  <si>
    <t>2364-1185</t>
  </si>
  <si>
    <t>2364-1541</t>
  </si>
  <si>
    <t>DATA SCI ENG</t>
  </si>
  <si>
    <t>Data Sci. Eng.</t>
  </si>
  <si>
    <t>10.1007/s41019-019-00113-0</t>
  </si>
  <si>
    <t>SL8HQ</t>
  </si>
  <si>
    <t>WOS:000657155000003</t>
  </si>
  <si>
    <t>Wu, LH; Liu, L; Li, J; Li, ZY</t>
  </si>
  <si>
    <t>Modeling user multiple interests by an improved GCS approach</t>
  </si>
  <si>
    <t>EXPERT SYSTEMS WITH APPLICATIONS</t>
  </si>
  <si>
    <t>user interest profile; self-organizing map; growing cell structures; recommender systems</t>
  </si>
  <si>
    <t>SELF-ORGANIZING MAPS; RECOMMENDATION</t>
  </si>
  <si>
    <t>User interest profile is the crucial component of most personalized recommender systems. The diversity and time-dependent evolving nature of user interests are creating difficulties in constructing and maintaining a sound user profile. This paper presents a simple but effective model, by using improved growing cell structures (M), to address this problem. The GCS is a kind of self-organizing map neural network with changeable network structure. By virtue of the clustering and structure adaptation capability of GCS, the proposed model maps the problem of learning and keeping track of user interests into a clustering and cluster-maintaining problem. Each cluster found by GCS represents an interest category of a user and the cluster maintaining, including cluster addition and deletion, corresponds to the addition of user's new interests and the removal of user's old interests. The proposed model has been validated by a set of experiments performed on a benchmark dataset. Results from experiments show that our model provides reasonable performance and high adaptability for learning user multiple interests and their changes. (c) 2005 Elsevier Ltd. All rights reserved.</t>
  </si>
  <si>
    <t>BeiHang Univ, Sch Econ &amp; Management, Dept Informat Syst, Beijing 100083, Peoples R China</t>
  </si>
  <si>
    <t>Wu, LH (corresponding author), BeiHang Univ, Sch Econ &amp; Management, Dept Informat Syst, Beijing 100083, Peoples R China.</t>
  </si>
  <si>
    <t>wulihua@buaa.edu.cn</t>
  </si>
  <si>
    <t>0957-4174</t>
  </si>
  <si>
    <t>1873-6793</t>
  </si>
  <si>
    <t>EXPERT SYST APPL</t>
  </si>
  <si>
    <t>Expert Syst. Appl.</t>
  </si>
  <si>
    <t>10.1016/j.eswa.2005.06.003</t>
  </si>
  <si>
    <t>Computer Science, Artificial Intelligence; Engineering, Electrical &amp; Electronic; Operations Research &amp; Management Science</t>
  </si>
  <si>
    <t>Computer Science; Engineering; Operations Research &amp; Management Science</t>
  </si>
  <si>
    <t>976UA</t>
  </si>
  <si>
    <t>WOS:000232757700005</t>
  </si>
  <si>
    <t>Milani, A; Rajdeep, N; Mangal, N; Mudgal, RK; Franzoni, V</t>
  </si>
  <si>
    <t>Milani, Alfredo; Rajdeep, Niyogi; Mangal, Nimita; Mudgal, Rajat Kumar; Franzoni, Valentina</t>
  </si>
  <si>
    <t>Sentiment extraction and classification for the analysis of users' interest in tweets</t>
  </si>
  <si>
    <t>INTERNATIONAL JOURNAL OF WEB INFORMATION SYSTEMS</t>
  </si>
  <si>
    <t>Social network; Twitter; Social media; Sentiment analysis; Topic extraction</t>
  </si>
  <si>
    <t>Purpose This paper aims to propose an approach for the analysis of user interest based on tweets, which can be used in the design of user recommendation systems. The extract topics are seen positively by the user. Design/methodology/approach The proposed approach is based on the combination of sentiment extraction and classification analysis of tweet to extract the topic of interest. The proposed hybrid method is original. The topic extraction phase uses a method based on semantic distance in the WordNet taxonomy. Sentiment extraction uses NLPcore. Findings The algorithm has been extensively tested using real tweets generated by 1,000 users. The results are quite encouraging and outperform state-of-the-art results and confirm the suitability of the approach combining sentiment and categorization for the topic of interest extraction. Research limitations/implications The hybrid method combining sentiment extraction and classification for user positive topics represents a novel contribution with many potential applications. Practical implications The functionality of positive topic extraction is very useful as a component in the design of a recommender system based on user profiling from Twitter user behaviors. Social implications The application of the proposed method in short-text social network can be massive and beyond the applications in tweets. Originality/value There are few works that have considered both sentiment analysis and classification to find out users' interest. The algorithm has been extensively tested using real tweets generated by 1,000 users. The results are quite encouraging and outperform state-of-the-art results.</t>
  </si>
  <si>
    <t>[Milani, Alfredo; Franzoni, Valentina] Univ Perugia, Dept Math &amp; Comp Sci, Perugia, Italy; [Rajdeep, Niyogi; Mangal, Nimita; Mudgal, Rajat Kumar] Indian Inst Technol, Dept Comp Sci &amp; Engn, Roorkee, Uttar Pradesh, India</t>
  </si>
  <si>
    <t>University of Perugia; Indian Institute of Technology System (IIT System); Indian Institute of Technology (IIT) - Roorkee</t>
  </si>
  <si>
    <t>Milani, A (corresponding author), Univ Perugia, Dept Math &amp; Comp Sci, Perugia, Italy.</t>
  </si>
  <si>
    <t>alfredo.milani@unipg.it; rajdpfec@iitr.ac.in; nimitamangal@gmail.com; rajatmudgal17@gmail.com; valentina.franzoni@dmi.unipg.it</t>
  </si>
  <si>
    <t>; Franzoni, Valentina/IYJ-4816-2023</t>
  </si>
  <si>
    <t>MILANI, Alfredo/0000-0003-4534-1805; Franzoni, Valentina/0000-0002-2972-7188</t>
  </si>
  <si>
    <t>1744-0084</t>
  </si>
  <si>
    <t>1744-0092</t>
  </si>
  <si>
    <t>INT J WEB INF SYST</t>
  </si>
  <si>
    <t>Int. J. Web Inf. Syst.</t>
  </si>
  <si>
    <t>10.1108/IJWIS-12-2016-0069</t>
  </si>
  <si>
    <t>GF7YJ</t>
  </si>
  <si>
    <t>WOS:000432184000002</t>
  </si>
  <si>
    <t>Qi, LY; Liu, YW; Zhang, YL; Xu, XL; Bilal, M; Song, HB</t>
  </si>
  <si>
    <t>Qi, Lianyong; Liu, Yuwen; Zhang, Yulan; Xu, Xiaolong; Bilal, Muhammad; Song, Houbing</t>
  </si>
  <si>
    <t>Privacy-Aware Point-of-Interest Category Recommendation in Internet of Things</t>
  </si>
  <si>
    <t>IEEE INTERNET OF THINGS JOURNAL</t>
  </si>
  <si>
    <t>Privacy; Internet of Things; Data mining; Data models; Recommender systems; Deep learning; Behavioral sciences; Group influence; Internet of Things (IoT); locality-sensitive hashing (LSH); long short-term memory (LSTM); privacy protection; sensors</t>
  </si>
  <si>
    <t>In location-based social networks (LBSNs), extensive user check-in data incorporating user preferences for location is collected through Internet of Things devices, including cell phones and other sensing devices. However, directly acquiring the preferences of spars users remains an open challenge. This article offers a point-of-interest (POI) category recommendation model based on group preferences (PPCM). This model is proposed for three reasons: 1) because data influence the training of a deep learning model, the group influence of users is taken into account. To protect the privacy of users' check-in records and classify similar users into the same group, locality-sensitive hashing (LSH) is used; 2) a successive POI category recommendation model should capture the long- and short-term dependence ability. The attention mechanism and a temporal sliding window are paired with the long short-term memory (LSTM). This paradigm is useful for efficiently mining users' long-term dependencies and interests; and 3) although the overall users' check-in data are vast, check-in location options are also massive for a single user. There is a scarcity of data that may be utilized to mine user interests. Thus, instead of using POI, we leverage the POI category to better mine the user's interests. On real check-in data sets from New York City and Tokyo, the PPCM is compared to other models. The comparison results indicate that the PPCM has improved recommendation performance.</t>
  </si>
  <si>
    <t>[Qi, Lianyong; Liu, Yuwen] China Univ Petr, Coll Comp Sci &amp; Technol, Qingdao 266580, Peoples R China; [Zhang, Yulan] Weifang Univ Sci &amp; Technol, Shandong Prov Univ, Lab Protected Hort, Weifang 262799, Peoples R China; [Xu, Xiaolong] Nanjing Univ Informat Sci &amp; Technol, Sch Comp &amp; Software Engn, Nanjing 210044, Peoples R China; [Bilal, Muhammad] Hankuk Univ Foreign Studies, Dept Comp &amp; Elect Syst Engn, Yongin 17035, Gyeonggi, South Korea; [Song, Houbing] Embry Riddle Aeronaut Univ, Secur &amp; Optimizat Networked Globe Lab, Daytona Beach, FL 32114 USA</t>
  </si>
  <si>
    <t>China University of Petroleum; Weifang University of Science &amp; Technology; Nanjing University of Information Science &amp; Technology; Hankuk University Foreign Studies; Embry-Riddle Aeronautical University</t>
  </si>
  <si>
    <t>Bilal, M (corresponding author), Hankuk Univ Foreign Studies, Dept Comp &amp; Elect Syst Engn, Yongin 17035, Gyeonggi, South Korea.</t>
  </si>
  <si>
    <t>lianyongqi@gmail.com; yuwenliu97@gmail.com; zhangyulan@wfust.edu.cn; m.bilal@ieee.org; h.song@ieee.org</t>
  </si>
  <si>
    <t>Song, Houbing/E-3628-2010; Qi, Lianyong/AAO-2681-2020; Bilal, Muhammad/F-5225-2019; Liu, Yuwen/GYV-0334-2022; Xu, Xiaolong/U-2547-2019</t>
  </si>
  <si>
    <t>Song, Houbing/0000-0003-2631-9223; Bilal, Muhammad/0000-0003-4221-0877; Liu, Yuwen/0000-0002-4911-5744; Xu, Xiaolong/0000-0003-4879-9803</t>
  </si>
  <si>
    <t>National Key Research and Development Program of China [2020YFB1707600]; National Natural Science Foundation of China [61872219]; Natural Science Foundation of Shandong Province [ZR2019MF001]</t>
  </si>
  <si>
    <t>National Key Research and Development Program of China(National Key Research &amp; Development Program of China); National Natural Science Foundation of China(National Natural Science Foundation of China (NSFC)); Natural Science Foundation of Shandong Province(Natural Science Foundation of Shandong Province)</t>
  </si>
  <si>
    <t>This work was supported in part by the National Key Research and Development Program of China under Grant 2020YFB1707600; in part by the National Natural Science Foundation of China under Grant 61872219; and in part by the Natural Science Foundation of Shandong Province under Grant ZR2019MF001.</t>
  </si>
  <si>
    <t>2327-4662</t>
  </si>
  <si>
    <t>IEEE INTERNET THINGS</t>
  </si>
  <si>
    <t>IEEE Internet Things J.</t>
  </si>
  <si>
    <t>NOV 1</t>
  </si>
  <si>
    <t>10.1109/JIOT.2022.3181136</t>
  </si>
  <si>
    <t>5M4QC</t>
  </si>
  <si>
    <t>WOS:000871080800050</t>
  </si>
  <si>
    <t>Zhou, F; Qi, XX; Xu, X; Wang, JH; Zhong, T; Trajcevski, G</t>
  </si>
  <si>
    <t>Zhou, Fan; Qi, Xiuxiu; Xu, Xovee; Wang, Jiahao; Zhong, Ting; Trajcevski, Goce</t>
  </si>
  <si>
    <t>Meta-Learned User Preference for Topic Participation Prediction</t>
  </si>
  <si>
    <t>2020 IEEE GLOBAL COMMUNICATIONS CONFERENCE (GLOBECOM)</t>
  </si>
  <si>
    <t>IEEE Global Communications Conference (GLOBECOM) on Advanced Technology for 5G Plus</t>
  </si>
  <si>
    <t>DEC 07-11, 2020</t>
  </si>
  <si>
    <t>IEEE,IEEE Commun Soc,Chunghwa Telecom,Foxconn,Huawei,Mediatek,6G Off,Askey,Ericsson,FET Qualcomm,Taiwan Mobile,Auden Techno Corp,Keysight Technologies,Telecom Technol Ctr,NI</t>
  </si>
  <si>
    <t>topic participation; graph neural networks; meta-learning; few-shot learning; social networks</t>
  </si>
  <si>
    <t>Predicting the potential user interest on topics in online social networks is important for many practical applications such as advertising, recommendation and malicious account identification. Previous methods on such topic prediction problem mainly focus on learning user preference from historical posting content, and/or rely on the interest of friends to infer the topics a user may be interested in. However, these methods fail to take full advantage of high-order interactions between users and topics and the implicit relations among users, which may result in limited performance. In addition, existing approaches usually require a large amount of samples to train the model and therefore have poor prediction performance for the users who have few content and/or rarely follow the topics. To overcome these limitations, we present a novel method MetaTP (Meta learning based Topic Prediction) for exploiting the complex preference of users over the topics and identify the potential topics for cold-start users. MetaTP is built on a fast graph convolutional network to estimate the user interest through extracting user posting behavior from historical posting content and recursively aggregating the interest from the social friends of a user. Moreover, MetaTP introduces a new way of training prediction model in a meta-learning manner, which not only improves the performance on topic prediction but also can effectively and efficiently adapt to users with a few records. We validate our MetaTP model on real-world datasets crawled from popular social platforms and the empirical results show that our approach significantly outperforms the state-of-the-art baselines.</t>
  </si>
  <si>
    <t>[Zhou, Fan; Qi, Xiuxiu; Xu, Xovee; Wang, Jiahao; Zhong, Ting] Univ Elect Sci &amp; Technol China, Chengdu, Peoples R China; [Trajcevski, Goce] Iowa State Univ, Dept Elect &amp; Comp Engn, Ames, IA USA</t>
  </si>
  <si>
    <t>University of Electronic Science &amp; Technology of China; Iowa State University</t>
  </si>
  <si>
    <t>Wang, JH (corresponding author), Univ Elect Sci &amp; Technol China, Chengdu, Peoples R China.</t>
  </si>
  <si>
    <t>wangjh@uestc.edu.cn</t>
  </si>
  <si>
    <t>Xu, Xovee/AAV-6949-2020; Trajcevski, Goce/B-7277-2009; Zhou, Fan/AAG-9824-2019</t>
  </si>
  <si>
    <t>Xu, Xovee/0000-0001-6415-7558; Qi, Xiuxiu/0000-0002-2642-9329;</t>
  </si>
  <si>
    <t>National Natural Science Foundation of China [61602097]; NSF [CNS 1646107]</t>
  </si>
  <si>
    <t>National Natural Science Foundation of China(National Natural Science Foundation of China (NSFC)); NSF(National Science Foundation (NSF))</t>
  </si>
  <si>
    <t>This work was supported by the National Natural Science Foundation of China (Grant No.61602097), and NSF grants CNS 1646107.</t>
  </si>
  <si>
    <t>2576-6813</t>
  </si>
  <si>
    <t>978-1-7281-8298-8</t>
  </si>
  <si>
    <t>10.1109/GLOBECOM42002.2020.9322197</t>
  </si>
  <si>
    <t>BR7QI</t>
  </si>
  <si>
    <t>WOS:000668970500140</t>
  </si>
  <si>
    <t>Wei, S; Wei, SM; Huang, CL</t>
  </si>
  <si>
    <t>Yang, S; Jiang, Y</t>
  </si>
  <si>
    <t>Wei, Shan; Wei, Si-min; Huang, Chuan-lian</t>
  </si>
  <si>
    <t>A User Interest Model in Desktop Meta Search Engines</t>
  </si>
  <si>
    <t>PROCEEDINGS OF THE SECOND INTERNATIONAL CONFERENCE ON MODELLING AND SIMULATION (ICMS2009), VOL 6</t>
  </si>
  <si>
    <t>2nd International Conference on Modelling and Simulation</t>
  </si>
  <si>
    <t>MAY 21-22, 2009</t>
  </si>
  <si>
    <t>Manchester, ENGLAND</t>
  </si>
  <si>
    <t>Int Soc Modelling &amp; Simulat,Int Soc Informat &amp; Comput Sci,World Acad Union,Nanjing Univ,Jiangnan Univ,TexEng Ltd</t>
  </si>
  <si>
    <t>component; Meta search; user interest model; query interest; similarity</t>
  </si>
  <si>
    <t>A user interest reference category is presented in this paper and a user interest tree is constructed with it, and an interest vector is designed to describe the user interest model. An algorithm of producing the query-profile based on cosine similarity is proposed by defining interest categories, interest characteristic word and set. The model can be simply and efficiently applied to implementing the scheduling and the results merging of member search engines on purpose to provide the sufficient personalized service.</t>
  </si>
  <si>
    <t>[Wei, Shan] NE Forestry Univ, Informat &amp; Comp Engn Inst, Harbin, Peoples R China</t>
  </si>
  <si>
    <t>Northeast Forestry University - China</t>
  </si>
  <si>
    <t>Wei, S (corresponding author), NE Forestry Univ, Informat &amp; Comp Engn Inst, Harbin, Peoples R China.</t>
  </si>
  <si>
    <t>/P-3182-2015</t>
  </si>
  <si>
    <t>WORLD ACAD UNION-WORLD ACAD PRESS</t>
  </si>
  <si>
    <t>LIVERPOOL</t>
  </si>
  <si>
    <t>113, ACADEMIC HOUSE, MILL LANE, WAVERTREE TECHNOLOGY PARK, LIVERPOOL, L13 4 AH, ENGLAND</t>
  </si>
  <si>
    <t>978-1-84626-066-7</t>
  </si>
  <si>
    <t>BKM86</t>
  </si>
  <si>
    <t>WOS:000268604700069</t>
  </si>
  <si>
    <t>Pandey, K; Mittal, A</t>
  </si>
  <si>
    <t>Pandey, Kriti; Mittal, Ayush</t>
  </si>
  <si>
    <t>User Profiling on Tumblr through Blog Posts</t>
  </si>
  <si>
    <t>2016 INTERNATIONAL CONFERENCE ON COMPUTATIONAL TECHNIQUES IN INFORMATION AND COMMUNICATION TECHNOLOGIES (ICCTICT)</t>
  </si>
  <si>
    <t>International Conference on Computational Techniques in Information and Communication Technologies (ICCTICT)</t>
  </si>
  <si>
    <t>MAR 11-13, 2016</t>
  </si>
  <si>
    <t>New Delhi, INDIA</t>
  </si>
  <si>
    <t>social networks; Tumblr; attribute prediction; user profiling</t>
  </si>
  <si>
    <t>Tumblr, a microblogging service, has garnered a lot of prominence in recent past with 269.3 million blogs and 125.9 billion posts which makes it a hub for creative content. Despite this drastic growth of Tumblr since its launch, not a lot of scholarly work has been done on it. This work is an attempt to comprehensively profile the blogger in terms of age, gender and relationship status on Tumblr. The analysis conducted in this paper gives an approach for interest categorization of blogs based on topical analysis and writing characteristics. A normalized weighted representation of the most talked about categories for a blog was inferred based on the correlation between topical words and defined category related terms. The trained models predict age, gender and relationship status of the user with an accuracy of 82.37%, 79.61% and 76.52% respectively. To the best of our knowledge, this is the first attempt to profile users on Tumblr.</t>
  </si>
  <si>
    <t>[Pandey, Kriti; Mittal, Ayush] Indraprastha Inst Informat Technol Delhi, Delhi, India</t>
  </si>
  <si>
    <t>Pandey, K (corresponding author), Indraprastha Inst Informat Technol Delhi, Delhi, India.</t>
  </si>
  <si>
    <t>1kriti12050@iiitd.ac.in; ayush12030@iiitd.ac.in</t>
  </si>
  <si>
    <t>978-1-5090-0082-1</t>
  </si>
  <si>
    <t>BG5UT</t>
  </si>
  <si>
    <t>WOS:000389774600016</t>
  </si>
  <si>
    <t>Ding, X; Xu, J; Chen, GL</t>
  </si>
  <si>
    <t>Ding, Xiang; Xu, Jing; Chen, Guanling</t>
  </si>
  <si>
    <t>Exploring Structural Analysis of Place Networks Using Check-In Signals</t>
  </si>
  <si>
    <t>2013 IEEE GLOBAL COMMUNICATIONS CONFERENCE (GLOBECOM)</t>
  </si>
  <si>
    <t>DEC 09-13, 2013</t>
  </si>
  <si>
    <t>IEEE,IEEE Commun Soc</t>
  </si>
  <si>
    <t>location based social networks; social network analysis; community detection</t>
  </si>
  <si>
    <t>The huge amount of check-in data obtained through location-based social networks (LBSNs) provides a great opportunity to learn the characteristics of a geographic area through the users' collective check-in behavior. In this paper, we explore structure analysis of place networks, in which vertices are geographic places while the links between places are formed based on the user's check-in history. Specifically, we apply Louvain community detection algorithm on the place networks to obtain a set of place clusters (or communities). We found that these communities can be used to discover geographic layouts in the city and can uncover interesting patterns by analyzing geographically distant places within the same community. These results suggest that structural analysis of place networks is a promising approach for urban computing and has many implications of mobile networking, urban planning, user profiling and travel recommendations.</t>
  </si>
  <si>
    <t>[Ding, Xiang; Xu, Jing; Chen, Guanling] Univ Massachusetts, Dept Comp Sci, Lowell, MA 01854 USA</t>
  </si>
  <si>
    <t>University of Massachusetts System; University of Massachusetts Lowell</t>
  </si>
  <si>
    <t>Ding, X (corresponding author), Univ Massachusetts, Dept Comp Sci, 1 Univ Ave, Lowell, MA 01854 USA.</t>
  </si>
  <si>
    <t>xding@cs.uml.edu; jxu@cs.uml.edu; glchen@cs.uml.edu</t>
  </si>
  <si>
    <t>978-1-4799-1353-4</t>
  </si>
  <si>
    <t>BD0LG</t>
  </si>
  <si>
    <t>WOS:000357299603047</t>
  </si>
  <si>
    <t>On-at, S; Peninou, A; Canut, MF; Sèdes, F</t>
  </si>
  <si>
    <t>On-at, Sirinya; Peninou, Andre; Canut, Marie-Francoise; Sedes, Florence</t>
  </si>
  <si>
    <t>Toward a combinatorial analysis and parametric study to build time-aware social profile</t>
  </si>
  <si>
    <t>9TH INTERNATIONAL CONFERENCE ON MANAGEMENT OF EMERGENT DIGITAL ECOSYSTEMS (MEDES 2017)</t>
  </si>
  <si>
    <t>9th International Conference on Management of Emergent Digital EcoSystems (MEDES)</t>
  </si>
  <si>
    <t>NOV 07-09, 2017</t>
  </si>
  <si>
    <t>Bangkok, THAILAND</t>
  </si>
  <si>
    <t>Digital Govt Thailand,Kasetsart Univ,French Embassy Bangkok,ACM SIGAPP fr,IFIP,LIUPPA</t>
  </si>
  <si>
    <t>User profiling; Social profiling; Social network evolution</t>
  </si>
  <si>
    <t>Research has shown the effectiveness of inferring user interests from social neighbors, also called social profiling. However, the evolution in the social profile is not widely taken into consideration. To overcome this drawback, we propose a time aware social profiling method that considers the temporal factors of the information and the relationships between the user and his/her social neighbors. This method aims at weighting user interests in the social profile, by applying a time decay function. The temporal score of a given interest is computed by combining the temporal score of information used to extract the interests with the temporal score of individuals who share the information in the network. The experiments conducted on a co-authorship network, DBLP showed that the time-aware social profiling process applying our proposed time-aware method outperforms the existing time agnostic social profiling process. The combinatorial analysis and the parametric study led us to observe that in the context of co authorship network, the individual temporal score has more influence than the information temporal score. As this kind of network does not exhibit a rapid evolution of information and relationships, to obtain a relevant social profile, the information should be damped slowly.</t>
  </si>
  <si>
    <t>[On-at, Sirinya; Peninou, Andre; Canut, Marie-Francoise; Sedes, Florence] Univ Toulouse, Toulouse Inst Comp Sci Res, IRIT, CNRS,INPT,UPS,UT1,UT2J, Toulouse, France</t>
  </si>
  <si>
    <t>On-at, S (corresponding author), Univ Toulouse, Toulouse Inst Comp Sci Res, IRIT, CNRS,INPT,UPS,UT1,UT2J, Toulouse, France.</t>
  </si>
  <si>
    <t>sirinya.on-at@irit.fr; andre.peninou@irit.fr; marie-francoise.canut@irit.fr; florence.sedes@irit.fr</t>
  </si>
  <si>
    <t>Péninou, André/AAJ-2425-2020</t>
  </si>
  <si>
    <t>Péninou, André/0000-0001-6387-0079; Sèdes, Florence/0000-0002-9273-302X</t>
  </si>
  <si>
    <t>978-1-4503-4895-9</t>
  </si>
  <si>
    <t>10.1145/3167020.3167038</t>
  </si>
  <si>
    <t>BM4MQ</t>
  </si>
  <si>
    <t>WOS:000463554300018</t>
  </si>
  <si>
    <t>Tatsiopoulos, C; Boutsinas, B</t>
  </si>
  <si>
    <t>Tatsiopoulos, Christos; Boutsinas, Basilis</t>
  </si>
  <si>
    <t>Automatic knowledge exchanging between tourists via mobile devices</t>
  </si>
  <si>
    <t>JOURNAL OF HOSPITALITY AND TOURISM TECHNOLOGY</t>
  </si>
  <si>
    <t>Tourism; Knowledge sharing; Communication technologies; Mobile communication systems</t>
  </si>
  <si>
    <t>Purpose - The paper aims to present an approach for services in the domain of tourism based on a software application in the area of ontology engineering, showing a methodology for intelligent knowledge-based P2P networks creation, in the tourism knowledge domain, given that, potential tourists share and organize their experiences, interests and knowledge. Using the proposed software application, they automatically exchange their knowledge, with an intelligent and transparent way, with other users that have the same or similar interests and make use of it. Design/methodology/approach - The approach followed was categorizing tourism-related interests and services into ontologies (system and user), then comparing them, using intelligent algorithms, suggesting new, unknown to the user, interests. The data were evaluated by experts in order to provide a guide for correct (according to the expert) interestingness of profile concepts. Findings - The paper presents the outcomes of the software used, running on mobile devices, showing the connection for them, among user knowledge profiles and tourism services. It has been found that the return results (concepts) are of high interestingness to the user. Research limitations/implications - Experiments have been performed with one central ontology, used as reference and two user ontologies at the same time. The authors would suggest more experimentation, with more users connected concurrently. Practical implications - Of high practical importance is the creation of intelligent social networking processes and user communities based on interests for further e-commerce activities, based on a semantic framework. Originality/value - The paper fulfils the need for intelligent interaction and distribution of knowledge and content to users in an autonomous way, anywhere.</t>
  </si>
  <si>
    <t>[Tatsiopoulos, Christos] EPIS Informat &amp; Commun Syst, Athens, Greece; [Boutsinas, Basilis] Univ Patras, Dept Business Adm, Artificial Intelligence Res Ctr, Patras, Greece</t>
  </si>
  <si>
    <t>University of Patras</t>
  </si>
  <si>
    <t>Tatsiopoulos, C (corresponding author), EPIS Informat &amp; Commun Syst, Athens, Greece.</t>
  </si>
  <si>
    <t>ctatsio@gmail.com</t>
  </si>
  <si>
    <t>Boutsinas, Basilis/AAX-8911-2021</t>
  </si>
  <si>
    <t>1757-9880</t>
  </si>
  <si>
    <t>1757-9899</t>
  </si>
  <si>
    <t>J HOSP TOUR TECHNOL</t>
  </si>
  <si>
    <t>J. Hosp. Tour. Technol.</t>
  </si>
  <si>
    <t>10.1108/17579881011065056</t>
  </si>
  <si>
    <t>Hospitality, Leisure, Sport &amp; Tourism</t>
  </si>
  <si>
    <t>V07DM</t>
  </si>
  <si>
    <t>WOS:000213988500006</t>
  </si>
  <si>
    <t>Diao, MT; Zhang, ZB; Su, S; Gao, S; Cao, HF</t>
  </si>
  <si>
    <t>Diao, Mengting; Zhang, Zhongbao; Su, Sen; Gao, Shuai; Cao, Huafeng</t>
  </si>
  <si>
    <t>UPON: User Profile Transferring across Networks</t>
  </si>
  <si>
    <t>CIKM '20: PROCEEDINGS OF THE 29TH ACM INTERNATIONAL CONFERENCE ON INFORMATION &amp; KNOWLEDGE MANAGEMENT</t>
  </si>
  <si>
    <t>29th ACM International Conference on Information and Knowledge Management (CIKM)</t>
  </si>
  <si>
    <t>OCT 19-23, 2020</t>
  </si>
  <si>
    <t>Assoc Comp Machinery,ACM SIGIR,ACM SIGWEB</t>
  </si>
  <si>
    <t>User profiling; Transfer learning; Social network</t>
  </si>
  <si>
    <t>User profiling has very important applications for many downstream tasks, such as recommender system, behavior prediction and market strategy. Most existing methods only focus on modeling user profiles of one social network with plenty of data. However, user profiles are difficult to acquire, especially when the data is scarce. Modeling user profiles under such conditions often leads to poor performance. Fortunately, we observed that not only user attributes but also user relationships are useful for user profiling and benefit the results. Meanwhile, similar users have similar behavior in different social networks. Finding user dependencies between social networks will help to infer user profiles. Motivated by such observations, in this paper, we for the first time propose to study the user profiling problem from the transfer learning perspective. We design an efficient User Profile transferring acrOss Networks (UPON) framework, which transfers knowledge of user relationship from one social network with plenty of data to facilitate the user profiling on the other social network with scarce data. In UPON, we first design a novel graph convolutional networks based characteristic-aware domain attention model (GCN-CDAM) to find user dependencies within and between domains (referring to social networks). We then design a dual-domain weighted adversarial learning method to solve the domain shift problem existing in the transferring procedure. Experimental results on Twitter-Foursquare dataset demonstrate that UPON outperforms the state-of-the-art models.</t>
  </si>
  <si>
    <t>[Diao, Mengting; Zhang, Zhongbao; Su, Sen; Gao, Shuai; Cao, Huafeng] Beijing Univ Posts &amp; Telecommun, State Key Lab Networking &amp; Switching Technol, Beijing, Peoples R China</t>
  </si>
  <si>
    <t>Zhang, ZB (corresponding author), Beijing Univ Posts &amp; Telecommun, State Key Lab Networking &amp; Switching Technol, Beijing, Peoples R China.</t>
  </si>
  <si>
    <t>diaomengting@bupt.edu.cn; zhongbaozb@bupt.edu.cn; susen@bupt.edu.cn; gaoshuai@bupt.edu.cn; caohuafeng@bupt.edu.cn</t>
  </si>
  <si>
    <t>Zhang, Zhongbao/GZA-8939-2022; diao, mengting/OPN-3327-2025</t>
  </si>
  <si>
    <t>National Key Research and Development Program of China [2018YFB1003804]; National Natural Science Foundation [U1936103, 61921003]; Fundamental Research Funds for the Central Universities [2019XD11]</t>
  </si>
  <si>
    <t>National Key Research and Development Program of China(National Key Research &amp; Development Program of China); National Natural Science Foundation(National Natural Science Foundation of China (NSFC)); Fundamental Research Funds for the Central Universities(Fundamental Research Funds for the Central Universities)</t>
  </si>
  <si>
    <t>This work was supported in part by: National Key Research and Development Program of China under Grant 2018YFB1003804, National Natural Science Foundation under Grant U1936103 and 61921003, and the Fundamental Research Funds for the Central Universities 2019XD11.</t>
  </si>
  <si>
    <t>978-1-4503-6859-9</t>
  </si>
  <si>
    <t>10.1145/3340531.3411964</t>
  </si>
  <si>
    <t>BS6LW</t>
  </si>
  <si>
    <t>WOS:000749561300029</t>
  </si>
  <si>
    <t>Aminzadeh, H; Kaveh, M; Martín, D</t>
  </si>
  <si>
    <t>Aminzadeh, Hossein; Kaveh, Mehrdad; Martin, Diego</t>
  </si>
  <si>
    <t>Capturing user dynamics: A novel evolutionary deep learning framework for personalized POI recommendations in navigation</t>
  </si>
  <si>
    <t>APPLIED GEOMATICS</t>
  </si>
  <si>
    <t>Location-based services; Deep learning; Recommendation systems; Artificial bee colony; Context-awareness</t>
  </si>
  <si>
    <t>Personalized recommendation in location-based services (LBS) is a challenging task due to the diversity of user preferences and the dynamic nature of location-based interactions. Existing methods often struggle to capture the complex interplay of user interests, leading to suboptimal recommendations. Addressing this problem is crucial for enhancing user experience and driving engagement in LBSs. Accurate and personalized point of interest (POI) recommendations can help users discover relevant places, optimize their time, and make informed decisions, because these points can play the role of the road landmarks. By improving POI recommendations, we can foster a more enjoyable and valuable experience for LBSN users. This paper presents a novel approach to enhancing LBS by leveraging deep learning (DL) techniques and data from location-based social networks (LBSNs) like Foursquare and Yelp. Our method effectively extracts user interests from LBSN data, incorporating individual preferences, social influence, and temporal dynamics. By combining these factors, we provide personalized POI recommendations that significantly improve user experience. We introduce an improved long short-term memory (LSTM) model to capture complex user behavior patterns and extract relevant POIs. Additionally, we address the challenge of data inconsistency across different social networks by harmonizing place categories. In the proposed model, the improved artificial bee colony (IABC) optimally updates the weights, biases, learning rate, and the number of units of the LSTM. This paper also introduces a new three-dimensional migration model to enhance the exploitation capabilities of the ABC algorithm. The performance of the proposed IABC-LSTM model is compared to several advanced machine learning (ML) algorithms, including recurrent neural networks (RNN), K-nearest neighbors (KNN), support vector machines (SVM), biogeography-based optimization (BBO), and orchard algorithm (OA). To evaluate our model, we utilized a rigorous evaluation framework, incorporating metrics such as root mean square error (RMSE), coefficient of determination (R &amp; sup2;), convergence curve, precision, recall, F-score, and receiver operating characteristic (ROC) curve. Our research demonstrates the effectiveness of our approach by achieving the highest R(2 )value of 96.41% on the validation set, and the lowest RMSE value of 0.84, whereas SVM model achieved the highest RMSE and the lowest R-2 Also, the combination of all three factors achieved the highest F-score of 0.893. Our findings highlight the importance of considering multiple factors for personalized recommendations and the potential of DL techniques to revolutionize LBS.</t>
  </si>
  <si>
    <t>[Aminzadeh, Hossein; Kaveh, Mehrdad] KN Toosi Univ Technol, Fac Geodesy &amp; Geomat, Tehran 1996715433, Iran; [Martin, Diego] Univ Valladolid, Escuela Ingn Informat Segovia, Dept Comp Sci, Segovia 40005, Spain</t>
  </si>
  <si>
    <t>K. N. Toosi University of Technology; Universidad de Valladolid</t>
  </si>
  <si>
    <t>Aminzadeh, H (corresponding author), KN Toosi Univ Technol, Fac Geodesy &amp; Geomat, Tehran 1996715433, Iran.;Martín, D (corresponding author), Univ Valladolid, Escuela Ingn Informat Segovia, Dept Comp Sci, Segovia 40005, Spain.</t>
  </si>
  <si>
    <t>h.aminzadeh@email.kntu.ac.ir; m.kaveh11@email.kntu.ac.ir; diego.martin.andres@uva.es</t>
  </si>
  <si>
    <t>Martin, Diego/OOK-3324-2025; Kaveh, Mehrdad/AHC-5678-2022</t>
  </si>
  <si>
    <t>1866-9298</t>
  </si>
  <si>
    <t>1866-928X</t>
  </si>
  <si>
    <t>APPL GEOMAT</t>
  </si>
  <si>
    <t>Appl. Geomat.</t>
  </si>
  <si>
    <t>MAR 10</t>
  </si>
  <si>
    <t>10.1007/s12518-026-00690-6</t>
  </si>
  <si>
    <t>Remote Sensing</t>
  </si>
  <si>
    <t>EY3HW</t>
  </si>
  <si>
    <t>WOS:001712643900001</t>
  </si>
  <si>
    <t>Han, BC; Du, YJ; Wang, C; Ren, HD; Xu, J</t>
  </si>
  <si>
    <t>Lee, G</t>
  </si>
  <si>
    <t>Han, Baochuan; Du, Yajun; Wang, Chang; Ren, Haodong; Xu, Jing</t>
  </si>
  <si>
    <t>Personalized Seed URLs Generation Using User-interest Ontology</t>
  </si>
  <si>
    <t>2012 INTERNATIONAL CONFERENCE ON ARTIFICIAL INTELLIGENCE AND SOFT COMPUTING (ICAISC 2012)</t>
  </si>
  <si>
    <t>Lecture Notes in Information Technology</t>
  </si>
  <si>
    <t>International Conference on Artificial Intelligence and Soft Computing (ICAISC 2012)</t>
  </si>
  <si>
    <t>MAR 15-16, 2012</t>
  </si>
  <si>
    <t>Informat Engn Res Inst Hong Kong</t>
  </si>
  <si>
    <t>Seed URLs; User-interest Ontology; Bipartite graph</t>
  </si>
  <si>
    <t>Personalized seed URLs selection intends to guide related and valuable information that meets a user's personal interests and provide more effective information retrieval. The paper employs user-interest ontology for extracting the user interest topic area and expanding user queries to receive the most related pages as seed URLs, which is an entry of the topic crawler. In particular, we focus on how to refine the topic area using the bipartite directed graph and effectively range to expand user queries by the user-interest ontology method. The experiment results show the method can improve the average precision of seed URLs collection.</t>
  </si>
  <si>
    <t>[Han, Baochuan; Du, Yajun; Wang, Chang; Ren, Haodong; Xu, Jing] Xihua Univ, Sch Math &amp; Comp Engn, Chengdu 610039, Sichuan, Peoples R China</t>
  </si>
  <si>
    <t>Xihua University</t>
  </si>
  <si>
    <t>Han, BC (corresponding author), Xihua Univ, Sch Math &amp; Comp Engn, Chengdu 610039, Sichuan, Peoples R China.</t>
  </si>
  <si>
    <t>han_348154920@163.com; duyajun@mail.xhu.edu.cn</t>
  </si>
  <si>
    <t>Ren, Haodong/JGE-4277-2023</t>
  </si>
  <si>
    <t>National Natural Science Foundation of China [60872089]; Science &amp;Technology Foundation of Xihua University [R0622611]</t>
  </si>
  <si>
    <t>National Natural Science Foundation of China(National Natural Science Foundation of China (NSFC)); Science &amp;Technology Foundation of Xihua University</t>
  </si>
  <si>
    <t>This work forms part of projects supported by the National Natural Science Foundation of China (Grant No.60872089), The Science &amp;Technology Foundation of Xihua University (Grant No.R0622611).</t>
  </si>
  <si>
    <t>INFORMATION ENGINEERING RESEARCH INST, USA</t>
  </si>
  <si>
    <t>NEWARK</t>
  </si>
  <si>
    <t>100 CONTINENTAL DR, NEWARK, DE 19713 USA</t>
  </si>
  <si>
    <t>2070-1918</t>
  </si>
  <si>
    <t>978-1-61275-009-5</t>
  </si>
  <si>
    <t>LECT NOTE INFORMTECH</t>
  </si>
  <si>
    <t>+</t>
  </si>
  <si>
    <t>BCO17</t>
  </si>
  <si>
    <t>WOS:000310815000002</t>
  </si>
  <si>
    <t>Chen, D; Zhang, QL; Chen, GB; Fan, C; Gao, QH</t>
  </si>
  <si>
    <t>Xiao, J; Mao, ZH; Suzumura, T; Zhang, LJ</t>
  </si>
  <si>
    <t>Chen, Di; Zhang, Qinglin; Chen, Gangbao; Fan, Chuang; Gao, Qinghong</t>
  </si>
  <si>
    <t>Forum User Profiling by Incorporating User Behavior and Social Network Connections</t>
  </si>
  <si>
    <t>COGNITIVE COMPUTING (ICCC 2018)</t>
  </si>
  <si>
    <t>2nd International Conference on Cognitive Computing (ICCC) Held as Part of the Services Conference Federation (SCF)</t>
  </si>
  <si>
    <t>JUN 25-30, 2018</t>
  </si>
  <si>
    <t>Seattle, WA</t>
  </si>
  <si>
    <t>User profiling; User behavior; Social network; Ensemble learning</t>
  </si>
  <si>
    <t>With the rapid development of social media in recent years, user profile inferring becomes crucial to many practical application such as recommendation and customized service. In this paper, we propose an ensemble learning based model, which incorporates user behavior embedding and social network connection embedding, for user profile inference. In which, post content features and user behavior statistics are employed to learn the user behavior embedding. LINE and PUHE are incorporated to learn the user social network connection embedding. The proposed method is evaluated on SMP CUP 2017 user profiling competition dataset. The experiment results demonstrate that leveraging both user behavior embedding and social network connection embedding improves the user profiling efficiently.</t>
  </si>
  <si>
    <t>[Chen, Di; Zhang, Qinglin; Chen, Gangbao; Fan, Chuang; Gao, Qinghong] Harbin Inst Technol, Shenzhen Grad Sch, Shenzhen 518055, Peoples R China</t>
  </si>
  <si>
    <t>Harbin Institute of Technology</t>
  </si>
  <si>
    <t>Chen, D (corresponding author), Harbin Inst Technol, Shenzhen Grad Sch, Shenzhen 518055, Peoples R China.</t>
  </si>
  <si>
    <t>chandichn@gmail.com; ieqinglinzhang@gmail.com; gbchen0823@gmail.com; fanchuanghit@gmail.com; gaoginghong1994@gmail.com</t>
  </si>
  <si>
    <t>Liu, Qiang/AAA-2260-2020</t>
  </si>
  <si>
    <t>National Natural Science Foundation of China [U1636103, 61632011]; Key Technologies Research and Development Program of Shenzhen [JSGG20170817140856618]; Shenzhen Foundational Research Funding [20170307150024907]</t>
  </si>
  <si>
    <t>National Natural Science Foundation of China(National Natural Science Foundation of China (NSFC)); Key Technologies Research and Development Program of Shenzhen; Shenzhen Foundational Research Funding</t>
  </si>
  <si>
    <t>This work was supported by the National Natural Science Foundation of China U1636103, 61632011, Key Technologies Research and Development Program of Shenzhen JSGG20170817140856618, Shenzhen Foundational Research Funding 20170307150024907.</t>
  </si>
  <si>
    <t>978-3-319-94307-7; 978-3-319-94306-0</t>
  </si>
  <si>
    <t>10.1007/978-3-319-94307-7_3</t>
  </si>
  <si>
    <t>BK8ML</t>
  </si>
  <si>
    <t>WOS:000443135700003</t>
  </si>
  <si>
    <t>Gorrab, A; Kboubi, F; Jaffal, A; Le Grand, B; Ben Ghezala, H</t>
  </si>
  <si>
    <t>Frasincar, F; Ittoo, A; Nguyen, L; Metais, E</t>
  </si>
  <si>
    <t>Gorrab, Abir; Kboubi, Ferihane; Jaffal, Ali; Le Grand, Benedicte; Ben Ghezala, Henda</t>
  </si>
  <si>
    <t>Twitter User Profiling Model Based on Temporal Analysis of Hashtags and Social Interactions</t>
  </si>
  <si>
    <t>NATURAL LANGUAGE PROCESSING AND INFORMATION SYSTEMS, NLDB 2017</t>
  </si>
  <si>
    <t>22nd International Conference on Applications of Natural Language to Information Systems (NLDB)</t>
  </si>
  <si>
    <t>JUN 21-23, 2017</t>
  </si>
  <si>
    <t>Liege, BELGIUM</t>
  </si>
  <si>
    <t>User profile; Temporality; Social interactions; Hashtags; Similarity</t>
  </si>
  <si>
    <t>Social content generated by users' interaction in social networks is a knowledge source that may enhance users' profiles modeling, by providing information on their activities and interests over time. The aim of this article is to propose several original strategies for modeling profiles of social networks' users, taking into account social information and its temporal evolution. We illustrate our approach on the Twitter network. We distinguish interactive and thematic temporal profiles and we study profiles' similarities by applying various clustering algorithms, by giving a special attention to overlapping clusters. We compare the different types of profiles obtained and show how they can be relevant for the recommendation of hashtags and users to follow.</t>
  </si>
  <si>
    <t>[Gorrab, Abir; Kboubi, Ferihane; Ben Ghezala, Henda] Univ Manouba, Natl Sch Comp Sci ENSI, RIADI Lab, Manouba, Tunisia; [Jaffal, Ali; Le Grand, Benedicte] Univ Paris1 Pantheon Sorbonne, Ctr Rech Informat, Paris, France</t>
  </si>
  <si>
    <t>Universite de la Manouba</t>
  </si>
  <si>
    <t>Gorrab, A (corresponding author), Univ Manouba, Natl Sch Comp Sci ENSI, RIADI Lab, Manouba, Tunisia.</t>
  </si>
  <si>
    <t>Abir.Gorrab@riadi.rnu.tn; Ferihane.Kboubi@riadi.rnu.tn; Ali.jaffal@malix.univ-paris1.fr; Benedicte.le-grand@univ-paris1.fr; henda.benghezala@riadi.rnu.tn</t>
  </si>
  <si>
    <t>; Kboubi, Ferihane/MZR-8856-2025; Ben Ghezala, Henda/AAK-7052-2021</t>
  </si>
  <si>
    <t>JAFFAL, Ali/0009-0006-1440-0453; Kboubi, Ferihane/0000-0002-1360-6170;</t>
  </si>
  <si>
    <t>978-3-319-59569-6; 978-3-319-59568-9</t>
  </si>
  <si>
    <t>10.1007/978-3-319-59569-6_12</t>
  </si>
  <si>
    <t>BK2XP</t>
  </si>
  <si>
    <t>WOS:000434206800012</t>
  </si>
  <si>
    <t>Qi, Y; Aleksandr, F; Andrey, F</t>
  </si>
  <si>
    <t>Assoc Advancement Artificial Intelligence</t>
  </si>
  <si>
    <t>Qi, Yang; Aleksandr, Farseev; Andrey, Filchenkov</t>
  </si>
  <si>
    <t>I Know Where You Are Coming From: On the Impact of Social Media Sources on AI Model Performance</t>
  </si>
  <si>
    <t>THIRTY-FOURTH AAAI CONFERENCE ON ARTIFICIAL INTELLIGENCE, THE THIRTY-SECOND INNOVATIVE APPLICATIONS OF ARTIFICIAL INTELLIGENCE CONFERENCE AND THE TENTH AAAI SYMPOSIUM ON EDUCATIONAL ADVANCES IN ARTIFICIAL INTELLIGENCE</t>
  </si>
  <si>
    <t>AAAI Conference on Artificial Intelligence</t>
  </si>
  <si>
    <t>34th AAAI Conference on Artificial Intelligence / 32nd Innovative Applications of Artificial Intelligence Conference / 10th AAAI Symposium on Educational Advances in Artificial Intelligence</t>
  </si>
  <si>
    <t>FEB 07-12, 2020</t>
  </si>
  <si>
    <t>New York, NY</t>
  </si>
  <si>
    <t>Nowadays, social networks play a crucial role in human everyday life and no longer purely associated with spare time spending. In fact, instant communication with friends and colleagues has become an essential component of our daily interaction giving a raise of multiple new social network types emergence. By participating in such networks, individuals generate a multitude of data points that describe their activities from different perspectives and, for example, can be further used for applications such as personalized recommendation or user profiling. However, the impact of the different social media networks on machine learning model performance has not been studied comprehensively yet. Particularly, the literature on modeling multi-modal data from multiple social networks is relatively sparse, which had inspired us to take a deeper dive into the topic in this preliminary study. Specifically, in this work, we will study the performance of different machine learning models when being learned on multi-modal data from different social networks. Our initial experimental results reveal that social network choice impacts the performance and the proper selection of data source is crucial.</t>
  </si>
  <si>
    <t>[Qi, Yang; Aleksandr, Farseev; Andrey, Filchenkov] ITMO Univ, 49 Kronverksky Pr, St Petersburg 197101, Russia</t>
  </si>
  <si>
    <t>ITMO University</t>
  </si>
  <si>
    <t>Qi, Y (corresponding author), ITMO Univ, 49 Kronverksky Pr, St Petersburg 197101, Russia.</t>
  </si>
  <si>
    <t>yangqi@itmo.ru; farseev@itmo.ru; afilchenkov@itmo.ru</t>
  </si>
  <si>
    <t>Yang, Qi/AAH-8423-2021</t>
  </si>
  <si>
    <t>Yang, Qi/0000-0002-5425-0932</t>
  </si>
  <si>
    <t>Government of Russian Federation [08-08]</t>
  </si>
  <si>
    <t>Government of Russian Federation</t>
  </si>
  <si>
    <t>This research was funded by the Government of Russian Federation, Grant 08-08.</t>
  </si>
  <si>
    <t>ASSOC ADVANCEMENT ARTIFICIAL INTELLIGENCE</t>
  </si>
  <si>
    <t>PALO ALTO</t>
  </si>
  <si>
    <t>2275 E BAYSHORE RD, STE 160, PALO ALTO, CA 94303 USA</t>
  </si>
  <si>
    <t>2159-5399</t>
  </si>
  <si>
    <t>2374-3468</t>
  </si>
  <si>
    <t>978-1-57735-835-0</t>
  </si>
  <si>
    <t>AAAI CONF ARTIF INTE</t>
  </si>
  <si>
    <t>Computer Science, Artificial Intelligence; Computer Science, Interdisciplinary Applications; Education, Scientific Disciplines</t>
  </si>
  <si>
    <t>BR7JR</t>
  </si>
  <si>
    <t>WOS:000668126806178</t>
  </si>
  <si>
    <t>Han, J; Lee, H</t>
  </si>
  <si>
    <t>Han, Jonghyun; Lee, Hyunju</t>
  </si>
  <si>
    <t>Characterizing User Interest Using Heterogeneous Media</t>
  </si>
  <si>
    <t>User interest; Social media; Topic modeling</t>
  </si>
  <si>
    <t>It is often hard to accurately estimate interests of social media users because their messages do riot have additional information, such as a category. To this paper, we propose an approach that estimates user interest from social media to provide personalized services. Our approach employs heterogeneous media to map social media onto categories. To describe the categories, we propose a hybrid method that integrates a topic model with TF-ICF for extracting both explicitly presented and implicitly latent features. Our evaluation result shows that it gives the highest performance, compared to other approaches. Thus, we expect that the proposed approach is helpful in advancing personalization of social media services.</t>
  </si>
  <si>
    <t>[Han, Jonghyun; Lee, Hyunju] Gwangju Inst Sci &amp; Technol, Gwangju, South Korea</t>
  </si>
  <si>
    <t>Gwangju Institute of Science &amp; Technology (GIST)</t>
  </si>
  <si>
    <t>Han, J (corresponding author), Gwangju Inst Sci &amp; Technol, Gwangju, South Korea.</t>
  </si>
  <si>
    <t>jhan@gist.ac.kr; hyunjulee@gist.ac.kr</t>
  </si>
  <si>
    <t>Lee, Hyunju/JPX-6538-2023</t>
  </si>
  <si>
    <t>Lee, Hyunju/0000-0003-2389-7183</t>
  </si>
  <si>
    <t>10.1145/2567948.2577346</t>
  </si>
  <si>
    <t>WOS:000455947000091</t>
  </si>
  <si>
    <t>Zhu, JH; Ma, S; Zhang, H; Hu, CM; Li, X</t>
  </si>
  <si>
    <t>Pei, J; Manolopoulos, Y; Sadiq, S; Li, J</t>
  </si>
  <si>
    <t>Zhu, Jinhai; Ma, Shuai; Zhang, Hui; Hu, Chunming; Li, Xiong</t>
  </si>
  <si>
    <t>Incorporating User Grouping into Retweeting Behavior Modeling</t>
  </si>
  <si>
    <t>DATABASE SYSTEMS FOR ADVANCED APPLICATIONS, DASFAA 2018, PT I</t>
  </si>
  <si>
    <t>23rd International Conference on Database Systems for Advanced Applications (DASFAA).</t>
  </si>
  <si>
    <t>MAY 21-24, 2018</t>
  </si>
  <si>
    <t>Gold Coast, AUSTRALIA</t>
  </si>
  <si>
    <t>User grouping; Social networks; Behavior modeling</t>
  </si>
  <si>
    <t>The variety among massive users makes it difficult to model their retweeting activities. Obviously, it is not suitable to cover the overall users by a single model. Meanwhile, building one model per user is not practical. To this end, this paper presents a novel solution, of which the principle is to model the retweeting behavior over user groups. Our system, GruBa, consists of three key components for extracting user based features, clustering users into groups, and modeling upon each group. Particularly, we look into the user interest from different perspectives including long-term/short-term interests and explicit/implicit interests. We have evaluated the performance of GruBa using datasets of real-world social networking applications, showcasing its benefits.</t>
  </si>
  <si>
    <t>[Zhu, Jinhai; Ma, Shuai; Zhang, Hui; Hu, Chunming] Beihang Univ, SKLSDE Lab, Beijing, Peoples R China; [Zhu, Jinhai; Ma, Shuai; Zhang, Hui; Hu, Chunming] Beijing Adv Innovat Ctr Big Data &amp; Brain Comp, Beijing, Peoples R China; [Li, Xiong] Coordinat Ctr China, Natl Comp Network Emergency Response Tech Team, Beijing, Peoples R China</t>
  </si>
  <si>
    <t>Ma, S (corresponding author), Beihang Univ, SKLSDE Lab, Beijing, Peoples R China.;Ma, S (corresponding author), Beijing Adv Innovat Ctr Big Data &amp; Brain Comp, Beijing, Peoples R China.</t>
  </si>
  <si>
    <t>zhujh@act.buaa.edu.cn; mashuai@act.buaa.edu.cn; zhangh@act.buaa.edu.cn; hucm@act.buaa.edu.cn; li.xiong@foxmail.com</t>
  </si>
  <si>
    <t>Zhang, Hui/G-6600-2014; ma, shuai/NAX-5505-2025</t>
  </si>
  <si>
    <t>NSFC [U1636210, 61421003, U1636123, 61403090]; 973 Program [2014CB340300]; MSRA Collaborative Research Program</t>
  </si>
  <si>
    <t>NSFC(National Natural Science Foundation of China (NSFC)); 973 Program(National Basic Research Program of China); MSRA Collaborative Research Program</t>
  </si>
  <si>
    <t>Ma is supported in part by NSFC U1636210, 973 Program 2014CB340300, NSFC 61421003, and MSRA Collaborative Research Program. Li is supported in part by NSFC U1636123 &amp; 61403090. For any correspondence, please refer to Shuai Ma.</t>
  </si>
  <si>
    <t>978-3-319-91452-7; 978-3-319-91451-0</t>
  </si>
  <si>
    <t>I</t>
  </si>
  <si>
    <t>10.1007/978-3-319-91452-7_31</t>
  </si>
  <si>
    <t>BP3HF</t>
  </si>
  <si>
    <t>WOS:000546494600031</t>
  </si>
  <si>
    <t>He, ZQ; Jiang, K; Ming, SJ; Huang, XF; Lou, HZ; Liu, JB</t>
  </si>
  <si>
    <t>Eck, U; Lee, G; Plopski, A; Smith, M; Sun, Q; Tatzgern, M</t>
  </si>
  <si>
    <t>He, Zi-Qiang; Jiang, Ke; Ming, Shi-Jie; Huang, Xiao-Feng; Lou, Huan-zhi; Liu, Jun-Bo</t>
  </si>
  <si>
    <t>Icebreaking: Building Trust and Empathy with Virtual Museum Embodied Conversational Agents via Personalized Initial Interactions</t>
  </si>
  <si>
    <t>2025 IEEE INTERNATIONAL SYMPOSIUM ON MIXED AND AUGMENTED REALITY, ISMAR</t>
  </si>
  <si>
    <t>International Symposium on Mixed and Augmented Reality</t>
  </si>
  <si>
    <t>2025 International Symposium on Mixed and Augmented Reality-ISMAR-Annual</t>
  </si>
  <si>
    <t>OCT 08-12, 2025</t>
  </si>
  <si>
    <t>Daejeon, SOUTH KOREA</t>
  </si>
  <si>
    <t>Embodied Conversational Agents; Virtual Reality; Personalized Initial Interaction; Trust; Empathy</t>
  </si>
  <si>
    <t>AUTOMATION</t>
  </si>
  <si>
    <t>Embodied Conversational Agents (ECAs) show significant potential for enhancing user experience in virtual museums. However, effectively establishing user trust and empathy during the critical initial moments of encounter remains a key challenge. Existing research has paid limited attention to systematically fostering these qualities through personalized Icebreaking strategies, often focusing instead on agent appearance or guidance mechanisms. This paper investigates the impact of a multimodal personalized initial interaction strategy-integrating personalized openings based on user interests, guided self-disclosure, and adaptive embodied social rituals-on users' trust in and empathy towards an ECA guide. We implemented this strategy within a VR virtual museum themed around the Beijing Central Axis, featuring interactions led by an ECA guide named Xiao Liang. In a user study (N=60), we compared three conditions: (1) No initial interaction (control), (2) Standardized interaction, and (3) Personalized interaction. User trust and empathy were measured immediately post-interaction using established psychological scales. Results clearly demonstrated that the personalized initial interaction significantly enhanced both user trust (p &lt; 0.05) and empathy (p &lt; 0.05) compared to both the control and standardized interaction groups. These findings confirm that personalizing the integration of dialogue and embodied behaviors early in the interaction is an effective pathway for building positive user-agent relationships. Furthermore, this work provides valuable insights for designing more trustworthy and empathic initial interactions for ECAs, offering a significant contribution to existing ECA interaction paradigms.</t>
  </si>
  <si>
    <t>[He, Zi-Qiang; Jiang, Ke; Ming, Shi-Jie; Huang, Xiao-Feng; Lou, Huan-zhi; Liu, Jun-Bo] Beijing Inst Technol, Beijing, Peoples R China</t>
  </si>
  <si>
    <t>Beijing Institute of Technology</t>
  </si>
  <si>
    <t>Jiang, K (corresponding author), Beijing Inst Technol, Beijing, Peoples R China.</t>
  </si>
  <si>
    <t>heziqiang.bit@126.com; jiangkebit@163.com; 2865320263@qq.com; hxf77699@gmail.com; 450590586@qq.com; junbo2506241735@gmail.com</t>
  </si>
  <si>
    <t>1554-7868</t>
  </si>
  <si>
    <t>979-8-3315-8762-8; 979-8-3315-8761-1</t>
  </si>
  <si>
    <t>INT SYM MIX AUGMENT</t>
  </si>
  <si>
    <t>10.1109/ISMAR67309.2025.00122</t>
  </si>
  <si>
    <t>Computer Science, Cybernetics; Computer Science, Software Engineering; Computer Science, Theory &amp; Methods</t>
  </si>
  <si>
    <t>BA9VA</t>
  </si>
  <si>
    <t>WOS:001829401700109</t>
  </si>
  <si>
    <t>Lim, KH; Chan, J; Karunasekera, S; Leckie, C</t>
  </si>
  <si>
    <t>Lim, Kwan Hui; Chan, Jeffrey; Karunasekera, Shanika; Leckie, Christopher</t>
  </si>
  <si>
    <t>Tour recommendation and trip planning using location-based social media: a survey</t>
  </si>
  <si>
    <t>KNOWLEDGE AND INFORMATION SYSTEMS</t>
  </si>
  <si>
    <t>Tour recommendation; Itinerary planning; Group recommendation; User interests; Personalization; Location-based social networks</t>
  </si>
  <si>
    <t>ORIENTEERING PROBLEM; TRAVEL RECOMMENDATION; SYSTEM; DESIGN; ALGORITHM; ROUTES</t>
  </si>
  <si>
    <t>Tourism is both an important industry and popular leisure activity undertaken by millions around the world. One important task for tourists is to plan and schedule tour itineraries that comprise multiple captivating Points-of-Interests based on the unique interest preferences of the tourist. The complex task of tour itinerary recommendation is further complicated by the need to incorporate various real-life constraints such as limited time for touring, uncertain traffic conditions, inclement weather, group travel, queuing times and crowdedness. In this survey, we conduct a comprehensive literature review of studies on tour itinerary recommendation and present a general taxonomy for touring-related research. We discuss the entire process of tour itinerary recommendation research including: (i) data collection and types of datasets; (ii) problem formulations and proposed algorithms/systems for individual travellers, groups of tourists and various real-life considerations; (iii) evaluation methodologies for comparing tour itinerary recommendation algorithms; and (iv) future directions and open problems in tour itinerary recommendation research.</t>
  </si>
  <si>
    <t>[Lim, Kwan Hui] Singapore Univ Technol &amp; Design, Informat Syst Technol &amp; Design Pillar, Singapore, Singapore; [Chan, Jeffrey; Karunasekera, Shanika; Leckie, Christopher] Univ Melbourne, Sch Comp &amp; Informat Syst, Parkville, Vic, Australia; [Chan, Jeffrey] RMIT Univ, Sch Sci, Melbourne, Vic, Australia</t>
  </si>
  <si>
    <t>Singapore University of Technology &amp; Design; University of Melbourne; Royal Melbourne Institute of Technology (RMIT)</t>
  </si>
  <si>
    <t>Lim, KH (corresponding author), Singapore Univ Technol &amp; Design, Informat Syst Technol &amp; Design Pillar, Singapore, Singapore.</t>
  </si>
  <si>
    <t>kwanhui_lim@sutd.edu.sg; jeffrey.chan@rmit.edu.au; karus@unimelb.edu.au; caleckie@unimelb.edu.au</t>
  </si>
  <si>
    <t>; Lim, Kwan Hui/H-8416-2014</t>
  </si>
  <si>
    <t>Chan, Jeffrey/0000-0002-7865-072X; Lim, Kwan Hui/0000-0002-4569-0901</t>
  </si>
  <si>
    <t>SPRINGER LONDON LTD</t>
  </si>
  <si>
    <t>236 GRAYS INN RD, 6TH FLOOR, LONDON WC1X 8HL, ENGLAND</t>
  </si>
  <si>
    <t>0219-1377</t>
  </si>
  <si>
    <t>0219-3116</t>
  </si>
  <si>
    <t>KNOWL INF SYST</t>
  </si>
  <si>
    <t>Knowl. Inf. Syst.</t>
  </si>
  <si>
    <t>10.1007/s10115-018-1297-4</t>
  </si>
  <si>
    <t>IQ2OH</t>
  </si>
  <si>
    <t>WOS:000480588300002</t>
  </si>
  <si>
    <t>Tu, A</t>
  </si>
  <si>
    <t>GomezChova, L; LopezMartinez, A; CandelTorres, I</t>
  </si>
  <si>
    <t>Tu, Arthur</t>
  </si>
  <si>
    <t>ELEMENTAL PATH COGNITOYS: COMBINING RULE-BASED DIALOGUE MANAGEMENT, MODEL-TRACING AND EXAMPLE-TRACING INSTRUCTIONS TO DYNAMICALLY PERSONALIZE DIALOGUE-BASED LEARNING WITH TOPICS OF INTEREST</t>
  </si>
  <si>
    <t>EDULEARN15: 7TH INTERNATIONAL CONFERENCE ON EDUCATION AND NEW LEARNING TECHNOLOGIES</t>
  </si>
  <si>
    <t>EDULEARN Proceedings</t>
  </si>
  <si>
    <t>7th International Conference on Education and New Learning Technologies (EDULEARN)</t>
  </si>
  <si>
    <t>JUL 06-08, 2015</t>
  </si>
  <si>
    <t>Computer-based instructions; example-tracing; model-tracing; conversational systems; dialogue systems; interest; dialogue management; intelligent tutoring</t>
  </si>
  <si>
    <t>In overview, a conversational smart toy that holds intelligent conversations with young children is in itself a novelty. Many speech-enabled technologies such as Siri of Apple, Echo of Amazon and Cortana of Microsoft, are naturally language query engines that have little to no regard for continuous discourse or instructional scaffolding. Suffice to say, these products do not facilitate knowledge acquisition. Conversational toys of equivalent NLP capacity are practically nonexistent. As far as intelligent tutoring systems are concerned, young children often go off-task while working with a computer-based learning interface without gaming or role-play components. Thus, there is a compelling reason to create a connected smart toy to bridge natural language dialogue management with model-tracing and example-tracing instructional technologies to deliver an interesting and engaging learning experience for early childhood. Elemental Path's Cognitoys are a platform built specifically to address this challenge of creating conversational agents in physical toys that blend learning into highly personalized conversations. For example, a child may engage by asking Cognitoy to tell the story of Snow White. After storytelling, the toy may ask the child questions pertaining to details of the story (e.g. how many dwarfs did Snow White meet?). A child may stray away from the conversation and begin talking about cats. Subsequently, the toy handles the new conversation by asking the child how many legs a cat has. The child answers with four. The toy then determines the appropriate level of math based on age an decides engage the child in a multiplication-by-counting by asking how many legs do five cats have in total. If the child responds incorrectly, the toy then guides the child through a scaffolded process of performing counting-by-four as a way to multiply. If the child succeeds in precisely demonstrating the skill, the toy will increase the difficulty of instructions by locating a relevant, more challenging goal. Additionally, if the child exhibits overwhelming off-task behavior, the toy is equipped to reengage by either resuming the conversation about Snow White, or initiating a new learning exercise such as finding words that rhyme with cat or leg. The toy will seek to reinitiate math instructions later. The approach that Cognitoys takes is a hybrid conversational system that employs both non-finitestate, rule-based dialogue management (like RavenClaw/Olympus), and model-tracing (like ACT-R) and ex-ample-tracing instructions (like CTAT). Rule-based dialogue manage-ment allows flexible continuation of casual, themed conversations; whereas instructional tracing engine uses content of interest to the student collected through casual conversations to dynamically personalize assessments and instructional scaffolding without compromising the integrity of instructional designs. Such approach enables Cognitoys to optimize a child's learning experience by creating and managing educational conversations that continually stimulate student interest in real-time.</t>
  </si>
  <si>
    <t>[Tu, Arthur] Elemental Path Inc, New York, NY 10010 USA</t>
  </si>
  <si>
    <t>Tu, A (corresponding author), Elemental Path Inc, New York, NY 10010 USA.</t>
  </si>
  <si>
    <t>IATED-INT ASSOC TECHNOLOGY EDUCATION A&amp; DEVELOPMENT</t>
  </si>
  <si>
    <t>2340-1117</t>
  </si>
  <si>
    <t>978-84-606-8243-1</t>
  </si>
  <si>
    <t>EDULEARN PROC</t>
  </si>
  <si>
    <t>BE8PL</t>
  </si>
  <si>
    <t>WOS:000376685702016</t>
  </si>
  <si>
    <t>Ferreira, JC; Morgan, B</t>
  </si>
  <si>
    <t>Ferreira, Jessica C.; Morgan, Brandon</t>
  </si>
  <si>
    <t>An investigation of the psychometric properties of the Maree Career Matrix</t>
  </si>
  <si>
    <t>SOUTH AFRICAN JOURNAL OF PSYCHOLOGY</t>
  </si>
  <si>
    <t>Circumplex; Holland; interests; Maree Career Matrix; reliability; validity</t>
  </si>
  <si>
    <t>VOCATIONAL PERSONALITY-TYPES; STRUCTURAL VALIDITY; INTERESTS; MODEL; PERFORMANCE</t>
  </si>
  <si>
    <t>The purpose of this study was to investigate the reliability and structural validity of the Maree Career Matrix when used to measure the vocational interests of adults. Reliability of the 19 Maree Career Matrix interest categories were investigated using Cronbach's alpha and McDonald's omega total and the structural validity of these 19 interest categories was examined using principal components analysis. Results indicated mostly satisfactory reliability of the 19 interest categories when used for discussion of interest profiles and that the 19 interest categories formed approximate circular ordering consistent with Holland's circumplex model of vocational personality types. These results provide initial support for the reliability and structural validity of the Maree Career Matrix when used to measure the vocational interests of adults. Implications for theory and practice are discussed.</t>
  </si>
  <si>
    <t>[Ferreira, Jessica C.; Morgan, Brandon] Univ Johannesburg, Dept Ind Psychol &amp; People Management, POB 524,Auckland Pk, ZA-2006 Johannesburg, South Africa</t>
  </si>
  <si>
    <t>University of Johannesburg</t>
  </si>
  <si>
    <t>Morgan, B (corresponding author), Univ Johannesburg, Dept Ind Psychol &amp; People Management, POB 524,Auckland Pk, ZA-2006 Johannesburg, South Africa.</t>
  </si>
  <si>
    <t>bmorgan@uj.ac.za</t>
  </si>
  <si>
    <t>0081-2463</t>
  </si>
  <si>
    <t>2078-208X</t>
  </si>
  <si>
    <t>S AFR J PSYCHOL</t>
  </si>
  <si>
    <t>South Afr. J. Psychol.</t>
  </si>
  <si>
    <t>10.1177/0081246318782188</t>
  </si>
  <si>
    <t>IC3II</t>
  </si>
  <si>
    <t>WOS:000470853000005</t>
  </si>
  <si>
    <t>Cui, CY; Wang, HZ; Wu, Y; Gao, S; Yan, S</t>
  </si>
  <si>
    <t>Cui, Chaoyuan; Wang, Hongze; Wu, Yun; Gao, Sen; Yan, Shu</t>
  </si>
  <si>
    <t>SHMF: Interest Prediction Model with Social Hub Matrix Factorization</t>
  </si>
  <si>
    <t>MATHEMATICAL PROBLEMS IN ENGINEERING</t>
  </si>
  <si>
    <t>With the development of social networks, microblog has become the major social communication tool. There is a lot of valuable information such as personal preference, public opinion, and marketing in microblog. Consequently, research on user interest prediction in microblog has a positive practical significance. In fact, how to extract information associated with user interest orientation from the constantly updated blog posts is not so easy. Existing prediction approaches based on probabilistic factor analysis use blog posts published by user to predict user interest. However, these methods are not very effective for the users who post less but browse more. In this paper, we propose a new prediction model, which is called SHMF, using social hub matrix factorization. SHMF constructs the interest prediction model by combining the information of blogs posts published by both user and direct neighbors in user's social hub. Our proposed model predicts user interest by integrating user's historical behavior and temporal factor as well as user's friendships, thus achieving accurate forecasts of user's future interests. The experimental results on SinaWeibo show the efficiency and effectiveness of our proposed model.</t>
  </si>
  <si>
    <t>[Cui, Chaoyuan; Yan, Shu] Chinese Acad Sci, Hefei Inst Phys Sci, Inst Intelligent Machines, Hefei 230031, Anhui, Peoples R China; [Wang, Hongze] Univ Chinese Acad Sci, Beijing 100049, Peoples R China; [Wu, Yun] Chinese Acad Sci, Hefei Inst Phys Sci, Inst Appl Technol, Hefei 230088, Anhui, Peoples R China; [Gao, Sen] Univ Sci &amp; Technol China, Hefei 230031, Anhui, Peoples R China</t>
  </si>
  <si>
    <t>Chinese Academy of Sciences; Hefei Institutes of Physical Science, CAS; Chinese Academy of Sciences; University of Chinese Academy of Sciences, CAS; Chinese Academy of Sciences; Hefei Institutes of Physical Science, CAS; Chinese Academy of Sciences; University of Science &amp; Technology of China, CAS</t>
  </si>
  <si>
    <t>Yan, S (corresponding author), Chinese Acad Sci, Hefei Inst Phys Sci, Inst Intelligent Machines, Hefei 230031, Anhui, Peoples R China.</t>
  </si>
  <si>
    <t>yanshu@iim.ac.cn</t>
  </si>
  <si>
    <t>yan, shu/0000-0002-4830-3153</t>
  </si>
  <si>
    <t>National Natural Science Foundation of China [31371340]; National Key Technologies Research and Development Program of China [2016YFB0502604]</t>
  </si>
  <si>
    <t>National Natural Science Foundation of China(National Natural Science Foundation of China (NSFC)); National Key Technologies Research and Development Program of China</t>
  </si>
  <si>
    <t>This work is supported by the National Natural Science Foundation of China (31371340) and the National Key Technologies Research and Development Program of China (no. 2016YFB0502604).</t>
  </si>
  <si>
    <t>1024-123X</t>
  </si>
  <si>
    <t>1563-5147</t>
  </si>
  <si>
    <t>MATH PROBL ENG</t>
  </si>
  <si>
    <t>Math. Probl. Eng.</t>
  </si>
  <si>
    <t>10.1155/2017/1383891</t>
  </si>
  <si>
    <t>FE4YS</t>
  </si>
  <si>
    <t>WOS:000408219800001</t>
  </si>
  <si>
    <t>Biskupic, IO; Lackovic, S; Jurina, K</t>
  </si>
  <si>
    <t>Iaman, A; Eskicumali, A</t>
  </si>
  <si>
    <t>Biskupic, Ivana Ogrizek; Lackovic, Stjepan; Jurina, Kresimir</t>
  </si>
  <si>
    <t>Successful and proactive e-learning environment fostered by teachers' motivation in technology use</t>
  </si>
  <si>
    <t>INTERNATIONAL CONFERENCE ON NEW HORIZONS IN EDUCATION, INTE 2014</t>
  </si>
  <si>
    <t>Procedia Social and Behavioral Sciences</t>
  </si>
  <si>
    <t>5th International Conference on New Horizons in Education (INTE)</t>
  </si>
  <si>
    <t>JUN 25-27, 2014</t>
  </si>
  <si>
    <t>Proactivity in e-learning environment; Teachers-mediators; Information literacy problems; Lifelong learning</t>
  </si>
  <si>
    <t>This paper emphasizes the problems in e-learning environments with special focus on professors' role in providing quality of learning outcomes. Furthermore, we focus on professor level of information literacy and its role and importance in providing learnability of system and proactivity of students. In student centred learning environments we need to provide the same level of conditions needed in achieving learning outcomes. Therefore we analyse predictors that mediators in e-learning process (teachers) need to provide in order to create, evaluate, disseminate and distribute learning materials and instructions. In this paper we analyse an e-learning system with 3636 users and 238 courses on a higher education level (professional graduate and undergraduate study). Over the past nine years we have reached high level of e-learning technology use but still facing with students' dissatisfaction and lack of motivation stemmed by quantity and quality of course contents. In previous papers we have written about the conducted research on student information literacy tested on the Moodle platform in two higher educational institutions in Croatia. In these papers and other relevant research we have noticed student dissatisfaction with e-learning moderators (teachers). Moreover, in annual quality assurance questionnaires students recognized the same problem; namely, most of the teachers do not provide the expected level of information competences related to the course content needs. The students pointed out that their motivation is in correlation with teacher motivation and their contribution to the e-learning class and using technology in general. Our analyses show that more than 2/3 of teachers do not update their class with new information about the field they teach and ignore student interests in an e-learning process. In this paper we analyse predictors to problems with mediators and their perception of lifelong learning importance and their teaching approach to digital natives in the web 2.0 environments. (C) 2015 The Authors. Published by Elsevier Ltd.</t>
  </si>
  <si>
    <t>[Biskupic, Ivana Ogrizek; Lackovic, Stjepan; Jurina, Kresimir] Coll Business &amp; Management Baltazar Adam Krcelic, Vladimira Novaka 23, Zapresic 10290, Croatia</t>
  </si>
  <si>
    <t>Biskupic, IO (corresponding author), Coll Business &amp; Management Baltazar Adam Krcelic, Vladimira Novaka 23, Zapresic 10290, Croatia.</t>
  </si>
  <si>
    <t>ivana.ogrizek.biskupic@bak.hr</t>
  </si>
  <si>
    <t>Ogrizek Biškupić, Ivana/IAQ-5542-2023; Lackovic, Stjepan/OTI-4174-2025</t>
  </si>
  <si>
    <t>Ogrizek Biškupić, Ivana/0009-0002-0947-9655;</t>
  </si>
  <si>
    <t>1877-0428</t>
  </si>
  <si>
    <t>PROCD SOC BEHV</t>
  </si>
  <si>
    <t>10.1016/j.sbspro.2015.01.1086</t>
  </si>
  <si>
    <t>Education &amp; Educational Research; Social Sciences, Interdisciplinary</t>
  </si>
  <si>
    <t>Education &amp; Educational Research; Social Sciences - Other Topics</t>
  </si>
  <si>
    <t>BF6UY</t>
  </si>
  <si>
    <t>WOS:000383740203111</t>
  </si>
  <si>
    <t>Montebello, M</t>
  </si>
  <si>
    <t>Montebello, M.</t>
  </si>
  <si>
    <t>ENHANCING THE EFFECTIVENESS OF E-LEARNING THROUGH THE COMBINATION OF PERSONAL LEARNING PORTFOLIOS AND SOCIAL NETWORKS</t>
  </si>
  <si>
    <t>ICERI2014: 7TH INTERNATIONAL CONFERENCE OF EDUCATION, RESEARCH AND INNOVATION</t>
  </si>
  <si>
    <t>7th International Conference of Education, Research and Innovation (ICERI)</t>
  </si>
  <si>
    <t>NOV 17-19, 2014</t>
  </si>
  <si>
    <t>e-learning; personalisation; social network; crowdsourcing; personal learning network; personal learning portfolio; personal learning environment; user profiling</t>
  </si>
  <si>
    <t>This paper reports about an empirical research project that was set to investigate the pedagogical effect of the use of personalised learning portfolios (PLP) in combination with social networks to personalise the eLearning experience. The study reported investigates the notion of PLP as they subscribe to socio-constructivist pedagogies where the students are conceptualised as active agents involved in constructing knowledge, refining their understanding, and learning socially through sharing with peers and teachers. In this sense PLPs intersect with notions of independent learning that occurs through the use of social networks where users create, contribute, comment, tag, rate, remix, and share resources. The grounding of the theory of this investigation lies in the critical discussion of theories of adaptive learning, connectivism, and self-determination that together bring the two aspects of personal learning portfolios and social networks to form an interesting educational phenomenon that is worth investigating from an academic and pedagogical point of view.</t>
  </si>
  <si>
    <t>[Montebello, M.] Univ Malta, Msida, Malta</t>
  </si>
  <si>
    <t>Montebello, M (corresponding author), Univ Malta, Msida, Malta.</t>
  </si>
  <si>
    <t>Montebello, Matthew/0000-0002-6177-7548</t>
  </si>
  <si>
    <t>978-84-617-2484-0</t>
  </si>
  <si>
    <t>BE0US</t>
  </si>
  <si>
    <t>WOS:000367082900061</t>
  </si>
  <si>
    <t>Mahajan, P; Kaur, PD</t>
  </si>
  <si>
    <t>Mahajan, Pratibha; Kaur, Pankaj Deep</t>
  </si>
  <si>
    <t>Three-tier IoT-edge-cloud (3T-IEC) architectural paradigm for real-time event recommendation in event-based social networks</t>
  </si>
  <si>
    <t>JOURNAL OF AMBIENT INTELLIGENCE AND HUMANIZED COMPUTING</t>
  </si>
  <si>
    <t>Recommender system (RS); Event based social networks (EBSNs); Real-time event recommendation; Internet of things (IoT); Social influence; Context-aware; Edge computing; Multiple-criteria decision making (MCDM); Cold-start problem</t>
  </si>
  <si>
    <t>AWARE; SYSTEM</t>
  </si>
  <si>
    <t>With the popularization of internet, event-based social networks (EBSNs) have experienced recognition among people for planning and communicating social events. Due to plethora of events occurring over EBSNs and time varying user interests, different recommendation techniques have been employed to make suitable events suggestions to participants. The state of the art event recommendation methods have not explored the importance of real-time data while generating event recommendations. However, we strongly believe that performance of event recommendation in EBSN can significantly be improved if multiple parameters captured through IoT devices may be considered. In this work, a real-time event recommendation problem which involves monitoring user's current location, present road traffic, and weather conditions is addressed that adopts instant event recommendation. To address this problem, a novel three-tier IoT-edge-cloud based solution for real-time context-aware event recommendation problem named as 3T-IEC has been proposed. The 3T-IEC introduces edge computing layer where IoT data is processed for deriving contextual IoT-based location information along with event recommendation generator in the cloud layer. Further, contextual information such as user's current location, weather and temporal feasibility has been applied to filter the events. Furthermore, group, category, and economic influences are modeled on filtered events to rank them with help of multiple criteria decision making method. Moreover, personalized weights on influential factors are also learned by using distance method. For practical realization, an android based mobile application-SpotEvent has been developed. Furthermore, the qualitative and quantitative analysis of the 3T-IEC is performed on two real-world datasets acquired from Meetup. The results clearly indicate that recommendation quality of proposed system is better, when compared to its variants and other baseline methods such as VSM (260%), SVD (144%), CAER (335%), Skyline (100%) and SoCast* (16%).</t>
  </si>
  <si>
    <t>[Mahajan, Pratibha; Kaur, Pankaj Deep] Guru Nanak Dev Univ Reg Campus, Dept Comp Sci &amp; Engn, Jalandhar, Punjab, India</t>
  </si>
  <si>
    <t>Guru Nanak Dev University</t>
  </si>
  <si>
    <t>Mahajan, P (corresponding author), Guru Nanak Dev Univ Reg Campus, Dept Comp Sci &amp; Engn, Jalandhar, Punjab, India.</t>
  </si>
  <si>
    <t>pratibha.cse05@gmail.com; pankajdeepkaur@gmail.com</t>
  </si>
  <si>
    <t>Kaur, Pankaj Deep/HNI-6412-2023; Mahajan, Pratibha/ACW-6907-2022</t>
  </si>
  <si>
    <t>Kaur, Pankaj Deep/0000-0002-5755-8684; Mahajan, Pratibha/0000-0001-7903-3988</t>
  </si>
  <si>
    <t>1868-5137</t>
  </si>
  <si>
    <t>1868-5145</t>
  </si>
  <si>
    <t>J AMB INTEL HUM COMP</t>
  </si>
  <si>
    <t>J. Ambient Intell. Humaniz. Comput.</t>
  </si>
  <si>
    <t>10.1007/s12652-020-02202-9</t>
  </si>
  <si>
    <t>JUN 2020</t>
  </si>
  <si>
    <t>Computer Science, Artificial Intelligence; Computer Science, Information Systems; Telecommunications</t>
  </si>
  <si>
    <t>QJ7OB</t>
  </si>
  <si>
    <t>WOS:000541057700004</t>
  </si>
  <si>
    <t>Montebello, Matthew</t>
  </si>
  <si>
    <t>ENHANCING E-LEARNING THROUGH THE MERGING OF E-PORTFOLIOS, SOCIAL NETWORKS AND ARTIFICIAL INTELLIGENCE</t>
  </si>
  <si>
    <t>INTED2016: 10TH INTERNATIONAL TECHNOLOGY, EDUCATION AND DEVELOPMENT CONFERENCE</t>
  </si>
  <si>
    <t>INTED Proceedings</t>
  </si>
  <si>
    <t>10th International Technology, Education and Development Conference (INTED)</t>
  </si>
  <si>
    <t>MAR 07-09, 2016</t>
  </si>
  <si>
    <t>Valencia, SPAIN</t>
  </si>
  <si>
    <t>E-learning; e-portfolios; social networks; artificial intelligence</t>
  </si>
  <si>
    <t>The evolution of e-learning platforms is a necessity in a technological world that evolves at an alarming rate. Online students expect such systems to add value to what is currently available while at the same time providing elevated educational content. The merging of three techniques is being proposed in this paper to customise the material being presented to the learner. The techniques under investigation are Social Networks in combination with Web 2.0, electronic Personal Learning Portfolios or e-portfolios and User Profiling techniques from the Artificial Intelligence domain. The practical side of this proposal reflects the personalisation practices being successfully employed in other areas that take advantage of online users patterns, likes, and expressed interests. The idea of applying same practices to enhance the effectiveness and optimise the e-learning experience is both exciting and still in its research infancy. However the prospect of adding value to what is currently offered makes it worth investigating from an academic and pedagogical point of view. This research could potentially initiate an educational phenomenon of blending together independent yet compatible approaches. A learning environment will be proposed and will see the combined application of crowdsourcing via social networks together with personalisation through learner interests. The effectiveness of such an arrangement needs to be studied, measured and analysed, and initial results and interpretations will be presented in this paper. This is the essence of this paper that inevitably carries numerous challenges that need to be addressed. However, the underlying principles and proposed practices promise to deliver an exciting and fruitful prospect that could characterise the future of e-learning.</t>
  </si>
  <si>
    <t>[Montebello, Matthew] Univ Malta, Msida, Malta</t>
  </si>
  <si>
    <t>2340-1079</t>
  </si>
  <si>
    <t>978-84-608-5617-7</t>
  </si>
  <si>
    <t>INTED PROC</t>
  </si>
  <si>
    <t>Education &amp; Educational Research; Education, Scientific Disciplines</t>
  </si>
  <si>
    <t>BH7PP</t>
  </si>
  <si>
    <t>WOS:000402738407044</t>
  </si>
  <si>
    <t>Rubino, S; Battistone, MJ; Ardoin, SP; Berlan, ED; Carandang, K; Chiseri, K; Kavanaugh, A; White, W; Wise, KA; Wong, AL; Marston, B; Clowse, MEB</t>
  </si>
  <si>
    <t>Rubino, Selene; Battistone, Michael J.; Ardoin, Stacy P.; Berlan, Elise D.; Carandang, Kristine; Chiseri, Kate; Kavanaugh, Arthur; White, Whitney; Wise, Kelly A.; Wong, Andrew L.; Marston, Bethany; Clowse, Megan E. B.</t>
  </si>
  <si>
    <t>Bringing Reproductive Health Guidelines Into Fellowship Training: A National Survey of Adult and Pediatric Rheumatology Fellows and Program Directors</t>
  </si>
  <si>
    <t>ARTHRITIS CARE &amp; RESEARCH</t>
  </si>
  <si>
    <t>ObjectiveThis study seeks to assess rheumatology fellows' (RFs') and program directors' (PDs') interests in different educational tools and methods and to facilitate curriculum development for reproductive health related to rheumatic disease.MethodsConstructs were conceptualized in four dimensions: 1) RF and PD confidence in their current curriculum relating to the American College of Rheumatology (ACR) Reproductive Health Guidelines (RHGs), 2) personal interest in this topic, 3) opinions of the importance of this topic, and 4) interest in a range of learning materials and educational experiences. The final survey was distributed to 753 RFs and 179 PDs in the United States using the ACR Committee on Training and Workforce email list.ResultsResponse rates were 13% (n = 98) for RFs and 25% (n = 44) for PDs. Both groups indicated more interest in the topic than confidence in their curriculum and rated summary sheets, question banks, didactics, and online modules higher than nine other educational tools or methods. Despite interest in the topic, 38% of RF respondents and 24% of PD respondents were unaware of the recently published ACR RHGs.ConclusionRFs and PDs consider reproductive health very important and report high personal interest in this topic. In contrast, both groups indicated lower confidence in current curricula, and substantial proportions of both groups were unaware of recently published guidelines. RFs' and PDs' interests in specific educational modalities are aligned. Curriculum development efforts should prioritize summary sheets, question banks, didactics, and online modules. Efforts are needed to address the educational needs of practicing rheumatologists and other professionals caring for patients with rheumatic disease.</t>
  </si>
  <si>
    <t>[Rubino, Selene] Univ Utah, Salt Lake City, UT USA; [Battistone, Michael J.] Univ Utah, George E Wahlen Vet Affairs, Salt Lake City, UT 84112 USA; [Battistone, Michael J.] Salt Lake City Hlth Care Syst, Salt Lake City, UT 84112 USA; [Ardoin, Stacy P.; Berlan, Elise D.; Wise, Kelly A.] Nationwide Childrens Hosp, Columbus, OH USA; [Chiseri, Kate] Amer Coll Rheumatol, Atlanta, GA USA; [Kavanaugh, Arthur] Univ Calif San Diego, La Jolla, CA USA; [White, Whitney] Birmingham Vet Affairs Med Ctr, Birmingham, AL USA; [Wong, Andrew L.] Univ Calif Los Angeles, Med Ctr, Sylmar, CA USA; [Marston, Bethany] Univ Rochester, Med Ctr, Rochester, NY USA; [Clowse, Megan E. B.] Duke Univ, Durham, NC USA</t>
  </si>
  <si>
    <t>Utah System of Higher Education; University of Utah; Utah System of Higher Education; University of Utah; US Department of Veterans Affairs; University System of Ohio; Ohio State University; Nationwide Childrens Hospital; University of California System; University of California San Diego; US Department of Veterans Affairs; Veterans Health Administration (VHA); Veterans Affairs Medical Center - Birmingham; University of California System; University of California Los Angeles; University of California Los Angeles Medical Center; University of Rochester; Duke University</t>
  </si>
  <si>
    <t>Battistone, MJ (corresponding author), Univ Utah, George E Wahlen Vet Affairs, Salt Lake City, UT 84112 USA.;Battistone, MJ (corresponding author), Salt Lake City Hlth Care Syst, Salt Lake City, UT 84112 USA.</t>
  </si>
  <si>
    <t>michael.battistone@va.gov</t>
  </si>
  <si>
    <t>Marston, Bethany/MDL-7898-2025; Battistone, Michael/IYJ-9368-2023; Berlan, Elise/AAI-2819-2021</t>
  </si>
  <si>
    <t>Rubino, Selene/0009-0003-7941-5160; Battistone, Michael/0000-0003-4054-4443; Carandang, Kristine/0000-0002-0159-6374;</t>
  </si>
  <si>
    <t>2151-464X</t>
  </si>
  <si>
    <t>2151-4658</t>
  </si>
  <si>
    <t>ARTHRIT CARE RES</t>
  </si>
  <si>
    <t>Arthritis Care Res.</t>
  </si>
  <si>
    <t>10.1002/acr.25203</t>
  </si>
  <si>
    <t>SEP 2023</t>
  </si>
  <si>
    <t>Rheumatology</t>
  </si>
  <si>
    <t>1OW3O</t>
  </si>
  <si>
    <t>WOS:001074050200001</t>
  </si>
  <si>
    <t>Wu, XM; Wang, JM</t>
  </si>
  <si>
    <t>Wu, Xinmiao; Wang, Jianmin</t>
  </si>
  <si>
    <t>Micro-blog in China: identify influential users and automatically classify posts on Sina micro-blog</t>
  </si>
  <si>
    <t>Micro-blog; Social network; Ranking; Classification; Data mining</t>
  </si>
  <si>
    <t>Sina micro-blog (Weibo) is the first micro-blogging service in China and is growing fast in recent two years. This paper first studies the characteristics of Sina online social network and then focuses on the problem of indentifying influential users and automatic micro-blog classification. In a dataset prepared for this study, we find an approximate power-law follower distribution and a non-power-law friend distribution, a log correlation between follower number and tweet number, etc. In order to find the most popular users, we propose our algorithm called XinRank and compare it with the other two algorithms. The result shows that XinRank is different and it offers a new perspective for people to find influential users. In addition, our algorithm is dynamic and stability, which is special and better than the other two algorithms. We attempt to automatically classify a single Chinese micro-blog post into a set of high-level categories using a naive Bayes classifier. Our research indicates that even though an average micro-blogging post in Chinese is only 28 words in length, they can be categorized into one of eight categories with an average performance up to 84.2 %, using our proposed process. We try to address the automatic user interest discovery problem at the end of this paper. And finally, we combine XinRank and our micro-blog classifier to propose an interest-based influence ranking model.</t>
  </si>
  <si>
    <t>[Wu, Xinmiao; Wang, Jianmin] Sun Yat Sen Univ, Dept Informat Sci &amp; Technol, Guangzhou 510275, Guangdong, Peoples R China</t>
  </si>
  <si>
    <t>Sun Yat Sen University</t>
  </si>
  <si>
    <t>Wu, XM (corresponding author), Sun Yat Sen Univ, Dept Informat Sci &amp; Technol, Guangzhou 510275, Guangdong, Peoples R China.</t>
  </si>
  <si>
    <t>oceanwxm@126.com; mcswjm@mail.sysu.edu.cn</t>
  </si>
  <si>
    <t>wang, jianmin/0000-0001-8703-8973</t>
  </si>
  <si>
    <t>National Natural Science Foundation of China [61073132]; Natural Science Foundation of Guangdong Province of China [915102750100-0035]; Guangdong Province scientific and technological project [2009B010800017]; Fundamental Research Funds for the Central Universities [101gpy33]</t>
  </si>
  <si>
    <t>National Natural Science Foundation of China(National Natural Science Foundation of China (NSFC)); Natural Science Foundation of Guangdong Province of China(National Natural Science Foundation of Guangdong Province); Guangdong Province scientific and technological project; Fundamental Research Funds for the Central Universities(Fundamental Research Funds for the Central Universities)</t>
  </si>
  <si>
    <t>The work in this paper is in part supported by the National Natural Science Foundation of China under Grant No. 61073132; the Natural Science Foundation of Guangdong Province of China under Grant No. 915102750100-0035; Guangdong Province scientific and technological project under Grant No. 2009B010800017 and the Fundamental Research Funds for the Central Universities (101gpy33).</t>
  </si>
  <si>
    <t>10.1007/s12652-012-0121-3</t>
  </si>
  <si>
    <t>CD6ZD</t>
  </si>
  <si>
    <t>WOS:000351238800005</t>
  </si>
  <si>
    <t>Oting, ES</t>
  </si>
  <si>
    <t>Oting, Eduardo Saliim</t>
  </si>
  <si>
    <t>Development and Evaluation of a Residential Plumbing Mock-up</t>
  </si>
  <si>
    <t>JOURNAL OF TECHNICAL EDUCATION AND TRAINING</t>
  </si>
  <si>
    <t>TVET; plumbing mock-up; ADDIE model; content validity; instructional design; STEEP analysis</t>
  </si>
  <si>
    <t>The insufficiency of physical learning materials in Technical and Vocational Education and Training (TVET) often results in a purely theoretical approach that fails to equip students with industry-essential functional skills. This research developed and validated a residential plumbing mock-up as an instructional tool for the Plumbing NC II program at Mountain Province State University. Employing a sequential exploratory mixed-methods approach based on the ADDIE framework, the study first identified pedagogical gaps through thematic analysis of teacher and student perspectives, highlighting resource insufficiency and declining student interest. In response, a multi-functional residential plumbing setup was developed, incorporating water supply and Drain Waste and Vent (DWV) lines in strict accordance with the Revised Plumbing Code of the Philippines. The validation test produced a very high level of content validity (S-CVI/Ave = 0.94). The level of design quality was rated moderately to highly effective (6.19/7.0). The inter-rater reliability showed a fair level of consistency (ICC = 0.67). The level of acceptability tests among the students produced a Very Good level, specifically with regard to design (4.83/5.0). Additionally, a consideration of the STEEP (Social, Technological, Economic, Environmental, and Political) factors further established the importance of the usage of the proposed product for water conservation and the compliance with water policies. The conclusion of the validation test thus supports the proposed product as a very appropriate tool to strategically address the theoretical deficits present in the curriculum. The proposed product should thus be fully integrated into the curriculum and the replication of this developmental methodology to other technical disciplines to address the scarcity of resources.</t>
  </si>
  <si>
    <t>[Oting, Eduardo Saliim] Mt Prov State Univ, Coll Teacher Educ, Tadian, Mountain Provin, Philippines</t>
  </si>
  <si>
    <t>Oting, ES (corresponding author), Mt Prov State Univ, Coll Teacher Educ, Tadian, Mountain Provin, Philippines.</t>
  </si>
  <si>
    <t>eduardo.oting@gmail.com</t>
  </si>
  <si>
    <t>PENERBIT UTHM</t>
  </si>
  <si>
    <t>BATU PAHAT</t>
  </si>
  <si>
    <t>Penerbit UTHM Universiti Tun Hussein Onn Malaysia, BATU PAHAT, JOHOR, MALAYSIA</t>
  </si>
  <si>
    <t>2229-8932</t>
  </si>
  <si>
    <t>2600-7932</t>
  </si>
  <si>
    <t>J TECH EDUC TRAIN</t>
  </si>
  <si>
    <t>J. Tech. Educ. Train.</t>
  </si>
  <si>
    <t>10.30880/jtet.2026.18.01.020</t>
  </si>
  <si>
    <t>KP3YR</t>
  </si>
  <si>
    <t>WOS:001812433500016</t>
  </si>
  <si>
    <t>Rihtarsic, D; Avsec, S; Kocijancic, S</t>
  </si>
  <si>
    <t>Rihtarsic, David; Avsec, Stanislav; Kocijancic, Slavko</t>
  </si>
  <si>
    <t>Experiential learning of electronics subject matter in middle school robotics courses</t>
  </si>
  <si>
    <t>INTERNATIONAL JOURNAL OF TECHNOLOGY AND DESIGN EDUCATION</t>
  </si>
  <si>
    <t>Experiential learning; Electronics subject matter in robotics; Robotics learning content design; Higher order thinking skills</t>
  </si>
  <si>
    <t>The purpose of this paper is to investigate whether the experiential learning of electronics subject matter is effective in the middle school open learning of robotics. Electronics is often ignored in robotics courses. Since robotics courses are typically comprised of computer-related subjects, and mechanical and electrical engineering, these three areas should be emphasized equally. Many studies reveal impressive learning of computer science and mechanical engineering, but clear evidence of the effectiveness of electronics learning in the higher order thinking skills of middle school students is still lacking. We designed three different robotics courses with electronics subject matter introduced through experiential learning. A parallel group design was used, where three different open learning courses were implemented for middle school students. Based on results of the first and second implementations, we improved students' learning of relevant content for each successive step of the experiment. In total, 381 middle school students participated in all experiments and were surveyed using pre- and post-tests. The collected data were analyzed using a quantitative research methodology. The findings revealed that the teaching approach was effective. During the learning process, student interest in robotics increased, and overall achievement improved with a medium effect size (eta(2) = 0.13). The best results for the learning of electronics subject matter were found in the learning process (eta(2) = 0.44), where experimental sharing of electronics parts was the most evident approach used by the students. Examination of learning material structure in light of the shared electronics subject matter is analyzed and discussed and possible directions for future research are presented.</t>
  </si>
  <si>
    <t>[Rihtarsic, David; Avsec, Stanislav; Kocijancic, Slavko] Univ Ljubljana, Fac Educ, Kardeljeva Ploscad 16, Ljubljana 1000, Slovenia</t>
  </si>
  <si>
    <t>University of Ljubljana</t>
  </si>
  <si>
    <t>Rihtarsic, D (corresponding author), Univ Ljubljana, Fac Educ, Kardeljeva Ploscad 16, Ljubljana 1000, Slovenia.</t>
  </si>
  <si>
    <t>David.Rihtarsic@pef.uni-lj.si</t>
  </si>
  <si>
    <t>0957-7572</t>
  </si>
  <si>
    <t>1573-1804</t>
  </si>
  <si>
    <t>INT J TECHNOL DES ED</t>
  </si>
  <si>
    <t>Int. J. Technol. Des. Educ.</t>
  </si>
  <si>
    <t>10.1007/s10798-015-9310-7</t>
  </si>
  <si>
    <t>Education &amp; Educational Research; Education, Scientific Disciplines; Engineering, Multidisciplinary</t>
  </si>
  <si>
    <t>DM0FQ</t>
  </si>
  <si>
    <t>WOS:000376019000004</t>
  </si>
  <si>
    <t>Zeng, Y; Wang, DS; Zhu, HY</t>
  </si>
  <si>
    <t>Ascoli, GA; Hawrylycz, M; Ali, H; Khazanchi, D; Shi, Y</t>
  </si>
  <si>
    <t>Zeng, Yi; Wang, Dongsheng; Zhu, Hongyin</t>
  </si>
  <si>
    <t>User Interests Analysis and Its Application on the Linked Brain Data Platform</t>
  </si>
  <si>
    <t>BRAIN INFORMATICS AND HEALTH</t>
  </si>
  <si>
    <t>International Conference on Brain Informatics and Health (BIH)</t>
  </si>
  <si>
    <t>OCT 13-16, 2016</t>
  </si>
  <si>
    <t>Omaha, NE</t>
  </si>
  <si>
    <t>Univ Nebraska, Coll Informat Sci &amp; Technol,Web Intelligence Consortium,IEEE Computat Intelligence Soc Task Force Brain Informat</t>
  </si>
  <si>
    <t>Linked Brain Data; Linked data; User interests analysis; Neuroinformatics; Brain knowledge base</t>
  </si>
  <si>
    <t>User-centric academic resource service platforms are essential for scientific researchers, since hundreds of new literatures and data sets are produced every single day, and no one can keep him/herself most up-to-date and handle these resources to find, read and understand the most relevant ones completely manually. In this paper, we introduce some user interests analysis methods and apply them to build personalized recommendation services as a user-centric sub system for the Linked Brain Data (LBD) platform, which is an integrated data and knowledge platform for users, especially Neuroscientists and Artificial Intelligence researchers, to explore and better understand the brain and support their research. For interests analysis, we obtain user related data from relatively static data sources (e.g. user profiles maintained by uses), and more dynamic resources (e.g. publications and online social network contents generated by users, which are with chronological information). For recommendation service, we automatically recommend extracted knowledge in the brain association graph and related articles based on the understanding of research interests of the LBD platform users. Through use case studies, we illustrate the importance and potential value of user-centric services for brain and neuroscience related research.</t>
  </si>
  <si>
    <t>[Zeng, Yi; Wang, Dongsheng; Zhu, Hongyin] Chinese Acad Sci, Inst Automat, Beijing, Peoples R China; [Zeng, Yi; Wang, Dongsheng; Zhu, Hongyin] Chinese Acad Sci, Ctr Excellence Brain Sci &amp; Intelligence Technol, Shanghai, Peoples R China</t>
  </si>
  <si>
    <t>Chinese Academy of Sciences; Institute of Automation, CAS; Chinese Academy of Sciences; Center for Excellence in Brain Science and Intelligence Technology, CAS</t>
  </si>
  <si>
    <t>Zeng, Y (corresponding author), Chinese Acad Sci, Inst Automat, Beijing, Peoples R China.;Zeng, Y (corresponding author), Chinese Acad Sci, Ctr Excellence Brain Sci &amp; Intelligence Technol, Shanghai, Peoples R China.</t>
  </si>
  <si>
    <t>yi.zeng@ia.ac.cn</t>
  </si>
  <si>
    <t>Zeng, Yi/KFS-5661-2024; Zhu, Hongyin/HJA-5160-2022</t>
  </si>
  <si>
    <t>Zeng, Yi/0000-0002-9595-9091; Zhu, Hongyin/0000-0001-5786-7594</t>
  </si>
  <si>
    <t>978-3-319-47103-7; 978-3-319-47102-0</t>
  </si>
  <si>
    <t>10.1007/978-3-319-47103-7_16</t>
  </si>
  <si>
    <t>Computer Science, Artificial Intelligence; Computer Science, Interdisciplinary Applications; Neurosciences</t>
  </si>
  <si>
    <t>Computer Science; Neurosciences &amp; Neurology</t>
  </si>
  <si>
    <t>BG5HC</t>
  </si>
  <si>
    <t>WOS:000389498800016</t>
  </si>
  <si>
    <t>Munuswamy, S; Saranya, MS; Ganapathy, S; Muthurajkumar, S; Kannan, A</t>
  </si>
  <si>
    <t>Munuswamy, Selvi; Saranya, M. S.; Ganapathy, S.; Muthurajkumar, S.; Kannan, A.</t>
  </si>
  <si>
    <t>Sentiment Analysis Techniques for Social Media-Based Recommendation Systems</t>
  </si>
  <si>
    <t>NATIONAL ACADEMY SCIENCE LETTERS-INDIA</t>
  </si>
  <si>
    <t>Editorial Material</t>
  </si>
  <si>
    <t>Sentiment analysis; Recommendation system; Rating prediction; User textual reviews; Social media</t>
  </si>
  <si>
    <t>Social networks build and maintain relationships between individuals. Sentiment analysis is important in social network analysis for extracting user's interest from product preferences based on reviews to determine whether it is positive, negative or neutral review. Moreover, sentiment analysis is used to predict the sentiment of users on specific service or product received by them. In this paper, a new technique called sentiment-based rating prediction method is proposed for developing a recommendation system in which the newly introduced technique is capable of mining valuable information from social user reviews in order to predict the accurate items liked by people based on their rating. In this model, a sentiment dictionary is used to calculate the sentiments of individual users on an item. Moreover, reputations of items are computed based on the three sentiments to predict and provide accurate recommendations. In order to increase the accuracy of the outcome, then-gram methodology is added as a new feature in syntax and semantic analysis along with support vector machines for effective classification of social media data. The main advantage of the proposed model is that it considers semantics and sentiments to predict user interest and hence provides more accurate recommendations.</t>
  </si>
  <si>
    <t>[Munuswamy, Selvi; Kannan, A.] VIT Univ, Vellore, Tamil Nadu, India; [Saranya, M. S.; Muthurajkumar, S.] Anna Univ, Chennai, Tamil Nadu, India; [Ganapathy, S.] VIT Univ, Chennai, Tamil Nadu, India</t>
  </si>
  <si>
    <t>Vellore Institute of Technology (VIT); VIT Vellore; Anna University; Anna University Chennai; Vellore Institute of Technology (VIT); VIT Chennai</t>
  </si>
  <si>
    <t>Munuswamy, S (corresponding author), VIT Univ, Vellore, Tamil Nadu, India.</t>
  </si>
  <si>
    <t>arpudhaselvi123@gmail.com</t>
  </si>
  <si>
    <t>sannasy, Muthurajkumar/D-5734-2017; Arputharaj, Kannan/AAN-4912-2020; M, Selvi/AAV-8145-2020; MS, SARANYA/MXJ-7860-2025</t>
  </si>
  <si>
    <t>M, Selvi/0000-0002-1990-7978;</t>
  </si>
  <si>
    <t>SPRINGER INDIA</t>
  </si>
  <si>
    <t>NEW DELHI</t>
  </si>
  <si>
    <t>7TH FLOOR, VIJAYA BUILDING, 17, BARAKHAMBA ROAD, NEW DELHI, 110 001, INDIA</t>
  </si>
  <si>
    <t>0250-541X</t>
  </si>
  <si>
    <t>2250-1754</t>
  </si>
  <si>
    <t>NATL ACAD SCI LETT</t>
  </si>
  <si>
    <t>Natl. Acad. Sci. Lett.-India</t>
  </si>
  <si>
    <t>10.1007/s40009-020-01007-w</t>
  </si>
  <si>
    <t>JUL 2020</t>
  </si>
  <si>
    <t>Multidisciplinary Sciences</t>
  </si>
  <si>
    <t>Science &amp; Technology - Other Topics</t>
  </si>
  <si>
    <t>SF3PV</t>
  </si>
  <si>
    <t>WOS:000558797800003</t>
  </si>
  <si>
    <t>Benkhedda, Y; Azouaou, F; Abbar, S</t>
  </si>
  <si>
    <t>Atzmuller, M; Coscia, M; Missaoui, R</t>
  </si>
  <si>
    <t>Benkhedda, Youcef; Azouaou, Faical; Abbar, Sofiane</t>
  </si>
  <si>
    <t>Identity Linkage Across Diverse Social Networks</t>
  </si>
  <si>
    <t>2020 IEEE/ACM INTERNATIONAL CONFERENCE ON ADVANCES IN SOCIAL NETWORKS ANALYSIS AND MINING (ASONAM)</t>
  </si>
  <si>
    <t>Proceedings of the IEEE-ACM International Conference on Advances in Social Networks Analysis and Mining</t>
  </si>
  <si>
    <t>IEEE/ACM International Conference on Advances in Social Networks Analysis and Mining (ASONAM)</t>
  </si>
  <si>
    <t>DEC 07-10, 2020</t>
  </si>
  <si>
    <t>IEEE,Assoc Comp Machinery,IEEE Comp Soc,ACM SIGKDD,IEEE TCDE,Springer,Elsevier</t>
  </si>
  <si>
    <t>User identity linkage across online social networks has gained a significant interest in the last few years in diverse applications such as data fusion, de-duplication, personalized advertisement, user profiling, and expert recommendation. Existing techniques investigated the use of personal discrete attributes such as user name, gender, location, and email which are not always available. Other techniques explored the use of network relations. In our proposal, we attempt to design a generic framework for user identity linkage across diverse social networks based exclusively on the widely available textual user generated content. We intentionally selected two social networks, Twitter and Quora, which have different contribution models and serve different purposes, and explore different supervised and unsupervised techniques for matching profiles as well as different language models ranging from simple tf*idf vectorization to more sophisticated BERT embeddings. We discuss the limits of different choices and present some encouraging preliminary results. For example, we find that prolific users can be identified with 84% accuracy. We also present a framework we designed to create the largest publicly available annotated dataset for profile linkage in social networks.</t>
  </si>
  <si>
    <t>[Benkhedda, Youcef; Azouaou, Faical] Ecole Natl Super Informat, BP 68M, Algiers 16309, Algeria; [Abbar, Sofiane] HBKU, Qatar Comp Res Inst, Doha 5825, Qatar</t>
  </si>
  <si>
    <t>Ecole Nationale Superieure d'Informatique; Qatar Foundation (QF); Hamad Bin Khalifa University-Qatar; Qatar Computing Research Institute</t>
  </si>
  <si>
    <t>Benkhedda, Y (corresponding author), Ecole Natl Super Informat, BP 68M, Algiers 16309, Algeria.</t>
  </si>
  <si>
    <t>y_benkhedda@esi.dz; f_azouaou@esi.dz; sabbar@hbku.edu.qa</t>
  </si>
  <si>
    <t>; Faical, AZOUAOU/AAI-7279-2021</t>
  </si>
  <si>
    <t>Benkhedda, Youcef/0000-0002-9205-5978;</t>
  </si>
  <si>
    <t>2473-9928</t>
  </si>
  <si>
    <t>2473-991X</t>
  </si>
  <si>
    <t>978-1-7281-1056-1</t>
  </si>
  <si>
    <t>PR I-A I C AD S N A</t>
  </si>
  <si>
    <t>10.1109/ASONAM49781.2020.9381445</t>
  </si>
  <si>
    <t>Computer Science, Artificial Intelligence; Computer Science, Information Systems; Computer Science, Theory &amp; Methods; Social Issues; Social Sciences, Interdisciplinary</t>
  </si>
  <si>
    <t>Computer Science; Social Issues; Social Sciences - Other Topics</t>
  </si>
  <si>
    <t>BR9NK</t>
  </si>
  <si>
    <t>WOS:000678816900074</t>
  </si>
  <si>
    <t>Costantino, G; Martinelli, F; Santi, P; Amoruso, D</t>
  </si>
  <si>
    <t>Costantino, Gianpiero; Martinelli, Fabio; Santi, Paolo; Amoruso, Dario</t>
  </si>
  <si>
    <t>An Implementation of Secure Two-Party Computation for Smartphones with Application to Privacy-Preserving Interest-Cast</t>
  </si>
  <si>
    <t>MOBICOM 12: PROCEEDINGS OF THE 18TH ANNUAL INTERNATIONAL CONFERENCE ON MOBILE COMPUTING AND NETWORKING</t>
  </si>
  <si>
    <t>18th Annual International Conference on Mobile Computing and Networking (MobiCom)</t>
  </si>
  <si>
    <t>AUG 22-26, 2012</t>
  </si>
  <si>
    <t>Istanbul, TURKEY</t>
  </si>
  <si>
    <t>Assoc Comp Machinery,ACM SIGMOBILE,AVEA Labs,Microsoft Res,Hewlett Packard Labs,Koc Univ,Sci &amp; Technol Res Council Turkey</t>
  </si>
  <si>
    <t>Opportunist Networks; Android; Secure two-party computation; Bluetooth</t>
  </si>
  <si>
    <t>For this demo, we present an implementation of the Fair-Play framework for secure two-party function computation on Android smartphones, which we call MobileFairPlay. MobileFairPlay allows high-level programming of several secure two-party protocols, including protocols for the Millionaire problem, set intersection, etc. All these functions are useful in the context of mobile social networks and opportunistic networks, where parties are often requested to exchange sensitive information (list of contacts, interest profiles, etc.) to optimise network operation.</t>
  </si>
  <si>
    <t>[Costantino, Gianpiero; Martinelli, Fabio; Santi, Paolo; Amoruso, Dario] IIT CNR, Pisa, Italy</t>
  </si>
  <si>
    <t>Consiglio Nazionale delle Ricerche (CNR); Istituto di Informatica e Telematica (IIT-CNR)</t>
  </si>
  <si>
    <t>Costantino, G (corresponding author), IIT CNR, Pisa, Italy.</t>
  </si>
  <si>
    <t>gianpiero.costantino@iit.cnr.it; fabio.martinelli@iit.cnr.it; paolo.santi@iit.cnr.it; dario.amoruso@iit.cnr.it</t>
  </si>
  <si>
    <t>/AAY-2505-2020</t>
  </si>
  <si>
    <t>MARTINELLI, FABIO/0000-0002-6721-9395</t>
  </si>
  <si>
    <t>978-1-4503-1159-5</t>
  </si>
  <si>
    <t>BA1QC</t>
  </si>
  <si>
    <t>WOS:000332851000050</t>
  </si>
  <si>
    <t>Francisco, M; Castro, JL</t>
  </si>
  <si>
    <t>Francisco, Manuel; Castro, Juan Luis</t>
  </si>
  <si>
    <t>A Methodology to Quickly Perform Opinion Mining and Build Supervised Datasets Using Social Networks Mechanics</t>
  </si>
  <si>
    <t>Index Terms-Human-in-the-loop labelling; opinion mining; social network analysis; supervised learning; user profiling</t>
  </si>
  <si>
    <t>Social Networking Sites (SNS) offer a full set of possibilities to perform opinion studies such as polling or market analysis. Normally, artificial intelligence techniques are applied, and they often require supervised datasets. The process of building these is complex, time-consuming and expensive. In this paper, we propose to assist the labelling task by taking advantage of social network mechanics. In order to do that, we introduce the co-retweet relation to build a graph that allows us to propagate user labels to their similarity neighbourhood. Therefore, it is possible to iteratively build supervised datasets with significant less human effort and with higher accuracy than other weak-supervision techniques. We tested our proposal with 3 datasets labelled by an expert committee, and results shows that it outperforms other weak-supervision techniques. This methodology may be adapted to other social networks and topics, and it is relevant for applications like informed decision-making (e.g., content moderation), specially when interpretability is required.</t>
  </si>
  <si>
    <t>[Francisco, Manuel; Castro, Juan Luis] Univ Granada, Dept Comp Sci &amp; Artificial Intelligence, Granada 18071, Spain</t>
  </si>
  <si>
    <t>University of Granada</t>
  </si>
  <si>
    <t>Francisco, M (corresponding author), Univ Granada, Dept Comp Sci &amp; Artificial Intelligence, Granada 18071, Spain.</t>
  </si>
  <si>
    <t>francisco@decsai.ugr.es; castro@decsai.ugr.es</t>
  </si>
  <si>
    <t>Castro Peña, Juan Luis/C-2403-2012; Francisco, Manuel/N-6814-2014</t>
  </si>
  <si>
    <t>Castro Peña, Juan Luis/0000-0003-0501-0139; Francisco, Manuel/0000-0001-9748-2269</t>
  </si>
  <si>
    <t>Spanish Ministry of Economy and Competitiveness (MINECO) [FFI2016-79748-R]; European Social Fund (ESF); FPI 2017 predoctoral programme, from the Spanish Ministry of Economy and Competitiveness (MINECO) [BES-2017-081202]</t>
  </si>
  <si>
    <t>Spanish Ministry of Economy and Competitiveness (MINECO)(Spanish Government); European Social Fund (ESF)(European Social Fund (ESF)); FPI 2017 predoctoral programme, from the Spanish Ministry of Economy and Competitiveness (MINECO)</t>
  </si>
  <si>
    <t>This work was supported in part by the Spanish Ministry of Economy and Competitiveness (MINECO) under Grant FFI2016-79748-R, and cofinanced by the European Social Fund (ESF). The work of Manuel Francisco Aparicio was supported by the FPI 2017 predoctoral programme, from the Spanish Ministry of Economy and Competitiveness (MINECO) under Grant BES-2017-081202.&amp; nbsp;</t>
  </si>
  <si>
    <t>SEPT 1</t>
  </si>
  <si>
    <t>10.1109/TKDE.2023.3250822</t>
  </si>
  <si>
    <t>O7QE8</t>
  </si>
  <si>
    <t>WOS:001045704800079</t>
  </si>
  <si>
    <t>Ouertani, H</t>
  </si>
  <si>
    <t>Ouertani, Henda</t>
  </si>
  <si>
    <t>Decoding the Impact of Emotions: Machine Learning insights on User Interests in Social Networks</t>
  </si>
  <si>
    <t>ANNALS OF THE UNIVERSITY OF CRAIOVA-MATHEMATICS AND COMPUTER SCIENCE SERIES</t>
  </si>
  <si>
    <t>SVM; Naive Bayes; Machine Learning; emotion; interest; Twitter</t>
  </si>
  <si>
    <t>This study investigates the correlation that exists between users' emotional states and their expressed interests in the context of social network. By utilizing cutting-edge ma-chine learning methods, we set out to reveal the connections that underpin user behavior. Saudi Arabia is among the nations with the highest usage of X (previously Twitter). Several studies used the analysis of English tweets to determine the topic of interest and whether the user is passive or active. Studies that examined user interaction to ascertain interest have been conducted with reference to Arabic tweets. There are, however, few studies that track how an external factor, like emotions, affects interest over time. To investigate the relationship between interest and emotion, we used two models of supervised algorithms: Support Vector Machines (SVM) and Naive Bayes. Once the topic of interests and emotions were classified, we discovered that the topic of interest had a higher accuracy than the emotion classifier because it had been applied to a sample of dataset. Furthermore, the SVM outperformed Naive Bayes in terms of accuracy for classifying both topics of interest and emotions. Finally, the result indicates that the interests for specific user change over time according to the emotions.</t>
  </si>
  <si>
    <t>[Ouertani, Henda] King Saud Univ, Coll Comp &amp; Informat Sci, Informat Technol Dept, POB 2455, Riyadh 11451, Saudi Arabia</t>
  </si>
  <si>
    <t>King Saud University</t>
  </si>
  <si>
    <t>Ouertani, H (corresponding author), King Saud Univ, Coll Comp &amp; Informat Sci, Informat Technol Dept, POB 2455, Riyadh 11451, Saudi Arabia.</t>
  </si>
  <si>
    <t>houertani@ksu.edu.sa</t>
  </si>
  <si>
    <t>Deputyship for Research and Innovation, Ministry of Education in Saudi Arabia [IFKSUOR3-232-1]</t>
  </si>
  <si>
    <t>Deputyship for Research and Innovation, Ministry of Education in Saudi Arabia</t>
  </si>
  <si>
    <t>The authors extend their sincere appreciation to Deputyship for Research and Innovation, Ministry of Education in Saudi Arabia for funding this research (IFKSUOR3-232-1) .</t>
  </si>
  <si>
    <t>UNIV CRAIOVA</t>
  </si>
  <si>
    <t>CRAIOVA</t>
  </si>
  <si>
    <t>AL I CUZA STR 13, CRAIOVA, 200585, ROMANIA</t>
  </si>
  <si>
    <t>1223-6934</t>
  </si>
  <si>
    <t>2246-9958</t>
  </si>
  <si>
    <t>ANN UNIV CRAIOVA-MAT</t>
  </si>
  <si>
    <t>Ann. Univ. Craiova-Math. Comput. Sci. Ser.</t>
  </si>
  <si>
    <t>10.52846/ami.v50i2.1874</t>
  </si>
  <si>
    <t>DO9S0</t>
  </si>
  <si>
    <t>WOS:001133119900005</t>
  </si>
  <si>
    <t>Vafa, S; Chico, DE</t>
  </si>
  <si>
    <t>Vafa, Shahrzad; Chico, Diane E.</t>
  </si>
  <si>
    <t>A needs assessment for mobile technology use in medical education</t>
  </si>
  <si>
    <t>INTERNATIONAL JOURNAL OF MEDICAL EDUCATION</t>
  </si>
  <si>
    <t>Mobile learning; undergraduate medical education; mobile technology</t>
  </si>
  <si>
    <t>OPPORTUNITIES</t>
  </si>
  <si>
    <t>Objectives: This study investigated how medical students perceived mobile technology as a component of their learning experience and identified barriers to the use of mobile technology in education. Methods: An anonymous survey developed by EDUCAUSE was distributed to 1000 first year medical students (M1s) at two separate medical schools during three consecutive academic years, 2010 to 2013. The 25-item questionnaire assessed student use of mobile devices, student interest in mobile technologies as they apply to education, and technology issues related to implementing mobile application in education. Results: The majority of participating M1s (n= 520) indicated that they own a smartphone or a similar mobile device. More than half of M1s reported using their devices for education, primarily to download educational course materials, listen to podcasts/ lectures, and access medical resource applications. Two student-identified technology issues concerning the use of mobile technology in education were ensuring better implementation of technology and faster data transmission (60%). Review of qualitative data from written responses to open-ended questions highlighted three common themes: (1) the current use of mobile technology in the clinics and other institutions, (2) common technology ownership and comfort of use, and (3) efficiency and accessibility to learning materials. Conclusions: While the needs assessment revealed student acceptance of mobile technology in education, student responses highlighted the need for a supportive academic and technological infrastructure.</t>
  </si>
  <si>
    <t>[Vafa, Shahrzad] Baylor Coll Med, Houston, TX 77030 USA; [Chico, Diane E.] Texas A&amp;M Univ, Hlth Sci Ctr, Coll Med, College Stn, TX 77843 USA</t>
  </si>
  <si>
    <t>Baylor College of Medicine; Texas A&amp;M University College Station; Texas A&amp;M University System; Texas A&amp;M Health Science Center</t>
  </si>
  <si>
    <t>Vafa, S (corresponding author), BCM, Educ Resource Ctr, 2nd Floor,1 Baylor Plaza, Houston, TX 77030 USA.</t>
  </si>
  <si>
    <t>svafa@bcm.edu</t>
  </si>
  <si>
    <t>Vafa, Shahrzad/0000-0003-2708-5262</t>
  </si>
  <si>
    <t>INT JOURNAL MEDICAL EDUCATION-IJML</t>
  </si>
  <si>
    <t>NOTTINGAM</t>
  </si>
  <si>
    <t>INT JOURNAL MEDICAL EDUCATION-IJML, NOTTINGAM, 00000, ENGLAND</t>
  </si>
  <si>
    <t>2042-6372</t>
  </si>
  <si>
    <t>INT J MED EDUC</t>
  </si>
  <si>
    <t>INT. J. MED. EDUC.</t>
  </si>
  <si>
    <t>10.5116/ijme.5259.4a88</t>
  </si>
  <si>
    <t>V20DG</t>
  </si>
  <si>
    <t>WOS:000214866700034</t>
  </si>
  <si>
    <t>Chader, A; Haddadou, H; Hamdad, L; Hidouci, WK</t>
  </si>
  <si>
    <t>Chader, Asma; Haddadou, Hamid; Hamdad, Leila; Hidouci, Walid-Khaled</t>
  </si>
  <si>
    <t>The Strength of Considering Tie Strength in Social Interest Profiling</t>
  </si>
  <si>
    <t>JOURNAL OF WEB ENGINEERING</t>
  </si>
  <si>
    <t>Social profiling; user profile; relationship strength; weighted social networks; egocentric networks</t>
  </si>
  <si>
    <t>NETWORKS; CENTRALITY; WEIGHT</t>
  </si>
  <si>
    <t>With the emergence of social networking platforms and great amount of generated content, analyzing people interactions and behaviour raises new opportunities for several applications such as user interest profiling. In this context, this paper highlights the importance of considering relationship strength to infer more refined and relevant interests from user's direct neighbourhood. We propose WeiCoBSP, a Weight-aware Community-Based Social Profiling approach that leverages strength of ego-friend and friend-friend relationships. The former, describing connections with the profiled user, allows to identify most relevant people from whom to infer worthwhile interests. The latter qualifies connections among user's neighbourhood and enables depicting the most realistic community structure of the network. We present an empirical evaluation performed on real world co-authorship networks, validating our approach. Experimental results demonstrate the ability of WeiCoBSP to infer user's interest accurately, improving greatly the unweighted CoBSP process but also results of experiments assessing separately ego-friend and friend-friend relationships strength.</t>
  </si>
  <si>
    <t>[Chader, Asma; Haddadou, Hamid; Hamdad, Leila; Hidouci, Walid-Khaled] Ecole Natl Super Informat ESI, Lab Commun Syst Informat LCSI, BP 68M, Algiers 16309, Algeria</t>
  </si>
  <si>
    <t>Ecole Nationale Superieure d'Informatique</t>
  </si>
  <si>
    <t>Chader, A (corresponding author), Ecole Natl Super Informat ESI, Lab Commun Syst Informat LCSI, BP 68M, Algiers 16309, Algeria.</t>
  </si>
  <si>
    <t>aa_chader@esi.dz; h_haddadou@esi.dz; l_hamdad@esi.dz; w_hidouci@esi.dz</t>
  </si>
  <si>
    <t>CHADER, Asma/AAA-5297-2021; Haddadou, Hamid/AAW-8892-2020</t>
  </si>
  <si>
    <t>CHADER, Asma/0000-0002-0037-5529; Leila, Haad/0000-0003-4515-5519; Hidouci, Walid Khaled/0000-0002-8290-1093; Haddadou, Hamid/0000-0003-0824-0124</t>
  </si>
  <si>
    <t>RIVER PUBLISHERS</t>
  </si>
  <si>
    <t>GISTRUP</t>
  </si>
  <si>
    <t>ALSBJERGVEJ 10, GISTRUP, 9260, DENMARK</t>
  </si>
  <si>
    <t>1540-9589</t>
  </si>
  <si>
    <t>1544-5976</t>
  </si>
  <si>
    <t>J WEB ENG</t>
  </si>
  <si>
    <t>J. Web Eng.</t>
  </si>
  <si>
    <t>3-4</t>
  </si>
  <si>
    <t>10.13052/jwe1540-9589.19345</t>
  </si>
  <si>
    <t>PE9PZ</t>
  </si>
  <si>
    <t>WOS:000598693600003</t>
  </si>
  <si>
    <t>Voloch, N; Gudes, E; Gal-Oz, N</t>
  </si>
  <si>
    <t>Yang, M; Chen, C; Liu, Y</t>
  </si>
  <si>
    <t>Voloch, Nadav; Gudes, Ehud; Gal-Oz, Nurit</t>
  </si>
  <si>
    <t>Preventing Fake News Propagation in Social Networks Using a Context Trust-Based Security Model</t>
  </si>
  <si>
    <t>NETWORK AND SYSTEM SECURITY, NSS 2021</t>
  </si>
  <si>
    <t>15th International Conference on Network and System Security (NSS)</t>
  </si>
  <si>
    <t>OCT 23, 2021</t>
  </si>
  <si>
    <t>Tianjin, PEOPLES R CHINA</t>
  </si>
  <si>
    <t>Online social networks security; Fake News detection; Trustbased security models</t>
  </si>
  <si>
    <t>FALSE NEWS; MEDIA</t>
  </si>
  <si>
    <t>Online Social Networks (OSN) security issues have been extensively researched in the past decade. Information is posted and shared by individuals and organizations in social networks in huge quantities. One of the most important non-resolved topics is the Fake News propagation problem. Fake news propagates because of several reasons, one of which is non-trustworthy users. These users, some with malicious intentions, and some with low social media awareness, are the ones actually spreading misleading information. As this occurs, other users, that are valid reliable users, are exposed to false information. In our previous research we have devised a comprehensive Trust-based model that can handle this problem from the user Trust aspect. The model involves Access Control for the direct circle of friends and Flow Control for the friends' networks. In this paper we use this model as a basis for the purpose of prevention of Fake News. We add context awareness and user profiling by analyzing the user's activity in the network (posts, shares, etc.), and then use Machine Learning to detect these problematic users by analyzing data items that are fake or misleading. This addition creates a much more accurate picture of OSN users and their data and helps revealing the sources of the Fake News propagation and can prevent it. These aspects of the model create a strong reliable OSN data infrastructure.</t>
  </si>
  <si>
    <t>[Voloch, Nadav; Gudes, Ehud] Ben Gurion Univ Negev, POB 653, IL-8410501 Beer Sheva, Israel; [Gal-Oz, Nurit] Sapir Acad Coll, IL-79165 Sderot, Israel</t>
  </si>
  <si>
    <t>Ben-Gurion University of the Negev; Sapir Academic College</t>
  </si>
  <si>
    <t>Voloch, N (corresponding author), Ben Gurion Univ Negev, POB 653, IL-8410501 Beer Sheva, Israel.</t>
  </si>
  <si>
    <t>voloch@post.bgu.ac.il</t>
  </si>
  <si>
    <t>GUDES, EHUD/F-1168-2012; Voloch, Nadav/AGZ-9023-2022</t>
  </si>
  <si>
    <t>Voloch, Nadav/0000-0001-5296-4985; Gal-Oz, Nurit/0000-0003-0565-8656</t>
  </si>
  <si>
    <t>978-3-030-92707-3; 978-3-030-92708-0</t>
  </si>
  <si>
    <t>10.1007/978-3-030-92708-0_6</t>
  </si>
  <si>
    <t>Computer Science, Information Systems; Computer Science, Theory &amp; Methods; Mathematics, Applied</t>
  </si>
  <si>
    <t>Computer Science; Mathematics</t>
  </si>
  <si>
    <t>BU6QU</t>
  </si>
  <si>
    <t>WOS:000927593700006</t>
  </si>
  <si>
    <t>Su, N</t>
  </si>
  <si>
    <t>Su, Nan</t>
  </si>
  <si>
    <t>Promoting by Looking Into Friend Circles: An Inadequately-Labeled and Socially-Aware Financial Technique for Products Recommendation</t>
  </si>
  <si>
    <t>Social networking (online); Analytical models; Probabilistic logic; Feature extraction; Sports; Semantics; Focusing; Accuracy; Optimization; Genre; online products; weak supervision; graph mining; social connection; purchasing preference</t>
  </si>
  <si>
    <t>PERSONALITY-TRAITS; USER INTERESTS; NETWORKS; HISTOGRAMS; TAXONOMY</t>
  </si>
  <si>
    <t>We have developed a classification method that segments a large group of Amazon or TikTok users into distinct categories, or genres, based on their shared purchasing behaviors, such as preferences for consumer electronics or household items. Our approach uses a geometry-based feature selection strategy to accurately capture each user's buying patterns, which are characterized by a range of features, including those learned under weak supervision. These features are then refined through two feature selection processes tailored to different application needs. We also use a probabilistic model to represent each user's buying preferences as a distribution within a hidden feature space. To map the purchasing connections between users, we construct a graph and apply a specialized algorithm to identify tightly connected subgroups. These subgroups reflect shared purchasing habits, allowing us to categorize users into specific genres. Finally, a ranking model is used to recommend products to users based on these genres. We validated the effectiveness of our recommendation system using a dataset of over one million Amazon users, showing that it accurately identifies and classifies distinct purchasing genres.</t>
  </si>
  <si>
    <t>[Su, Nan] Zhengzhou Shengda Univ, Sch Finance &amp; Trade, Zhengzhou 451191, Henan, Peoples R China</t>
  </si>
  <si>
    <t>Zhengzhou Shengda University</t>
  </si>
  <si>
    <t>Su, N (corresponding author), Zhengzhou Shengda Univ, Sch Finance &amp; Trade, Zhengzhou 451191, Henan, Peoples R China.</t>
  </si>
  <si>
    <t>100259@shengda.edu.cn</t>
  </si>
  <si>
    <t>10.1109/ACCESS.2024.3488072</t>
  </si>
  <si>
    <t>L3L2O</t>
  </si>
  <si>
    <t>WOS:001349762500001</t>
  </si>
  <si>
    <t>Ellzey, JL; O'Connor, JT; Westerman, J</t>
  </si>
  <si>
    <t>Ellzey, Janet L.; O'Connor, James T.; Westerman, Julie</t>
  </si>
  <si>
    <t>Projects with Underserved Communities: Case Study of an International Project-Based Service-Learning Program</t>
  </si>
  <si>
    <t>JOURNAL OF PROFESSIONAL ISSUES IN ENGINEERING EDUCATION AND PRACTICE</t>
  </si>
  <si>
    <t>Many universities are embracing service learning due to the demand by the current generation of students for these types of programs and the opportunity to provide experience with team-building, multidisciplinary work, and cross-cultural communication. In response to student interest, the Cockrell School of Engineering at the University of Texas at Austin developed a curriculum-based program, Projects with Underserved Communities (PUC), in which student teams select, design, and implement projects in rural low-income communities abroad. In contrast to conventional design courses, a design and build program like PUC involves complex team organization, interaction with many stakeholders, and careful selection of a project to optimize the chances of successful implementation. A new course was developed that focused on these issues. In this paper, a case study of PUC is discussed with particular emphasis on the elements of this first course. One team, which worked on a project in Guatemala, is discussed to illustrate how the learning materials are used. Lessons learned from the first 8 years of PUC are presented, as well as results of a participant survey on skills acquired. (C) 2018 American Society of Civil Engineers.</t>
  </si>
  <si>
    <t>[Ellzey, Janet L.] Univ Texas Austin, Dept Mech Engn, Austin, TX 78712 USA; [O'Connor, James T.] Univ Texas Austin, Dept Civil Architectural &amp; Environm Engn, Austin, TX 78712 USA; [Westerman, Julie] Univ Texas Austin, Int Off, Austin, TX 78712 USA</t>
  </si>
  <si>
    <t>University of Texas System; University of Texas Austin; University of Texas System; University of Texas Austin; University of Texas System; University of Texas Austin</t>
  </si>
  <si>
    <t>Ellzey, JL (corresponding author), Univ Texas Austin, Dept Mech Engn, Austin, TX 78712 USA.</t>
  </si>
  <si>
    <t>jellzey@mail.utexas.edu</t>
  </si>
  <si>
    <t>ASCE-AMER SOC CIVIL ENGINEERS</t>
  </si>
  <si>
    <t>1801 ALEXANDER BELL DR, RESTON, VA 20191-4400 USA</t>
  </si>
  <si>
    <t>1052-3928</t>
  </si>
  <si>
    <t>1943-5541</t>
  </si>
  <si>
    <t>J PROF ISS ENG ED PR</t>
  </si>
  <si>
    <t>J. Prof. Issues Eng. Educ. Pract.</t>
  </si>
  <si>
    <t>10.1061/(ASCE)EI.1943-5541.0000400</t>
  </si>
  <si>
    <t>HZ3VS</t>
  </si>
  <si>
    <t>WOS:000468777100008</t>
  </si>
  <si>
    <t>Gautam, D; Kothiyal, A; Sheoran, R; Garg, N; Iyer, A; Bhakuni, A; Thakkar, J; Krishnan, J; Jain, M</t>
  </si>
  <si>
    <t>Kashihara, A; Jiang, B; Rodrigo, MM; Sugay, JO</t>
  </si>
  <si>
    <t>Gautam, Deeksha; Kothiyal, Aditi; Sheoran, Rashmi; Garg, Neha; Iyer, Adithi; Bhakuni, Ashutosh; Thakkar, Jay; Krishnan, Jyothi; Jain, Manish</t>
  </si>
  <si>
    <t>Online Making-Based Learning at Scale: Towards Equity in STEM Learning</t>
  </si>
  <si>
    <t>32ND INTERNATIONAL CONFERENCE ON COMPUTERS IN EDUCATION CONFERENCE PROCEEDINGS, ICCE 2024, VOL I</t>
  </si>
  <si>
    <t>International Conference on Computers in Education</t>
  </si>
  <si>
    <t>32nd International Conference on Computers in Education</t>
  </si>
  <si>
    <t>NOV 25-29, 2024</t>
  </si>
  <si>
    <t>Manila, PHILIPPINES</t>
  </si>
  <si>
    <t>online learning; making-based learning; cultural learning pathways; marginalization; equity and access</t>
  </si>
  <si>
    <t>Making, grounded in theories of constructionism, offers learners the opportunity to construct their own knowledge through constructing personally meaningful artifacts, thus making them interested and committed to the process of their own learning. However, making-based learning is challenging to implement owing to the limitations of materials and well-qualified teachers. Online learning is a way for marginalized learners, who often do not have access to quality educational resources such as well-qualified teachers and learning materials, to access well-qualified teachers. With the growth of synchronous e-learning, learners now have opportunities to interact with their teachers and obtain immediate feedback, a process known to be productive for learning. In this paper, we report on a large-scale making-based online intervention whose design leverages the potential of online learning and cheap, easily accessible materials to create a science, technology, engineering and math (STEM) learning pathway for girls from marginalized communities by engaging them in STEM practices. Using evidence from observations and interviews we evaluate the effectiveness of the intervention in creating these learning pathways. We find that while the intervention increases learner interest in STEM practices, thus initiating a pathway to deepening participation, the language used in the intervention, technology, material and teacher factors can become barriers that have the potential to constrain this pathway and further marginalize the students. We discuss implications and potential solutions to these challenges.</t>
  </si>
  <si>
    <t>[Gautam, Deeksha; Kothiyal, Aditi; Sheoran, Rashmi; Garg, Neha; Iyer, Adithi; Bhakuni, Ashutosh; Thakkar, Jay; Krishnan, Jyothi; Jain, Manish] Indian Inst Technol Gandhinagar, Ctr Creat Learning, Ahmadabad, Gujarat, India; [Kothiyal, Aditi; Iyer, Adithi] Indian Inst Technol Gandhinagar, Dept Humanities &amp; Social Sci, Ahmadabad, Gujarat, India</t>
  </si>
  <si>
    <t>Indian Institute of Technology System (IIT System); Indian Institute of Technology (IIT) - Gandhinagar; Indian Institute of Technology System (IIT System); Indian Institute of Technology (IIT) - Gandhinagar</t>
  </si>
  <si>
    <t>Gautam, D (corresponding author), Indian Inst Technol Gandhinagar, Ctr Creat Learning, Ahmadabad, Gujarat, India.</t>
  </si>
  <si>
    <t>deekshagautam@alumni.iitgn.ac.in</t>
  </si>
  <si>
    <t>Garg, Neha/U-8777-2018</t>
  </si>
  <si>
    <t>ASIA PACIFIC SOC COMPUTERS IN EDUCATION - APSCE</t>
  </si>
  <si>
    <t>TAOYUAN CITY</t>
  </si>
  <si>
    <t>NO 300, JUNGDA RD, JHONGLI DISTRICT, TAOYUAN CITY, 320, TAIWAN</t>
  </si>
  <si>
    <t>3078-4360</t>
  </si>
  <si>
    <t>978-626-968-904-0</t>
  </si>
  <si>
    <t>Int Con on Comp in E</t>
  </si>
  <si>
    <t>BY5LX</t>
  </si>
  <si>
    <t>WOS:001460297100026</t>
  </si>
  <si>
    <t>Cuomo, S; De Michele, P; Galletti, A; Ponti, G</t>
  </si>
  <si>
    <t>Yetongnon, K; Dipanda, A; Chbeir, R</t>
  </si>
  <si>
    <t>Cuomo, Salvatore; De Michele, Pasquale; Galletti, Ardelio; Ponti, Giovanni</t>
  </si>
  <si>
    <t>A Biologically Inspired Model for Analyzing Behaviours in Social Network Community and Cultural Heritage Scenario</t>
  </si>
  <si>
    <t>10TH INTERNATIONAL CONFERENCE ON SIGNAL-IMAGE TECHNOLOGY AND INTERNET-BASED SYSTEMS SITIS 2014</t>
  </si>
  <si>
    <t>International Conference on Signal-Image Technology and Internet-Based Systems SITIS</t>
  </si>
  <si>
    <t>NOV 23-27, 2014</t>
  </si>
  <si>
    <t>Marrakesh, MOROCCO</t>
  </si>
  <si>
    <t>Social network; User profiling; Computational Neuron; Computational Neural Netwrok</t>
  </si>
  <si>
    <t>In this paper, a biologically inspired mathematical model to simulate social network behaviours is presented. We propose a computational network of Integrate &amp; Fire (IF) neurons to model the dynamics of spectators in a community that shares interests on cultural heritage assets. In our approach, users are assimilated to neurons, while the friendships and the common interests are the synapses (i.e., connections) among them. These connections may be more or less strong in dependence of how interests to a particular feature are shared. The main novelty consists in describing the propagation of the information on the network by simulating various applicative scenarios. Preliminary experimental results, based on a phantom database and on real world data, are shown.</t>
  </si>
  <si>
    <t>[Cuomo, Salvatore] Univ Naples Federico II, Dept Math &amp; Applicat, Naples, Italy; [De Michele, Pasquale; Ponti, Giovanni] UTICT HPC, ENEA Portici Res Ctr, Naples, Italy; [Galletti, Ardelio] Univ Naples Parthenope, Naples, Italy</t>
  </si>
  <si>
    <t>University of Naples Federico II; Italian National Agency New Technical Energy &amp; Sustainable Economics Development; Parthenope University Naples</t>
  </si>
  <si>
    <t>Cuomo, S (corresponding author), Univ Naples Federico II, Dept Math &amp; Applicat, Naples, Italy.</t>
  </si>
  <si>
    <t>salvatore.cuomo@unina.it; pasquale.demichele@enea.it; ardelio.galletti@uniparthenope.it; giovanni.ponti@enea.it</t>
  </si>
  <si>
    <t>; Cuomo, Salvatore/Q-1365-2016; GALLETTI, Ardelio/B-1343-2016</t>
  </si>
  <si>
    <t>Ponti, Giovanni/0009-0004-2573-5959; De Michele, Pasquale/0000-0003-4854-7307; Cuomo, Salvatore/0000-0003-4128-2588; GALLETTI, Ardelio/0000-0002-5208-6219</t>
  </si>
  <si>
    <t>978-1-4799-7978-3</t>
  </si>
  <si>
    <t>10.1109/SITIS.2014.86</t>
  </si>
  <si>
    <t>Computer Science, Artificial Intelligence; Computer Science, Information Systems; Computer Science, Interdisciplinary Applications; Computer Science, Software Engineering</t>
  </si>
  <si>
    <t>BF3PC</t>
  </si>
  <si>
    <t>WOS:000380564200072</t>
  </si>
  <si>
    <t>Bampatzia, S; Bourlakos, I; Antoniou, A; Vassilakis, C; Lepouras, G; Wallace, M</t>
  </si>
  <si>
    <t>Bottino, R; Jeuring, J; Veltkamp, RC</t>
  </si>
  <si>
    <t>Bampatzia, Stavroula; Bourlakos, Ioannis; Antoniou, Angeliki; Vassilakis, Costas; Lepouras, George; Wallace, Manolis</t>
  </si>
  <si>
    <t>Serious Games: Valuable Tools for Cultural Heritage</t>
  </si>
  <si>
    <t>GAMES AND LEARNING ALLIANCE, GALA 2016</t>
  </si>
  <si>
    <t>5th International Conference on Games and Learning Alliance (GALA)</t>
  </si>
  <si>
    <t>DEC 05-07, 2016</t>
  </si>
  <si>
    <t>Utrecht, NETHERLANDS</t>
  </si>
  <si>
    <t>Serious Games Soc,Utrecht Univ, Ctr Game Res</t>
  </si>
  <si>
    <t>Wishing to connect cultural heritage, games and social networks, the present work describes games to be used within the framework of a European H2020 project. For the purposes of supporting the museum visit, before, during and after, 5 games were designed for social networks to accomplish user profiling, to promote the museum and the application through social network dissemination, to introduce museum items and themes and to also function as visit souvenirs. The games are also presented in a generic framework for games in cultural heritage, which has been used successfully in the past.</t>
  </si>
  <si>
    <t>[Bampatzia, Stavroula; Bourlakos, Ioannis; Antoniou, Angeliki; Vassilakis, Costas; Lepouras, George] Univ Peloponnese, Dept Informat &amp; Telecommun, Human Comp Interact &amp; Virtual Real Lab, Terma Karaiskaki 22131, Tripolis, Greece; [Wallace, Manolis] Univ Peloponnese, Dept Informat &amp; Telecommun, Knowledge &amp; Uncertainty Res Lab, Terma Karaiskaki 22131, Tripolis, Greece</t>
  </si>
  <si>
    <t>Bampatzia, S (corresponding author), Univ Peloponnese, Dept Informat &amp; Telecommun, Human Comp Interact &amp; Virtual Real Lab, Terma Karaiskaki 22131, Tripolis, Greece.</t>
  </si>
  <si>
    <t>s.babatzia@uop.gr; jbourlak@uop.gr; angelant@uop.gr; costas@uop.gr; g.lepouras@uop.gr; wallace@uop.gr</t>
  </si>
  <si>
    <t>Lepouras, Georgios/AAM-3058-2021; Antoniou, Angeliki/E-4824-2012; Wallace, Manolis/QAY-7063-2026; Vassilakis, Costas/AAH-5948-2019</t>
  </si>
  <si>
    <t>Antoniou, Angeliki/0000-0002-3452-1168; Vassilakis, Costas/0000-0001-9940-1821; Wallace, Manolis/0000-0002-4629-5946</t>
  </si>
  <si>
    <t>978-3-319-50182-6; 978-3-319-50181-9</t>
  </si>
  <si>
    <t>10.1007/978-3-319-50182-6_30</t>
  </si>
  <si>
    <t>Computer Science, Interdisciplinary Applications; Computer Science, Software Engineering</t>
  </si>
  <si>
    <t>BG5WF</t>
  </si>
  <si>
    <t>WOS:000389792300030</t>
  </si>
  <si>
    <t>Szomszor, M; Alani, H; Cantador, I; O'Hara, K; Shadbolt, N</t>
  </si>
  <si>
    <t>Sheth, A; Staab, S; Paolucci, M; Maynard, D; Finin, T; Krishnaprasad, T</t>
  </si>
  <si>
    <t>Szomszor, Martin; Alani, Harith; Cantador, Ivan; O'Hara, Kieron; Shadbolt, Nigel</t>
  </si>
  <si>
    <t>Semantic Modelling of User Interests Based on Cross-Folksonomy Analysis</t>
  </si>
  <si>
    <t>SEMANTIC WEB - ISWC 2008</t>
  </si>
  <si>
    <t>7th International Semantic Web Conference (ISWC 2008)</t>
  </si>
  <si>
    <t>OCT 26-30, 2008</t>
  </si>
  <si>
    <t>Karlsruhe, GERMANY</t>
  </si>
  <si>
    <t>Ontoprise,BBN,eyeworkers,Microsoft,NeOn,SAP Res,Vulcan,ACTIVE,ADUNA,Saltlux,SUPER,X Media,Yahoo</t>
  </si>
  <si>
    <t>The continued increase in Web usage, in particular participation in folk-sonomies, reveals a trend towards a more dynamic and interactive Web where individuals can organise and share resources. Tagging has emerged as the de-facto standard for the Organisation of such resources, providing a versatile and reactive knowledge management mechanism that users find easy to use and understand. It is common nowadays for users to have multiple profiles in various folksonomies, thus distributing their tagging activities. In this paper, we present a method for the automatic consolidation Of user profiles across two popular social networking sites, and subsequent semantic modelling of their interests utilising Wikipedia as a multi-domain model. We evaluate how Much can be learned from Such sites, and in which domains the knowledge acquired is focussed. Results show that far richer interest profiles can be generated for users when multiple tag-clouds are combined.</t>
  </si>
  <si>
    <t>[Szomszor, Martin; Alani, Harith; O'Hara, Kieron; Shadbolt, Nigel] Univ Southampton, Sch Elect &amp; Comp Sci, Southampton, Hants, England; [Cantador, Ivan] Univ Autonoma Madrid, Escuela Politcn Super, Madrid 28049, Spain</t>
  </si>
  <si>
    <t>University of Southampton; Autonomous University of Madrid</t>
  </si>
  <si>
    <t>Szomszor, M (corresponding author), Univ Southampton, Sch Elect &amp; Comp Sci, Southampton, Hants, England.</t>
  </si>
  <si>
    <t>mns03r@ecs.soton.ac.uk; h.alani@ecs.soton.ac.uk; ivan.cantador@uam.es; kmo@ecs.soton.ac.uk; nrs@ecs.soton.ac.uk</t>
  </si>
  <si>
    <t>; Cantador, Ivan/B-9777-2014; Szozor, Martin/N-9188-2018</t>
  </si>
  <si>
    <t>Alani, Harith/0000-0003-2784-349X; Cantador, Ivan/0000-0001-6663-4231; O'Hara, Kieron/0000-0002-9051-4456; Szozor, Martin/0000-0003-0347-3527</t>
  </si>
  <si>
    <t>TAGora project - Future and Emerging Technologies program (IST-FET) of the European Commission [IST-34721]</t>
  </si>
  <si>
    <t>TAGora project - Future and Emerging Technologies program (IST-FET) of the European Commission</t>
  </si>
  <si>
    <t>This research has been supported by the TAGora project funded by the Future and Emerging Technologies program (IST-FET) of the European Commission under the contract IST-34721. The information provided is the sole responsibility of the authors and does not reflect the Commissions opinion. The Commission is not responsible for any use that may be made of data appearing in this publication.</t>
  </si>
  <si>
    <t>978-3-540-88563-4</t>
  </si>
  <si>
    <t>BIY37</t>
  </si>
  <si>
    <t>WOS:000263688400040</t>
  </si>
  <si>
    <t>Jose, LM; Rahamathulla, K</t>
  </si>
  <si>
    <t>Rajesh, R</t>
  </si>
  <si>
    <t>Jose, Lijo M.; Rahamathulla, K.</t>
  </si>
  <si>
    <t>A semantic graph based approach on interest extraction from user generated texts in social media</t>
  </si>
  <si>
    <t>PROCEEDINGS OF 2016 INTERNATIONAL CONFERENCE ON DATA MINING AND ADVANCED COMPUTING (SAPIENCE)</t>
  </si>
  <si>
    <t>International Conference on Data Mining and Advanced Computing (SAPIENCE)</t>
  </si>
  <si>
    <t>MAR 16-18, 2016</t>
  </si>
  <si>
    <t>Kadayiruppu, INDIA</t>
  </si>
  <si>
    <t>IEEE Kerala Section,Sree Narayana Gurukulam Coll Engn, Dept Comp Applicat</t>
  </si>
  <si>
    <t>Interest extraction; Topic extraction; Social networks; Micro-blog; Semantic Graph; Recommender Systems</t>
  </si>
  <si>
    <t>Micro-blogs and social networking websites have become a platform for self-expression. They reflect the thoughts, ideas and opinions of people on various subjects. Analyzing these texts to find the main topics mentioned in them is a fine method for targeted marketing. Targeted marketing involves identifying potential clients who might be interested in particular products or services and marketing them to these clients. Examples of targeted marketing include recommender systems and targeted advertising. Identifying the personal interests of users is a major factor that determines the quality of such systems. Commonly used techniques monitor online behavior of users like purchase histories, product views etc. or explicitly collect the user's interests through surveys and rating systems. However there have been only a few attempts to use user generated texts as a source for analyzing personal interests and preferences. This paper proposes a semantic graph based method to identify the likes and interests of users by analyzing their twitter feeds. It also put forward the design for a recommender system that can work along with the proposed interest extraction method. This method is purely based on the texts that a user leaves in a particular social network website or a micro blog. Unlike the other conventional methods there is no need to track the user activity on the Internet or conduct exclusive surveys and ratings to collect explicit ideas from the user.</t>
  </si>
  <si>
    <t>[Jose, Lijo M.; Rahamathulla, K.] Govt Engn Coll, Dept Comp Sci, Trichur, Kerala, India</t>
  </si>
  <si>
    <t>Government Engineering College Thrissur</t>
  </si>
  <si>
    <t>Jose, LM (corresponding author), Govt Engn Coll, Dept Comp Sci, Trichur, Kerala, India.</t>
  </si>
  <si>
    <t>lmjfrancis@gmail.com; rahamathulla@gmail.com</t>
  </si>
  <si>
    <t>Jose, Lijo/MDT-0982-2025</t>
  </si>
  <si>
    <t>Jose, Lijo/0000-0003-2161-9753</t>
  </si>
  <si>
    <t>978-1-4673-8594-7</t>
  </si>
  <si>
    <t>Computer Science, Artificial Intelligence; Computer Science, Information Systems; Computer Science, Software Engineering</t>
  </si>
  <si>
    <t>BG6OK</t>
  </si>
  <si>
    <t>WOS:000390694000018</t>
  </si>
  <si>
    <t>Uesato, K; Asai, H; Yamana, H</t>
  </si>
  <si>
    <t>Ho, H; Ooi, BC; Zaki, MJ; Hu, XH; Haas, L; Kumar, V; Rachuri, S; Yu, SP; Hsiao, MHI; Li, J; Luo, F; Pyne, S; Ogan, K</t>
  </si>
  <si>
    <t>Uesato, Kazuya; Asai, Hiroki; Yamana, Hayato</t>
  </si>
  <si>
    <t>Predicting Various Types of User Attributes in Twitter by Using Personalized PageRank</t>
  </si>
  <si>
    <t>PROCEEDINGS 2015 IEEE INTERNATIONAL CONFERENCE ON BIG DATA</t>
  </si>
  <si>
    <t>IEEE International Conference on Big Data</t>
  </si>
  <si>
    <t>OCT 29-NOV 01, 2015</t>
  </si>
  <si>
    <t>Santa Clara, CA</t>
  </si>
  <si>
    <t>IEEE,IEEE Comp Soc,Natl Sci Fdn,CCF,HUAWEI,Springer,ELSEVIER,CISCO,Intel</t>
  </si>
  <si>
    <t>user attribute prediction; user profiling; personalized PageRank; social networking service; Twitter</t>
  </si>
  <si>
    <t>Predicting various types of user-attributes in social networks has become indispensable for personalizing applications since there are many non-disclosed attributes in social networks. However, extracted attributes in existing works are limited to pre-defined types of attributes, which results in no extraction of unexpected-types of attributes. In this paper, we therefore propose a novel method that extracts various, i.e., unlimited, types of attributes by adopting personalized PageRank to a large social network. The experimental results using over 7.9 million of Japanese twitter-users show that our proposed method successfully extracts four types of attributes per-user in average with 0.841 of MAP@20.</t>
  </si>
  <si>
    <t>[Uesato, Kazuya; Asai, Hiroki; Yamana, Hayato] Waseda Univ, Tokyo, Japan; [Yamana, Hayato] Natl Inst Informat, Tokyo, Japan</t>
  </si>
  <si>
    <t>Waseda University; Research Organization of Information &amp; Systems (ROIS); National Institute of Informatics (NII) - Japan</t>
  </si>
  <si>
    <t>Uesato, K (corresponding author), Waseda Univ, Tokyo, Japan.</t>
  </si>
  <si>
    <t>k.uesato@yama.info.waseda.ac.jp; asai@yama.info.waseda.ac.jp; yamana@yama.info.waseda.ac.jp</t>
  </si>
  <si>
    <t>YAMANA, Hayato/IZE-8553-2023</t>
  </si>
  <si>
    <t>YAMANA, Hayato/0000-0001-7542-4826</t>
  </si>
  <si>
    <t>Grants-in-Aid for Scientific Research [25280113] Funding Source: KAKEN</t>
  </si>
  <si>
    <t>Grants-in-Aid for Scientific Research(Ministry of Education, Culture, Sports, Science and Technology, Japan (MEXT)Japan Society for the Promotion of ScienceGrants-in-Aid for Scientific Research (KAKENHI))</t>
  </si>
  <si>
    <t>978-1-4799-9925-5</t>
  </si>
  <si>
    <t>Computer Science, Information Systems; Engineering, Electrical &amp; Electronic</t>
  </si>
  <si>
    <t>BF1KI</t>
  </si>
  <si>
    <t>WOS:000380404600358</t>
  </si>
  <si>
    <t>Darwish, R; Abdelmoty, AI; Turner, LD</t>
  </si>
  <si>
    <t>Darwish, Roba; Abdelmoty, Alia I.; Turner, Liam D.</t>
  </si>
  <si>
    <t>Analysing social network structures and thematic engagement on X audio spaces</t>
  </si>
  <si>
    <t>Social network analysis; Audio-based platforms; Topic classification; X Spaces</t>
  </si>
  <si>
    <t>The rise of audio-based platforms such as X Spaces introduces synchronous, ephemeral modes of interaction that differ from traditional text-based social media. This study investigates user connectivity and thematic engagement by analysing a substantial dataset of X Spaces events. We model participation as a bipartite user-Space network, projected into user-user connections to assess community structure and interaction patterns. Our network analysis confirms broad-scale network characteristics and provides novel insights into local structures and user influence. Beyond structural analysis, we examine how users engage thematically across modalities by comparing creator-assigned topics, conversation-derived topics extracted from transcribed audio summaries, and textual posts. Our results reveal that user interests are only weakly aligned across modalities, indicating distinct communicative roles for audio and text. We also introduce a hybrid method combining BERT embeddings, spaCy similarity, and expert validation to assess the alignment between creator-assigned topics and actual conversation content. While most Spaces exhibit high topic coverage, 44% introduce additional themes, suggesting that live audio conversations often diverge from their predefined scope. These findings contribute to understanding interest expression, structural cohesion, and topical drift in emerging audio-based social platforms.</t>
  </si>
  <si>
    <t>[Darwish, Roba; Abdelmoty, Alia I.; Turner, Liam D.] Cardiff Univ, Sch Comp Sci &amp; Informat, Senghennydd Rd, Cardiff CF24 4AG, Wales; [Darwish, Roba] Yanbu Ind Coll, Comp Sci &amp; Engn Dept, King Faisal Rd, Yanbu 46435, Saudi Arabia</t>
  </si>
  <si>
    <t>Cardiff University; Yanbu Industrial College</t>
  </si>
  <si>
    <t>Darwish, R (corresponding author), Cardiff Univ, Sch Comp Sci &amp; Informat, Senghennydd Rd, Cardiff CF24 4AG, Wales.;Darwish, R (corresponding author), Yanbu Ind Coll, Comp Sci &amp; Engn Dept, King Faisal Rd, Yanbu 46435, Saudi Arabia.</t>
  </si>
  <si>
    <t>DarwishR@cardiff.ac.uk; AbdelmotyAI@cardiff.ac.uk; TurnerL9@cardiff.ac.uk</t>
  </si>
  <si>
    <t>Abdelmoty, Alia/S-7091-2016; Turner, Liam/L-2518-2015</t>
  </si>
  <si>
    <t>Abdelmoty, Alia/0000-0003-2031-4413; Turner, Liam/0000-0003-4877-5289</t>
  </si>
  <si>
    <t>AUG 25</t>
  </si>
  <si>
    <t>10.1007/s13278-025-01516-w</t>
  </si>
  <si>
    <t>6KH0J</t>
  </si>
  <si>
    <t>WOS:001555374300001</t>
  </si>
  <si>
    <t>Du, YJ; Hai, YF; Xie, CZ; Wang, XM</t>
  </si>
  <si>
    <t>Du, YaJun; Hai, YuFeng; Xie, ChunZhi; Wang, XiaoMing</t>
  </si>
  <si>
    <t>An approach for selecting seed URLs of focused crawler based on user-interest ontology</t>
  </si>
  <si>
    <t>APPLIED SOFT COMPUTING</t>
  </si>
  <si>
    <t>Seed URLs; Formal concept analysis; User interest ontology; Bipartite graph; Web crawler</t>
  </si>
  <si>
    <t>DOMAIN ONTOLOGIES; SYSTEM</t>
  </si>
  <si>
    <t>Seed URLs selection for focused Web crawler intends to guide related and valuable information that meets a user's personal information requirement and provide more effective information retrieval. In this paper, we propose a seed URLs selection approach based on user-interest ontology. In order to enrich semantic query, we first intend to apply Formal Concept Analysis to construct user-interest concept lattice with user log profile. By using concept lattice merger, we construct the user-interest ontology which can describe the implicit concepts and relationships between them more appropriately for semantic representation and query match. On the other hand, we make full use of the user-interest ontology for extracting the user interest topic area and expanding user queries to receive the most related pages as seed URLs, which is an entrance of the focused crawler. In particular, we focus on how to refine the user topic area using the bipartite directed graph. The experiment proves that the user-interest ontology can be achieved effectively by merging concept lattices and that our proposed approach can select high quality seed URLs collection and improve the average precision of focused Web crawler. (C) 2013 Elsevier B.V. All rights reserved.</t>
  </si>
  <si>
    <t>[Du, YaJun; Hai, YuFeng; Xie, ChunZhi; Wang, XiaoMing] Xihua Univ, Sch Math &amp; Comp Sci, Chengdu 610039, Sichuan, Peoples R China</t>
  </si>
  <si>
    <t>Du, YJ (corresponding author), Xihua Univ, Sch Math &amp; Comp Sci, Chengdu 610039, Sichuan, Peoples R China.</t>
  </si>
  <si>
    <t>dyjdoc2003@aliyun.com.cn</t>
  </si>
  <si>
    <t>Xie, Chunzhi/NKQ-4656-2025</t>
  </si>
  <si>
    <t>National Nature Science Foundation [61271413, 61103168]; Scientific Research Project chun hui plan of Ministry of Education [z2011086]</t>
  </si>
  <si>
    <t>National Nature Science Foundation(National Natural Science Foundation of China (NSFC)); Scientific Research Project chun hui plan of Ministry of Education</t>
  </si>
  <si>
    <t>This work was supported by the National Nature Science Foundation (Grant No. 61271413, 61103168 and 60872089), the Scientific Research Project chun hui plan of Ministry of Education (z2011086).</t>
  </si>
  <si>
    <t>1568-4946</t>
  </si>
  <si>
    <t>1872-9681</t>
  </si>
  <si>
    <t>APPL SOFT COMPUT</t>
  </si>
  <si>
    <t>Appl. Soft. Comput.</t>
  </si>
  <si>
    <t>10.1016/j.asoc.2013.09.007</t>
  </si>
  <si>
    <t>259LU</t>
  </si>
  <si>
    <t>WOS:000327529200030</t>
  </si>
  <si>
    <t>Piot-Perez-Abadin, P; Martin-Rodilla, P; Parapar, J</t>
  </si>
  <si>
    <t>Ali, R; Kaindl, H; Maciaszek, LA</t>
  </si>
  <si>
    <t>Piot-Perez-Abadin, Paloma; Martin-Rodilla, Patricia; Parapar, Javier</t>
  </si>
  <si>
    <t>Gender Classification Models and Feature Impact for Social Media Author Profiling</t>
  </si>
  <si>
    <t>EVALUATION OF NOVEL APPROACHES TO SOFTWARE ENGINEERING (ENASE 2021)</t>
  </si>
  <si>
    <t>16th International Conference on Evaluation of Novel Approaches to Software Engineering (ENASE)</t>
  </si>
  <si>
    <t>APR 26-27, 2021</t>
  </si>
  <si>
    <t>INSTICC</t>
  </si>
  <si>
    <t>Gender classification; Author profiling; Feature relevance; Social media</t>
  </si>
  <si>
    <t>Automatic profiling models infer demographic characteristics of social network users from their generated content or interactions. Due to its use in business (targeted advertising, market studies...), automatic user profiling from social networks has become a popular task. Users' demographic data is also crucial information for more socially concerning tasks, such as automatic early detection of mental disorders. For this type of users' analysis task, it has been demonstrated that the way users employ language is an essential indicator that contributes to the effectiveness of the models. For this reason, we also believe that considering the usage of the language from both psycho-linguistic and semantic characteristics it is useful for detecting variables such as gender, age, and user's origin. A proper selection of features will be critical for the performance of retrieval, classification, and decision-making software systems, a proper selection of features will be critical. In this work, we shall discuss gender classification as a part of the automated profiling task. We present an experimental analysis of the performance of existing gender classification models for automated profiling based on external corpus and baselines. We also investigate the role of linguistic characteristics in the model's classification accuracy and their impact on each gender. Following that analysis, we have developed a feature set for gender classification models in social networks that outperforms existing benchmarks in terms of accuracy.</t>
  </si>
  <si>
    <t>[Piot-Perez-Abadin, Paloma; Martin-Rodilla, Patricia; Parapar, Javier] Univ A Coruna, CITIC Res Ctr, IRLab, La Coruna, Spain</t>
  </si>
  <si>
    <t>Universidade da Coruna</t>
  </si>
  <si>
    <t>Piot-Perez-Abadin, P (corresponding author), Univ A Coruna, CITIC Res Ctr, IRLab, La Coruna, Spain.</t>
  </si>
  <si>
    <t>paloma.piot@udc.es; patricia.martin.rodilla@udc.es; javier.parapar@udc.es</t>
  </si>
  <si>
    <t>Parapar, Javier/L-9840-2017; Martin-Rodilla, Patricia/AID-8792-2022; Piot, Paloma/KCJ-7025-2024</t>
  </si>
  <si>
    <t>Parapar, Javier/0000-0002-5997-8252; Martin-Rodilla, Patricia/0000-0002-1540-883X; Piot, Paloma/0000-0002-7069-3389</t>
  </si>
  <si>
    <t>Ministerio de Ciencia e Innvovacion ERDF [RTI2018-093336-B-C21, RTI201809333 6-B-C22]; Conselleria de Educacion, Universidade e Formacion Profesional [2019-2022 ED431G/01, ED431B 2019/03]; European Regional Development Fund</t>
  </si>
  <si>
    <t>Ministerio de Ciencia e Innvovacion ERDF; Conselleria de Educacion, Universidade e Formacion Profesional; European Regional Development Fund(European Union (EU))</t>
  </si>
  <si>
    <t>This work was supported by projects RTI2018-093336-B-C21, RTI201809333 6-B-C22 (Ministerio de Ciencia e Innvovacion &amp; ERDF) and the financial support supplied by the Conselleria de Educacion, Universidade e Formacion Profesional (accreditation 2019-2022 ED431G/01, ED431B 2019/03) and the European Regional Development Fund, which acknowledges the CITIC Research Center in ICT of the University of A Coruna as a Research Center of the Galician University System.</t>
  </si>
  <si>
    <t>978-3-030-96648-5; 978-3-030-96647-8</t>
  </si>
  <si>
    <t>10.1007/978-3-030-96648-5_12</t>
  </si>
  <si>
    <t>BS8EI</t>
  </si>
  <si>
    <t>WOS:000771717200012</t>
  </si>
  <si>
    <t>Li, HL; Zhu, H; Lin, XD; Lu, RX; Yu, ZP; Lan, W</t>
  </si>
  <si>
    <t>Li, Helin; Zhu, Hui; Lin, Xiaodong; Lu, Rongxing; Yu, Zhipeng; Lan, Wei</t>
  </si>
  <si>
    <t>Everything you control is not everything: Achieving intention-concealed visit on social networks</t>
  </si>
  <si>
    <t>COMPUTERS &amp; SECURITY</t>
  </si>
  <si>
    <t>Intention-concealed; Privacy preserving; Browsing trajectories; Online social networks; Interest profile</t>
  </si>
  <si>
    <t>PRIVACY; MODEL</t>
  </si>
  <si>
    <t>With the flourishment of Artificial Intelligence (AI), the quality of services on online social networks (OSNs) has improved tremendously. Through the introduction of AI into OSNs, providers enhance the users experience. However, the risk of data misuse has also been magnified. And there has been a trend towards users' mistrust when it comes to sharing their true intention on OSN platforms, primarily because of privacy concerns. In this paper, we propose an effective intention-concealing visitation framework named Aviv, which acts as a credible and private third-party where it generates a rtificial i ntentionc oncealed b rowsing (AICB trajectories) for users to conceal their true intentions. The browsing trajectory is a sequence composed of blogs, bloggers, news, or a mixture containing visitable content. Specifically, Aviv first extracts accessible graphs composed of visitable contents from applied OSN platforms. Then an elaborate and personalized divert scoring process is conducted to measure optional decoy visits' effectiveness. Finally, using the divert scoring values, elaborate and personalized decoy visits are picked out, Aviv composes AICB trajectories with true intentions and picked decoy visits. Aviv is implemented as a credible private third-party and tested on a real OSN, the performance evaluation results show that Aviv is effective and efficient.(c) 2022 Elsevier Ltd. All rights reserved.</t>
  </si>
  <si>
    <t>[Li, Helin; Zhu, Hui; Yu, Zhipeng; Lan, Wei] Xidian Univ, Natl Key Lab Integrated Networks Serv, Xian, Peoples R China; [Lin, Xiaodong] Univ Guelph, Sch Comp Sci, Guelph, ON, Canada; [Lu, Rongxing] Univ New Brunswick, Fac Comp Sci, St John, NB, Canada</t>
  </si>
  <si>
    <t>Xidian University; University of Guelph; University of New Brunswick</t>
  </si>
  <si>
    <t>Zhu, H (corresponding author), Xidian Univ, Natl Key Lab Integrated Networks Serv, Xian, Peoples R China.</t>
  </si>
  <si>
    <t>zhuhui@xidian.edu.cn</t>
  </si>
  <si>
    <t>Zhu, Hui/AAP-5769-2021; Lu, Rongxing/JOZ-2317-2023</t>
  </si>
  <si>
    <t>Zhu, Hui/0000-0002-5853-633X;</t>
  </si>
  <si>
    <t>National Natural Science Founda-tion of China [61972304, 61932015]; Natural Science Foundation of Shaanxi Province [2020ZDLGY08-04]; Technical Research Program of the Ministry of Public Security [2019JSYJA01]</t>
  </si>
  <si>
    <t>National Natural Science Founda-tion of China(National Natural Science Foundation of China (NSFC)); Natural Science Foundation of Shaanxi Province(Natural Science Foundation of Shaanxi Province); Technical Research Program of the Ministry of Public Security</t>
  </si>
  <si>
    <t>Acknowledgment This work was supported by National Natural Science Founda-tion of China (61972304 , 61932015) ; Natural Science Foundation of Shaanxi Province (2020ZDLGY08-04) ; Technical Research Program of the Ministry of Public Security (2019JSYJA01) .</t>
  </si>
  <si>
    <t>ELSEVIER ADVANCED TECHNOLOGY</t>
  </si>
  <si>
    <t>OXFORD FULFILLMENT CENTRE THE BOULEVARD, LANGFORD LANE, KIDLINGTON, OXFORD OX5 1GB, OXON, ENGLAND</t>
  </si>
  <si>
    <t>0167-4048</t>
  </si>
  <si>
    <t>1872-6208</t>
  </si>
  <si>
    <t>COMPUT SECUR</t>
  </si>
  <si>
    <t>Comput. Secur.</t>
  </si>
  <si>
    <t>10.1016/j.cose.2022.102778</t>
  </si>
  <si>
    <t>MAY 2022</t>
  </si>
  <si>
    <t>1Y7QW</t>
  </si>
  <si>
    <t>WOS:000808335600003</t>
  </si>
  <si>
    <t>Narducci, F; Musto, C; Semeraro, G; Lops, P; de Gemmis, M</t>
  </si>
  <si>
    <t>Huemer, C; Lops, P</t>
  </si>
  <si>
    <t>Narducci, Fedelucio; Musto, Cataldo; Semeraro, Giovanni; Lops, Pasquale; de Gemmis, Marco</t>
  </si>
  <si>
    <t>Exploiting Big Data for Enhanced Representations in Content-Based Recommender Systems</t>
  </si>
  <si>
    <t>E-COMMERCE AND WEB TECHNOLOGIES, EC-WEB 2013</t>
  </si>
  <si>
    <t>14th International Conference on Electronic Commerce and Web Technologies (EC-Web)</t>
  </si>
  <si>
    <t>AUG 27-28, 2013</t>
  </si>
  <si>
    <t>User Profiling; Social Network Analysis; Explicit Semantic Analysis; Personalization; Facebook; Twitter; Recommender System</t>
  </si>
  <si>
    <t>The recent explosion of Big Data is offering new chances and challenges to all those platforms that provide personalized access to information sources, such as recommender systems and personalized search engines. In this context, social networks are gaining more and more interests since they represent a perfect source to trigger personalization tasks. Indeed, users naturally leave on these platforms a lot of data about their preferences, feelings, and friendships. Hence, those data are really valuable for addressing the cold start problem of recommender systems. On the other hand, since content shared on social networks is noisy and heterogeneous, information extracted must be hardly processed to build user profiles that can effectively mirror user interests and needs. In this paper we investigated the effectiveness of external knowledge derived from Wikipedia in representing both documents and user profiles in a recommendation scenario. Specifically, we compared a classical keyword-based representation with two techniques that are able to map unstructured text with Wikipedia pages. The advantage of using this representation is that documents and user profiles become richer, more human-readable, less noisy, and potentially connected to the Linked Open Data (lod) cloud. The goal of our preliminary experimental evaluation was twofolds: 1) to define the representation that best reflects user preferences; 2) to define the representation that provides the best predictive accuracy. We implemented a news recommender for a preliminary evaluation of our model. We involved more than 50 Facebook and Twitter users and we demonstrated that the encyclopedic-based representation is an effective way for modeling both user profiles and documents.</t>
  </si>
  <si>
    <t>[Narducci, Fedelucio] Univ Milano Bicocca, Dept Informat Sci Syst Theory &amp; Commun, Milan, Italy</t>
  </si>
  <si>
    <t>University of Milano-Bicocca</t>
  </si>
  <si>
    <t>Narducci, F (corresponding author), Univ Milano Bicocca, Dept Informat Sci Syst Theory &amp; Commun, Milan, Italy.</t>
  </si>
  <si>
    <t>narducci@disco.unimib.it; cataldo.musto@uniba.it; giovanni.semeraro@uniba.it; pasquale.lops@uniba.it; marco.degemmis@uniba.it</t>
  </si>
  <si>
    <t>Semeraro, Giovanni/AAC-2156-2020; de Gemmis, Marco/E-9490-2014; Lops, Pasquale/E-7509-2014</t>
  </si>
  <si>
    <t>Semeraro, Giovanni/0000-0001-6883-1853; Musto, Cataldo/0000-0001-6089-928X; narducci, fedelucio/0000-0002-9255-3256; de Gemmis, Marco/0000-0002-2007-9559; Lops, Pasquale/0000-0002-6866-9451</t>
  </si>
  <si>
    <t>Italian Ministry of University and Research (MIUR)</t>
  </si>
  <si>
    <t>Italian Ministry of University and Research (MIUR)(Ministry of Education, Universities and Research (MIUR))</t>
  </si>
  <si>
    <t>This work fulfills the research objectives of the projects PON 02 00563 3470993 VINCENTE (A Virtual collective INtelligenCe ENvironment to develop sustainable Technology Entrepreneurship ecosystems) and PON 01 00850 ASK-Health (Advanced system for the interpretations and sharing of knowledge in health care) funded by the Italian Ministry of University and Research (MIUR).</t>
  </si>
  <si>
    <t>978-3-642-39878-0; 978-3-642-39877-3</t>
  </si>
  <si>
    <t>Computer Science, Artificial Intelligence; Computer Science, Information Systems; Computer Science, Interdisciplinary Applications</t>
  </si>
  <si>
    <t>BB6WB</t>
  </si>
  <si>
    <t>WOS:000345066600017</t>
  </si>
  <si>
    <t>Xing, H; Chen, CL; Yang, B; Guan, XP</t>
  </si>
  <si>
    <t>Xing, Hui; Chen, Cailian; Yang, Bo; Guan, Xinping</t>
  </si>
  <si>
    <t>SymMatch:Secure and Privacy-Preserving Symptom Matching for Mobile Healthcare Social Networks</t>
  </si>
  <si>
    <t>2013 INTERNATIONAL CONFERENCE ON WIRELESS COMMUNICATIONS AND SIGNAL PROCESSING (WCSP 2013)</t>
  </si>
  <si>
    <t>International Conference on Wireless Communications and Signal Processing</t>
  </si>
  <si>
    <t>International Conference on Wireless Communications and Signal Processing (WCSP)</t>
  </si>
  <si>
    <t>OCT 24-26, 2013</t>
  </si>
  <si>
    <t>Hangzhou, PEOPLES R CHINA</t>
  </si>
  <si>
    <t>IEEE,IEEE Commun Soc,Zhejiang Univ,SE Univ,Nanjing Univ Posts &amp; Telecommunicat,PLA Univ Sci &amp; Technol,Univ Sci &amp; Technol China,CIC</t>
  </si>
  <si>
    <t>Recently, mobile healthcare social networks (MH-SN), serving as a promising platform for eHealthcare system, has attracted considerable interest. Profile matching is an effective method for medical users to find possible helpers in the mobile healthcare social networks while preserving privacy of the personal health information (PHI). This paper concerns the challenging problem of how to resist inside semi-honest-but-curious medical users from disclosing the PHI by altering their symptom matching results and joining the data transmission group. A new security threat arising from existing profile matching protocols, coined as inflation attack, is first formulated. Then, a new secure and privacy-preserving symptom matching scheme, called SymMatch, is proposed based on homomorphic encryption to thwart the inflation attack and other active attacks. The security analysis and simulation results show the effectiveness and efficiency of the proposed scheme.</t>
  </si>
  <si>
    <t>[Xing, Hui; Chen, Cailian; Yang, Bo; Guan, Xinping] Shanghai Jiao Tong Univ, Dept Automat, Key Lab Syst Control &amp; Informat Proc, Minist Educ China, Shanghai 200030, Peoples R China</t>
  </si>
  <si>
    <t>Xing, H (corresponding author), Shanghai Jiao Tong Univ, Dept Automat, Key Lab Syst Control &amp; Informat Proc, Minist Educ China, Shanghai 200030, Peoples R China.</t>
  </si>
  <si>
    <t>xhluck88@sjtu.edu.cn; cailianchen@sjtu.edu.cn; bo.yang@sjtu.edu.cn; xpguan@sjtu.edu.cn</t>
  </si>
  <si>
    <t>chen, cailian/HDO-8245-2022; Guan, Xinping/U-1405-2017</t>
  </si>
  <si>
    <t>2325-3746</t>
  </si>
  <si>
    <t>978-1-4799-0308-5</t>
  </si>
  <si>
    <t>INT CONF WIRE COMMUN</t>
  </si>
  <si>
    <t>Computer Science, Hardware &amp; Architecture; Engineering, Electrical &amp; Electronic; Telecommunications</t>
  </si>
  <si>
    <t>BA1GK</t>
  </si>
  <si>
    <t>WOS:000332492200167</t>
  </si>
  <si>
    <t>Li, ZX; Wang, CR; Bonk, CJ</t>
  </si>
  <si>
    <t>Li, Zixi; Wang, Chaoran; Bonk, Curtis J.</t>
  </si>
  <si>
    <t>Exploring the Utility of ChatGPT for Self-Directed Online Language Learning</t>
  </si>
  <si>
    <t>ONLINE LEARNING</t>
  </si>
  <si>
    <t>Self-directed learning; language learning; artificial intelligence in education; generative AI; ChatGPT</t>
  </si>
  <si>
    <t>As generative AI tools are increasingly popular in today's teaching and learning process, challenges and opportunities occur at the same time. Self-directed learning has been regarded as a powerful learning ability that supports learners in informal learning contexts and its importance rises in salience when incorporating AI into learning. This study employed a mixed-method design to understand how people self-direct their online language learning through the utilization of ChatGPT. Analyzing survey data from 276 survey respondents and 11 one-to-one interviews with language learners in the United States, we found that learners are motivated to use generative AI for its high flexibility and personalization which enables learners to access learning materials that align with their knowledge levels, personal interests, and learning goals. We also found self-monitoring skills that are inherent to learners help them to use ChatGPT more effectively and achieve their learning goals efficiently. This study contributes to the emerging field of AI in education and explores possibilities to use ChatGPT to foster self- directed language learning and provide educators, instructional designers, and researchers with insights to design learning integrated with AI to best fulfill l learners' diverse needs and expand learning opportunities to more people.</t>
  </si>
  <si>
    <t>[Li, Zixi; Bonk, Curtis J.] Indiana Univ, Bloomington, IN 47405 USA; [Wang, Chaoran] Colby Coll, Waterville, ME USA</t>
  </si>
  <si>
    <t>Indiana University System; Indiana University Bloomington; Colby College</t>
  </si>
  <si>
    <t>Li, ZX (corresponding author), Indiana Univ, Bloomington, IN 47405 USA.</t>
  </si>
  <si>
    <t>; Li, Zixi/JYQ-5018-2024; Wang, Chaoran/PNG-2686-2026</t>
  </si>
  <si>
    <t>Wang, Chaoran/0000-0002-4140-2757; Li, Zixi/0000-0003-1004-8967;</t>
  </si>
  <si>
    <t>Open Education Research Fellowship</t>
  </si>
  <si>
    <t>We thank the Open Education Research Fellowship for mentorship and support throughout this study.</t>
  </si>
  <si>
    <t>ONLINE LEARNING CONSORTIUM</t>
  </si>
  <si>
    <t>NEWBURYPORT</t>
  </si>
  <si>
    <t>PO BOX 1238, NEWBURYPORT, MA 01950 USA</t>
  </si>
  <si>
    <t>2472-5749</t>
  </si>
  <si>
    <t>2472-5730</t>
  </si>
  <si>
    <t>ONLINE LEARN</t>
  </si>
  <si>
    <t>Online Learn.</t>
  </si>
  <si>
    <t>10.24059/olj.v28i3.4497</t>
  </si>
  <si>
    <t>F3Z1S</t>
  </si>
  <si>
    <t>WOS:001309228000007</t>
  </si>
  <si>
    <t>Lossio-Ventura, JA; Valverde-Rebaza, JC; Diaz, E; Alatrista-Salas, H</t>
  </si>
  <si>
    <t>StrCoBSP: Relationship Strength-Aware Community-Based Social Profiling</t>
  </si>
  <si>
    <t>INFORMATION MANAGEMENT AND BIG DATA, SIMBIG 2020</t>
  </si>
  <si>
    <t>7th International Conference on Information Management and Big Data-SIMBIG-Annual</t>
  </si>
  <si>
    <t>OCT 01-03, 2020</t>
  </si>
  <si>
    <t>Lima, PERU</t>
  </si>
  <si>
    <t>Social profile; Relationship strength; Ego networks; Weighted social networks; Weighted ego networks</t>
  </si>
  <si>
    <t>User interest inference in social media is an important research topic with great value in modern personalization and advertisement systems. Using relationships characteristics such as strength may allow more refined inference. Indeed, due to influence and homophily phenomena, people maintaining strongest relationships tend to be and become more similar. Accordingly, we present StrCoBSP a Strength-aware Community-Based Social Profiling process that combines community structure and relationship strength to predict user's interests in his egocentric network. We present empirical evaluation of StrCoBSP performed on real world co-authorship networks (DBLP/ResearchGate). The performances of the proposed approach are superior to the ones achieved by the existing strength-agnostic process with lifts of up to 18,46% and 18,15% in terms of precision and recall at top 15 returned interests.</t>
  </si>
  <si>
    <t>[Chader, Asma; Haddadou, Hamid; Hamdad, Leila; Hidouci, Walid-Khaled] Ecole Natl Super Informat ESI, Lab Commun Syst Informat LCSI, BP 68M, Oued Smar Algiers 16309, Algeria</t>
  </si>
  <si>
    <t>Chader, A (corresponding author), Ecole Natl Super Informat ESI, Lab Commun Syst Informat LCSI, BP 68M, Oued Smar Algiers 16309, Algeria.</t>
  </si>
  <si>
    <t>/AAA-5297-2021; Haddadou, Hamid/AAW-8892-2020</t>
  </si>
  <si>
    <t>978-3-030-76227-8; 978-3-030-76228-5</t>
  </si>
  <si>
    <t>10.1007/978-3-030-76228-5_24</t>
  </si>
  <si>
    <t>BZ2WY</t>
  </si>
  <si>
    <t>WOS:001557302500024</t>
  </si>
  <si>
    <t>Khattak, AM; Batool, R; Satti, FA; Hussain, J; Khan, WA; Khan, AM; Hayat, B</t>
  </si>
  <si>
    <t>Khattak, Asad Masood; Batool, Rabia; Satti, Fahad Ahmed; Hussain, Jamil; Khan, Wajahat Ali; Khan, Adil Mehmood; Hayat, Bashir</t>
  </si>
  <si>
    <t>Tweets Classification and Sentiment Analysis for Personalized Tweets Recommendation</t>
  </si>
  <si>
    <t>SOCIAL MEDIA</t>
  </si>
  <si>
    <t>Mining social network data and developing user profile from unstructured and informal data are a challenging task. The proposed research builds user profile using Twitter data which is later helpful to provide the user with personalized recommendations. Publicly available tweets are fetched and classified and sentiments expressed in tweets are extracted and normalized. This research uses domain-specific seed list to classify tweets. Semantic and syntactic analysis on tweets is performed to minimize information loss during the process of tweets classification. After precise classification and sentiment analysis, the system builds user interest-based profile by analyzing user's post on Twitter to know about user interests. The proposed system was tested on a dataset of almost 1 million tweets and was able to classify up to 96% tweets accurately.</t>
  </si>
  <si>
    <t>[Khattak, Asad Masood; Batool, Rabia] Zayed Univ, Coll Technol Innovat, Dubai, U Arab Emirates; [Satti, Fahad Ahmed; Hussain, Jamil] Kyung Hee Univ, Dept Comp Engn, Yongin, Gyeonggi Do, South Korea; [Khan, Wajahat Ali] Univ Derby, Coll Engn &amp; Technol, Markeaton St, Derby DE22 3AW, England; [Khan, Adil Mehmood] Innopolis Univ, Inst Informat Syst, Innopolis, Russia; [Hayat, Bashir] Inst Management Sci, Peshawar, Pakistan</t>
  </si>
  <si>
    <t>Zayed University; Kyung Hee University; University of Derby; Innopolis University</t>
  </si>
  <si>
    <t>Khattak, AM (corresponding author), Zayed Univ, Coll Technol Innovat, Dubai, U Arab Emirates.</t>
  </si>
  <si>
    <t>asad.khattak@zu.ac.ae</t>
  </si>
  <si>
    <t>Khan, Wajahat Ali/AAG-8299-2020; Satti, Fahad/JCE-5940-2023; Batool, Rabia/KDO-9558-2024; Hussain, Jamil/AAS-3756-2020</t>
  </si>
  <si>
    <t>Khan, Wajahat Ali/0000-0003-4118-7855; Khan, Adil/0000-0003-2220-8518; Hussain, Jamil/0000-0003-3862-8787</t>
  </si>
  <si>
    <t>Zayed University Cluster Research Fund [R18038]</t>
  </si>
  <si>
    <t>Zayed University Cluster Research Fund(Zayed University)</t>
  </si>
  <si>
    <t>This research work was supported by Zayed University Cluster Research Fund, no. R18038.</t>
  </si>
  <si>
    <t>10.1155/2020/8892552</t>
  </si>
  <si>
    <t>PS3NB</t>
  </si>
  <si>
    <t>WOS:000607831300003</t>
  </si>
  <si>
    <t>Chi, XH</t>
  </si>
  <si>
    <t>Balakrishnan, S; Talu, S; AbedMeraim, F; Bhardwaj, M</t>
  </si>
  <si>
    <t>Chi, Xuehua</t>
  </si>
  <si>
    <t>User Modeling on Social Networks-Using User Tags and Weibo Content for User Modeling</t>
  </si>
  <si>
    <t>PROCEEDINGS OF THE 2018 INTERNATIONAL CONFERENCE ON COMPUTER MODELING, SIMULATION AND ALGORITHM (CMSA 2018)</t>
  </si>
  <si>
    <t>Advances in Intelligent Systems Research</t>
  </si>
  <si>
    <t>International Conference on Computer Modeling, Simulation and Algorithm (CMSA)</t>
  </si>
  <si>
    <t>APR 22-23, 2018</t>
  </si>
  <si>
    <t>Adv Sci &amp; Ind Res Ctr</t>
  </si>
  <si>
    <t>user modeling; user tag; vector space model; feature extraction</t>
  </si>
  <si>
    <t>User-generated content is of great significance for user modeling and user interest mining. This paper defines a microblog user model which combining weibo content and tags with vector space model(VSM) representation. The user model consists of two parts, one part, user interest representation based on weibo content: pretreatment, feature extraction, and then compute the characteristic value with TF-IDF method, after that, the user's weibo content is expressed by VSM; Another part, user interest representation based on user tags: feature extraction and word frequency method for computing the characteristic value and user tags are expressed by VSM. Finally, the resulting user model can be obtained by combining the two parts mentioned above.</t>
  </si>
  <si>
    <t>[Chi, Xuehua] Nanjing Univ Sci &amp; Technol, Nanjing, Jiangsu, Peoples R China</t>
  </si>
  <si>
    <t>Chi, XH (corresponding author), Nanjing Univ Sci &amp; Technol, Nanjing, Jiangsu, Peoples R China.</t>
  </si>
  <si>
    <t>Postgraduate Research &amp; Practice Innovation Program of JiangSu Province [SJCX17_0094]</t>
  </si>
  <si>
    <t>Postgraduate Research &amp; Practice Innovation Program of JiangSu Province(Postgraduate Research &amp; Practice Innovation Program of Jiangsu Province)</t>
  </si>
  <si>
    <t>This work is supported by Postgraduate Research &amp; Practice Innovation Program of JiangSu Province(SJCX17_0094).</t>
  </si>
  <si>
    <t>1951-6851</t>
  </si>
  <si>
    <t>978-94-6252-523-8</t>
  </si>
  <si>
    <t>ADV INTEL SYS RES</t>
  </si>
  <si>
    <t>BL5TR</t>
  </si>
  <si>
    <t>WOS:000452695100001</t>
  </si>
  <si>
    <t>Jeon, M; Jun, S; Hwang, E</t>
  </si>
  <si>
    <t>Chen, Y; Balke, WT; Xu, J; Xu, W; Jin, P; Lin, X; Tang, T; Hwang, E</t>
  </si>
  <si>
    <t>Jeon, Mina; Jun, Sanghoon; Hwang, Eenjun</t>
  </si>
  <si>
    <t>Hashtag Recommendation Based on User Tweet and Hashtag Classification on Twitter</t>
  </si>
  <si>
    <t>WEB-AGE INFORMATION MANAGEMENT: WAIM 2014 INTERNATIONAL WORKSHOPS</t>
  </si>
  <si>
    <t>15th International Conference on Web-Age Information Management (WAIM)</t>
  </si>
  <si>
    <t>JUN 16-18, 2014</t>
  </si>
  <si>
    <t>Twitter; Hashtag; User interest; Naive Bayes classifier; Classification; Ranking; Recommendation; Android</t>
  </si>
  <si>
    <t>With the explosive popularity of various social network services (SNSs), an enormous number of user documents are generated and shared daily by users. Considering the volume of user documents, efficient methods for grouping or searching relevant user documents are required. In the case of Twitter, self-defined metadata called hashtags are attached to tweets for that purpose. However, due to the wide scope of hashtags, users are having difficulty in finding out appropriate hashtags for their tweets. In this paper, we propose a new hashtag recommendation scheme for user tweets based on user tweet analysis and hashtag classification. More specifically, we extract keywords from user tweets using TF-IDF and classify their hashtags into pre-defined classes using Naive Bayes classifier. Next, we select a user interest class based on keywords of user tweets to reflect user interest. To recommend appropriate hashtags to users, we calculate the ranks of candidate hashtags by considering similar tweets, user interest and popularity of hashtags. To show the performance of our scheme, we developed an Android application named TWITH and evaluate its recommendation accuracy. Through various experiments, we show that our scheme is quite effective in the hashtag recommendation.</t>
  </si>
  <si>
    <t>[Jeon, Mina; Jun, Sanghoon; Hwang, Eenjun] Korea Univ, Sch Elect Engn, Seoul, South Korea</t>
  </si>
  <si>
    <t>Jeon, M (corresponding author), Korea Univ, Sch Elect Engn, Seoul, South Korea.</t>
  </si>
  <si>
    <t>jmina@korea.ac.kr; ysbhjun@korea.ac.kr; ehwang04@korea.ac.kr</t>
  </si>
  <si>
    <t>Jun, Sanghoon/PBV-2750-2025</t>
  </si>
  <si>
    <t>978-3-319-11538-2; 978-3-319-11537-5</t>
  </si>
  <si>
    <t>10.1007/978-3-319-11538-2_30</t>
  </si>
  <si>
    <t>BB8WE</t>
  </si>
  <si>
    <t>WOS:000347619000030</t>
  </si>
  <si>
    <t>Del Bimbo, A; Ferracani, A; Pezzatini, D; D'Amato, F; Sereni, M</t>
  </si>
  <si>
    <t>Del Bimbo, Alberto; Ferracani, Andrea; Pezzatini, Daniele; D'Amato, Federico; Sereni, Martina</t>
  </si>
  <si>
    <t>LiveCities: Revealing the Pulse of Cities by Location-Based Social Networks Venues and Users Analysis</t>
  </si>
  <si>
    <t>Algorithms; Human Factors; Experimentation; Urban Computing; Smart Cities; venues classification; recommendation systems; location-based services</t>
  </si>
  <si>
    <t>It would be very difficult even for a resident to characterise the social dynamics of a city and to reveal to foreigners the evolving activity patterns which occur in its various areas. To address this problem, however, large amount of data produced by location-based social networks (LBSNs) can be exploited and combined effectively with techniques of user profiling. The key idea we introduce in this demo is to improve city areas and venues classification using semantics extracted both from places and from the online profiles of people who frequent those places. We present the results of our methodology in LiveCities(1), a web application which shows the hidden character of several italian cities through clustering and information visualisations paradigms. In particular we give in-depth insights of the city of Florence, IT, for which the majority of the data in our dataset have been collected. The system provides personal recommendation of areas and venues matching user interests and allows the free exploration of urban social dynamics in terms of people lifestyle, business, demographics, transport etc. with the objective to uncover the real 'pulse' of the city. We conducted a qualitative validation through an online questionnaire with 28 residents of Florence to understand the shared perception of city areas by its inhabitants and to check if their mental maps align to our results. Our evaluation shows how considering also contextual semantics like people profiles of interests in venues categorisation can improve clustering algorithms and give good insights of the endemic characteristics and behaviours of the detected areas.</t>
  </si>
  <si>
    <t>[Del Bimbo, Alberto; Ferracani, Andrea; Pezzatini, Daniele; D'Amato, Federico; Sereni, Martina] Univ Firenze, MICC, Florence, Italy</t>
  </si>
  <si>
    <t>University of Florence</t>
  </si>
  <si>
    <t>Del Bimbo, A (corresponding author), Univ Firenze, MICC, Florence, Italy.</t>
  </si>
  <si>
    <t>alberto.delbimbo@unifi.it; andrea.ferracani@unifi.it; daniele.pezzatini@unifi.it</t>
  </si>
  <si>
    <t>10.1145/2567948.2577035</t>
  </si>
  <si>
    <t>WOS:000455947000035</t>
  </si>
  <si>
    <t>Zhuang, CY; Ma, Q; Yoshikawa, M</t>
  </si>
  <si>
    <t>Zhuang, Chenyi; Ma, Qiang; Yoshikawa, Masatoshi</t>
  </si>
  <si>
    <t>SNS user classification and its application to obscure POI discovery</t>
  </si>
  <si>
    <t>User profiling; Obscure points of interests; Probabilistic model; Social network</t>
  </si>
  <si>
    <t>Technologies are increasingly taking advantage of the explosion of social media (e.g., web searches, ad targeting, personalized geo-social recommendations, urban computing). Estimating the characteristics of users, or user profiling, is one of the key challenges for such technologies. This paper focuses on the important problem of automatically estimating social networking service (SNS) user authority with a given city, which can significantly improve location-based services and systems. The authority in our work measures a user's familiarity with a particular city. By analyzing users' social, temporal, and spatial behavior, we respectively propose and compare three models for user authority: a social-network-driven model, time-driven model, and location-driven model. Furthermore, we discuss the integration of these three models. Finally, by using these user-profiling models, we propose a new application for geo-social recommendations. In contrast to related studies, which focus on popular and famous points of interests (POIs), our models help discover obscure POIs that are not well known. Experimental evaluations and analysis on a real dataset collected from three cities demonstrate the performance of the proposed user-profiling models. To verify the effect of discovering obscure POIs, the proposed application was implemented to discover and explore obscure POIs in Kyoto, Japan.</t>
  </si>
  <si>
    <t>[Zhuang, Chenyi; Ma, Qiang; Yoshikawa, Masatoshi] Kyoto Univ, Dept Social Informat, Sakyo Ku, Kyoto 6068501, Japan</t>
  </si>
  <si>
    <t>Kyoto University</t>
  </si>
  <si>
    <t>Zhuang, CY (corresponding author), Kyoto Univ, Dept Social Informat, Sakyo Ku, Kyoto 6068501, Japan.</t>
  </si>
  <si>
    <t>zhuang@db.soc.i.kyoto-u.ac.jp; qiang@i.kyoto-u.ac.jp; yoshikawa@i.kyoto-u.ac.jp</t>
  </si>
  <si>
    <t>Ma, Qiang/HCI-1013-2022; /L-6992-2018; /AID-2200-2022; Zhuang, Chenyi/L-6992-2018</t>
  </si>
  <si>
    <t>Ma, Qiang/0000-0003-3430-9244; Zhuang, Chenyi/0000-0003-1891-5666</t>
  </si>
  <si>
    <t>Grants-in-Aid for Scientific Research [16K12532, 15J01402, 25700033] Funding Source: KAKEN</t>
  </si>
  <si>
    <t>10.1007/s11042-016-4034-6</t>
  </si>
  <si>
    <t>EO9PL</t>
  </si>
  <si>
    <t>WOS:000397020500035</t>
  </si>
  <si>
    <t>Akbar, M; Shaffer, CA; Fan, WG; Fox, EA</t>
  </si>
  <si>
    <t>Akbar, Monika; Shaffer, Clifford A.; Fan, Weiguo; Fox, Edward A.</t>
  </si>
  <si>
    <t>Recommendation Based on Deduced Social Networks in an Educational Digital Library</t>
  </si>
  <si>
    <t>2014 IEEE/ACM JOINT CONFERENCE ON DIGITAL LIBRARIES (JCDL)</t>
  </si>
  <si>
    <t>ACM-IEEE Joint Conference on Digital Libraries JCDL</t>
  </si>
  <si>
    <t>14th IEEE/ACM Joint Conference on Digital Libraries (JCDL) / 18th International Conference on Theory and Practice of Digital Libraries (TPDL)</t>
  </si>
  <si>
    <t>SEP 08-12, 2014</t>
  </si>
  <si>
    <t>City Univ London, London, ENGLAND</t>
  </si>
  <si>
    <t>IEEE,ACM</t>
  </si>
  <si>
    <t>City Univ London</t>
  </si>
  <si>
    <t>Deduced social network; recommendation</t>
  </si>
  <si>
    <t>Discovering useful resources can be difficult in digital libraries with large content collections. Many educational digital libraries (edu-DLs) host thousands of resources. One approach to avoiding information overload involves modeling user behavior. But this often depends on user feedback, along with the demographic information found in user account profiles, in order to model and predict user interests. However, edu-DLs often host collections with open public access, allowing users to navigate through the system without needing to provide identification. With few identifiable users, building models linked to user accounts provides insufficient data to recommend useful resources. Analyzing user activity on a per-session basis, to deduce a latent user network, can take place even without user profiles or prior use history. The resulting Deduced Social Network (DSN) can be used to improve DL services. An example of a DSN is a graph whose nodes are sessions and whose edges connect two sessions that view the same resource. In this paper we present a recommendation framework for edu-DLs that depends on deduced connections between users. Results show that a recommendation system built from DSN-dependent parameters can improve performance compared to when only text similarity between resources is used. Our approach can potentially improve recommendation for DL resources when implicit user activities (e.g., view, click, search) are abundant but explicit user activities (e.g., account creation, rating, comment) are unavailable.</t>
  </si>
  <si>
    <t>[Akbar, Monika] UTEP, Cyber ShARE, El Paso, TX 79902 USA; [Akbar, Monika] UTEP, Dept CS, El Paso, TX USA; [Shaffer, Clifford A.; Fan, Weiguo; Fox, Edward A.] Virginia Tech, Dept Comp Sci, Blacksburg, VA USA</t>
  </si>
  <si>
    <t>University of Texas System; University of Texas El Paso; University of Texas System; University of Texas El Paso; Virginia Polytechnic Institute &amp; State University</t>
  </si>
  <si>
    <t>Akbar, M (corresponding author), UTEP, Cyber ShARE, El Paso, TX 79902 USA.</t>
  </si>
  <si>
    <t>makbar@utep.edu; shaffer@vt.edu; wfan@vt.edu; fox@vt.edu</t>
  </si>
  <si>
    <t>; Fan, Weiguo/E-6343-2012</t>
  </si>
  <si>
    <t>Shaffer, Cliff/0000-0003-0001-0295; Fan, Weiguo/0000-0003-1272-5538; Akbar, Monika/0000-0002-9402-5799</t>
  </si>
  <si>
    <t>2575-7865</t>
  </si>
  <si>
    <t>2575-8152</t>
  </si>
  <si>
    <t>978-1-4799-5569-5</t>
  </si>
  <si>
    <t>ACM-IEEE J CONF DIG</t>
  </si>
  <si>
    <t>BF6HS</t>
  </si>
  <si>
    <t>WOS:000383092300005</t>
  </si>
  <si>
    <t>Zheng, JB; Liang, Y</t>
  </si>
  <si>
    <t>Zheng, Jiangbo; Liang, Ying</t>
  </si>
  <si>
    <t>User Interest Identification with Social Media Information using Natural Language and Meta-Heuristic Technique</t>
  </si>
  <si>
    <t>ACM TRANSACTIONS ON ASIAN AND LOW-RESOURCE LANGUAGE INFORMATION PROCESSING</t>
  </si>
  <si>
    <t>User interest; web crawling; Twitter; Linkedin; optimization; feature selection; natural language processing; CSO and GSA</t>
  </si>
  <si>
    <t>TWITTER</t>
  </si>
  <si>
    <t>As the number of Internet users and social networking apps has grown in recent years, interest-based recommendation systems have been more commonly used in practice. Given the vast quantity of data available from LinkedIn and Twitter, as well as the expanding number of users, it was critical to create a real-time framework for recommending and monitoring relevant tweets or posts based on the user's interests. Using association rules, the interests of social network users can be uncovered. A considerable number of association rules extracted from social networks were found to be mostly dependent on coverage requirements. After finding patterns of frequent and non-frequent patterns, a large number of non-frequent terms were eliminated in association rule mining. In order to reduce the complexity of the association rule mining process, the more relevant terms are selected by the Hybridized Competitive Swarm Optimizer and Gravitational Search Algorithm (CSO-GSA), which is utilized for association rule generation and classification using deep learning techniques. In this research, numerous relevant rules for human interest are identified. The numerical outcome of the proposed strategy is compared with existing state-of-the-art techniques. The proposed CSO with GSA outperforms the existing techniques.</t>
  </si>
  <si>
    <t>[Zheng, Jiangbo] Jinan Univ, Sch Management, Guangzhou 510632, Guangdong, Peoples R China; [Liang, Ying] South China Normal Univ, Sch Econ &amp; Management, Guangzhou 510006, Guangdong, Peoples R China</t>
  </si>
  <si>
    <t>Jinan University; South China Normal University</t>
  </si>
  <si>
    <t>Zheng, JB (corresponding author), Jinan Univ, Sch Management, Guangzhou 510632, Guangdong, Peoples R China.</t>
  </si>
  <si>
    <t>zhengjbjnu2020@126.com; 20131196@m.scnu.edu.cn</t>
  </si>
  <si>
    <t>Liang, Ying/ABE-6417-2021</t>
  </si>
  <si>
    <t>Liang, Ying/0000-0002-1358-3247</t>
  </si>
  <si>
    <t>2375-4699</t>
  </si>
  <si>
    <t>2375-4702</t>
  </si>
  <si>
    <t>ACM T ASIAN LOW-RESO</t>
  </si>
  <si>
    <t>ACM Trans. Asian Low-Resour. Lang. Inf. Process.</t>
  </si>
  <si>
    <t>10.1145/3579165</t>
  </si>
  <si>
    <t>IT6V4</t>
  </si>
  <si>
    <t>WOS:001168635200010</t>
  </si>
  <si>
    <t>Souid, H; Trabelsi, C; Pasi, G; Ben Yahia, S</t>
  </si>
  <si>
    <t>Souid, Hazem; Trabelsi, Chiraz; Pasi, Gabriella; Ben Yahia, Sadok</t>
  </si>
  <si>
    <t>Hypergraph Fuzzy Minimals Transversals Mining : A New Approach For Social Media Recommendation</t>
  </si>
  <si>
    <t>2017 IEEE INTERNATIONAL CONFERENCE ON FUZZY SYSTEMS (FUZZ-IEEE)</t>
  </si>
  <si>
    <t>IEEE International Conference on Fuzzy Systems</t>
  </si>
  <si>
    <t>IEEE International Conference on Fuzzy Systems (FUZZ-IEEE)</t>
  </si>
  <si>
    <t>JUL 09-12, 2017</t>
  </si>
  <si>
    <t>IEEE,IEEE Computat Intelligence Soc,European Soc Fuzzy Log &amp; Technol,BT,Univ Degli Studi Napoli Frederico II,Univ Degli Studi Napoli Frederico II, Fisica Ettore Pancini</t>
  </si>
  <si>
    <t>User preference discovery aims to detect the patterns of user preferences for various topics of interest or items such as movie genre or category. Preferences discovery is a crucial stage in the development of intelligent personalization systems. Although a variety of studies have been proposed in the literature addressing a wide range of applications such as recommender systems or personalized search, only a few of them have considered the management of imprecision in the representation of user and item features. This paper aims to address the above issue by using fuzzy sets. The paper proposes a general framework for preferences discovery through fuzzy sets and fuzzy models and it introduces a new algorithm for representing and discovering fuzzy user interest profile. Based on the results of the empirical evaluation, the proposed approach outperforms two well-known recommendation approaches in terms of well-known quality assessment metrics, namely: discounted cumulative gain, precision, recall, as well as F1-measure.</t>
  </si>
  <si>
    <t>[Souid, Hazem; Trabelsi, Chiraz; Ben Yahia, Sadok] Univ Tunis El Manar, Fac Sci Tunis, LIPAH LR 11ES14, Tunis 2092, Tunisia; [Pasi, Gabriella] Univ Milano Bicocca, DISCo Viale Sarca, 336 Edificio U14, I-20126 Milan, Italy</t>
  </si>
  <si>
    <t>Universite de Tunis-El-Manar; Faculte des Sciences de Tunis (FST); University of Milano-Bicocca</t>
  </si>
  <si>
    <t>Souid, H (corresponding author), Univ Tunis El Manar, Fac Sci Tunis, LIPAH LR 11ES14, Tunis 2092, Tunisia.</t>
  </si>
  <si>
    <t>swd.hazem@gmail.com; chiraz.trabelsi@fst.rnu.tn; pasi@disco.unimib.it; sadok.benyahia@fst.rnu.tn</t>
  </si>
  <si>
    <t>Pasi, Gabriella/JNT-5582-2023; BEN YAHIA, sadok/C-8239-2019</t>
  </si>
  <si>
    <t>BEN YAHIA, sadok/0000-0001-8939-8948</t>
  </si>
  <si>
    <t>1098-7584</t>
  </si>
  <si>
    <t>978-1-5090-6034-4</t>
  </si>
  <si>
    <t>IEEE INT CONF FUZZY</t>
  </si>
  <si>
    <t>BJ6AW</t>
  </si>
  <si>
    <t>WOS:000426449100254</t>
  </si>
  <si>
    <t>de França, FO; Goya, DH; Penteado, CLD</t>
  </si>
  <si>
    <t>de Franca, Fabricio Olivetti; Goya, Denise Hideko; de Camargo Penteado, Claudio Luis</t>
  </si>
  <si>
    <t>User profiling of the Twitter Social Network during the impeachment of Brazilian President</t>
  </si>
  <si>
    <t>Social network analysis; User profiling; Analytics</t>
  </si>
  <si>
    <t>DISTRIBUTIONS</t>
  </si>
  <si>
    <t>The impeachment process that took place in Brazil in April, 2016, has generated a large amount of posts on the Social Networks. These posts came from ordinary people, journalists, traditional and independent media, politicians and supporters. The identification of the impact of this subject on each group of users can be an important analysis to verify the real interest of common Brazilian citizens on this matter. As such, we propose a way to segment the users into popular, activists and observers in order to filter out information and help us give a more detailed analysis of the event. The proposed segmentation may also help other studies related to the usage of Twitter during important events.</t>
  </si>
  <si>
    <t>[de Franca, Fabricio Olivetti; Goya, Denise Hideko; de Camargo Penteado, Claudio Luis] Univ Fed ABC, Nuvem Res Strateg Unit, Santo Andre, SP, Brazil</t>
  </si>
  <si>
    <t>Universidade Federal do ABC (UFABC)</t>
  </si>
  <si>
    <t>de França, FO (corresponding author), Univ Fed ABC, Nuvem Res Strateg Unit, Santo Andre, SP, Brazil.</t>
  </si>
  <si>
    <t>folivetti@ufabc.edu.br</t>
  </si>
  <si>
    <t>Penteado, Claudio/C-2870-2012; de França, Fabrício/B-1272-2009; /J-8990-2017</t>
  </si>
  <si>
    <t>Penteado, Claudio/0000-0002-8279-3643;</t>
  </si>
  <si>
    <t>FAPESP-OSU MOBILITY [2015/50250-9]</t>
  </si>
  <si>
    <t>FAPESP-OSU MOBILITY(Fundacao de Amparo a Pesquisa do Estado de Sao Paulo (FAPESP))</t>
  </si>
  <si>
    <t>FAPESP-OSU-2015 MOBILITY GRANT 2015/50250-9.</t>
  </si>
  <si>
    <t>JAN 11</t>
  </si>
  <si>
    <t>10.1007/s13278-017-0482-x</t>
  </si>
  <si>
    <t>FS9DK</t>
  </si>
  <si>
    <t>WOS:000422716000001</t>
  </si>
  <si>
    <t>Ma, JT; Qiao, YQ; Hu, GW; Li, T; Huang, YZ; Wang, YJ; Zhang, CQ</t>
  </si>
  <si>
    <t>Ma, Jiangtao; Qiao, Yaqiong; Hu, Guangwu; Li, Tong; Huang, Yongzhong; Wang, Yanjun; Zhang, Chaoqin</t>
  </si>
  <si>
    <t>Social account linking via weighted bipartite graph matching</t>
  </si>
  <si>
    <t>INTERNATIONAL JOURNAL OF COMMUNICATION SYSTEMS</t>
  </si>
  <si>
    <t>account linking; bipartite graph matching; node matching; social network; user identification</t>
  </si>
  <si>
    <t>Along with the increasing popularity of online social network (OSN), it is common that the same user holds many accounts among different OSNs (eg, Facebook, Twitter, WeChat, QQ). In this scenario, an interesting and challenging problem arises: how to link accounts among OSNs belonged to a natural person, which is also known as a graph matching problem. The solution helps understand user behaviors and offer better services. To solve the account linking problem, various techniques for OSNs have been proposed. However, most existing methods assume specific OSN features impractical in general OSNs and unscalable to large-scale OSNs. To address these shortcomings, in this paper, we remodel the account linking problem into maximum matching on weighted bipartite graphs and utilize the Kuhn-Munkres algorithm to solve it. In our solution, we capture user profile, user online time distribution, and user interest as features to describe user accounts and measure account similarity, which is used as weight of edge in bipartite graphs. Then, the maximum matching on weighted bipartite graphs is solved with the Kuhn-Munkres algorithm. The experiments conducted on the real datasets show that our solution outperforms the baseline methods with 11%, 17%, and 29% on average in precision, recall, and F1 score, respectively.</t>
  </si>
  <si>
    <t>[Ma, Jiangtao; Qiao, Yaqiong; Huang, Yongzhong; Wang, Yanjun; Zhang, Chaoqin] State Key Lab Math Engn &amp; Adv Comp, Zhengzhou 450001, Henan, Peoples R China; [Ma, Jiangtao] Zhengzhou Univ Light Ind, Zhengzhou 450001, Henan, Peoples R China; [Hu, Guangwu] Shenzhen Inst Informat Technol, Sch Comp Sci, Shenzhen 518172, Peoples R China; [Hu, Guangwu] Tsinghua Univ, Grad Sch Shenzhen, Shenzhen, Peoples R China; [Li, Tong] Huawei Technol Co Ltd, Shenzhen 518055, Peoples R China</t>
  </si>
  <si>
    <t>PLA Information Engineering University; Zhengzhou University of Light Industry; Shenzhen University of Information Technology; Tsinghua Shenzhen International Graduate School; Tsinghua University; Huawei Technologies</t>
  </si>
  <si>
    <t>Hu, GW (corresponding author), Shenzhen Inst Informat Technol, Sch Comp Sci, Shenzhen 518172, Peoples R China.</t>
  </si>
  <si>
    <t>hugw@sziit.edu.cn</t>
  </si>
  <si>
    <t>Li, Tong/IWU-5179-2023; Zhang, Chaoqin/KBQ-0480-2024</t>
  </si>
  <si>
    <t>Li, Tong/0000-0002-6805-9565; , Jiangtao/0000-0001-5181-4045; HU, Guangwu/0000-0003-3947-9998;</t>
  </si>
  <si>
    <t>Foundation of Henan science and Technology Department [162102410076, 162102310578]; Natural Science Foundation of Guangdong Province [2015A030310492]; Fundamental Research Project of Shenzhen Municipality [JCYJ20160301152145171]; National Natural Science Foundation of China [61402255, 61170292, 61373161, 61672470]; National key Research and Development projects intergovernmental cooperation in science and technology of China [12016YFE0100300, 12016YFE0100600]; Foundation of Henan Educational Committee [17A520064, 16A520062]</t>
  </si>
  <si>
    <t>Foundation of Henan science and Technology Department; Natural Science Foundation of Guangdong Province(National Natural Science Foundation of Guangdong Province); Fundamental Research Project of Shenzhen Municipality; National Natural Science Foundation of China(National Natural Science Foundation of China (NSFC)); National key Research and Development projects intergovernmental cooperation in science and technology of China(National Key Research &amp; Development Program of China); Foundation of Henan Educational Committee</t>
  </si>
  <si>
    <t>Foundation of Henan science and Technology Department, Grant/Award Number: No. 162102410076, No. 162102310578; Natural Science Foundation of Guangdong Province, Grant/Award Number: No. 2015A030310492 2015A030310492; Fundamental Research Project of Shenzhen Municipality, Grant/Award Number: JCYJ20160301152145171; National Natural Science Foundation of China, Grant/Award Numbers: 61402255, 61170292, 61373161 and 61672470; National key Research and Development projects intergovernmental cooperation in science and technology of China, Grant/Award Numbers: 12016YFE0100300 and 12016YFE0100600; Foundation of Henan Educational Committee, Grant/Award Numbers: 17A520064 and 16A520062</t>
  </si>
  <si>
    <t>1074-5351</t>
  </si>
  <si>
    <t>1099-1131</t>
  </si>
  <si>
    <t>INT J COMMUN SYST</t>
  </si>
  <si>
    <t>Int. J. Commun. Syst.</t>
  </si>
  <si>
    <t>MAY 10</t>
  </si>
  <si>
    <t>e3471</t>
  </si>
  <si>
    <t>10.1002/dac.3471</t>
  </si>
  <si>
    <t>GB1YW</t>
  </si>
  <si>
    <t>WOS:000428848600014</t>
  </si>
  <si>
    <t>Li, J; Xu, H</t>
  </si>
  <si>
    <t>Li, Jia; Xu, Hua</t>
  </si>
  <si>
    <t>Suggest what to tag: Recommending more precise hashtags based on users' dynamic interests and streaming tweet content</t>
  </si>
  <si>
    <t>Recommender systems; Social networks; Micro-blogging; Hashtag recommendation; Topic models; Online algorithms</t>
  </si>
  <si>
    <t>Twitter is an online social networking microblogging service that allows registered users to broadcast 140-character messages called tweets. The service has gained worldwide popularity since it was created in March 2006, with more than 316 million monthly active users in June 2015 who posted 500 million tweets. per day. As the number of available tweets grows, the problem of managing tweets becomes extremely difficult, which could lead to information overload. To avoid this problem, people use the hashtag symbol # before a relevant keyword or phrase in their tweets to categorize those tweets and help them show more easily in each Twitter search. Furthermore, hashtags can be used to collect public opinions on events and their ideas at the individual, community or even the world level. Incorporating hashtags to obtain better performance such as sentiment classification and breaking events detection also has attracted considerable research attention in recent years. However, there are very few tweets containing hashtags, which impedes the quality of search results and their further usage in various applications. Therefore, hashtag recommendation has become a particularly important research problem. In this paper, we first propose a novel model, namely online Twitter-User LDA to learn Twitter users' dynamic interests. Then considering the shortness, sparsity, and high volume of tweets, we introduce an effective method to discover the latent topics of streaming tweet content, which uses recently proposed incremental biterm topic model (IBTM). We finally design an automatic hashtag recommendation method called User-IBTM by combining the online Twitter-User LDA and IBTM. As shown in the experimental results on real world data from Twitter, our design method based on dynamic user interests and streaming tweet content significantly outperforms several other baseline methods and can suggest more precise hashtags. (C) 2016 Elsevier B.V. All rights reserved.</t>
  </si>
  <si>
    <t>[Li, Jia; Xu, Hua] Tsinghua Univ, Dept Comp Sci &amp; Technol, Tsinghua Natl Lab Informat Sci &amp; Technol, State Key Lab Intelligent Technol &amp; Syst, Beijing 100084, Peoples R China</t>
  </si>
  <si>
    <t>Tsinghua University</t>
  </si>
  <si>
    <t>Xu, H (corresponding author), Tsinghua Univ, Dept Comp Sci &amp; Technol, Tsinghua Natl Lab Informat Sci &amp; Technol, State Key Lab Intelligent Technol &amp; Syst, Beijing 100084, Peoples R China.</t>
  </si>
  <si>
    <t>basicvbvc@gmail.com; xuhua@tsinghua.edu.cn</t>
  </si>
  <si>
    <t>; xu, huayang/OLQ-6958-2025</t>
  </si>
  <si>
    <t>, Jay/0009-0003-6353-9310;</t>
  </si>
  <si>
    <t>National Basic Research Program of China (973 Program) [2012CB316301]; National Natural Science Foundation of China [61175110]; National Banking Information Technology Risk Management Projects of China</t>
  </si>
  <si>
    <t>National Basic Research Program of China (973 Program)(National Basic Research Program of China); National Natural Science Foundation of China(National Natural Science Foundation of China (NSFC)); National Banking Information Technology Risk Management Projects of China</t>
  </si>
  <si>
    <t>This work is supported by National Basic Research Program of China (973 Program) (Grant No: 2012CB316301), National Natural Science Foundation of China (Grant No: 61175110) and National Banking Information Technology Risk Management Projects of China.</t>
  </si>
  <si>
    <t>AUG 15</t>
  </si>
  <si>
    <t>10.1016/j.knosys.2016.05.047</t>
  </si>
  <si>
    <t>DR0ZA</t>
  </si>
  <si>
    <t>WOS:000379634200016</t>
  </si>
  <si>
    <t>Learning user interest dynamics with a three-descriptor representation</t>
  </si>
  <si>
    <t>JOURNAL OF THE AMERICAN SOCIETY FOR INFORMATION SCIENCE AND TECHNOLOGY</t>
  </si>
  <si>
    <t>Learning users' interest categories is challenging in a dynamic environment like the Web because they change over time, This article describes a novel scheme to represent a user's interest categories, and an adaptive algorithm to learn the dynamics of the user's interests through positive and negative relevance feedback. We propose a three-descriptor model to represent a user's interests, The proposed model maintains a long-term interest descriptor to capture the user's general interests and a short-term interest descriptor to keep track of the user's more recent, faster-changing interests. An algorithm based on the three-descriptor representation is developed to acquire high accuracy of recognition for long-term interests, and to adapt quickly to changing interests in the short-term, The model is also extended to multiple three-descriptor representations to capture a broader range of interests. Empirical studies confirm the effectiveness of this scheme to accurately model a user's interests and to adapt appropriately to various levels of changes in the user's interests.</t>
  </si>
  <si>
    <t>Texas A&amp;M Univ, Dept Comp Sci, College Stn, TX 77843 USA</t>
  </si>
  <si>
    <t>Widyantoro, DH (corresponding author), Texas A&amp;M Univ, Dept Comp Sci, College Stn, TX 77843 USA.</t>
  </si>
  <si>
    <t>JOHN WILEY &amp; SONS INC</t>
  </si>
  <si>
    <t>605 THIRD AVE, NEW YORK, NY 10158-0012 USA</t>
  </si>
  <si>
    <t>1532-2882</t>
  </si>
  <si>
    <t>J AM SOC INF SCI TEC</t>
  </si>
  <si>
    <t>J. Am. Soc. Inf. Sci. Technol.</t>
  </si>
  <si>
    <t>FEB 1</t>
  </si>
  <si>
    <t>10.1002/1532-2890(2000)9999:9999&lt;::AID-ASI1615&gt;3.3.CO;2-F</t>
  </si>
  <si>
    <t>406CU</t>
  </si>
  <si>
    <t>WOS:000167198000003</t>
  </si>
  <si>
    <t>Bansal, S; Gowda, K; Kumar, N</t>
  </si>
  <si>
    <t>Bansal, Shubhi; Gowda, Kushaan; Kumar, Nagendra</t>
  </si>
  <si>
    <t>A Hybrid Deep Neural Network for Multimodal Personalized Hashtag Recommendation</t>
  </si>
  <si>
    <t>Social networking (online); Visualization; Neural networks; Multimedia Web sites; Deep learning; Tagging; Behavioral sciences; Deep neural networks; hashtag recommendation; multimodal data analysis; social media analysis</t>
  </si>
  <si>
    <t>Users share information on social media platforms by posting visual and textual contents. Due to the massive influx of user-generated content, hashtags are extensively used to manage, organize, and categorize the content. Despite the usability of hashtags, many social media users refrain from assigning hashtags to their posts owing to the uncertainty in choosing appropriate hashtags. Several methods have been proposed to recommend hashtags using content-based information. However, multimodality and personalization aspects of hashtag recommendation have rarely been addressed. In light of the above, we propose a multimoDal pErSonalIzed hashtaG recommeNdation (DESIGN) method that incorporates relevant information embedded in textual and visual modalities of social media posts and models user interests to recommend a plausible set of hashtags. We use word-level attention (WA) on the textual modality followed by a parallel co-attention (PCA) mechanism to model the interaction between textual and visual modalities. Unlike the existing works, we present a hybrid deep neural network that capitalizes hashtags from multilabel classification (MLC) and sequence generation (SG) to recommend candidate hashtags for social media posts. We perform our experiments on social media datasets containing textual, visual, and user information. Experimental results show that the proposed method outperforms the state-of-the-art methods.</t>
  </si>
  <si>
    <t>[Bansal, Shubhi; Gowda, Kushaan; Kumar, Nagendra] Indian Inst Technol Indore, Indore 453552, India</t>
  </si>
  <si>
    <t>Indian Institute of Technology System (IIT System); Indian Institute of Technology (IIT) - Indore</t>
  </si>
  <si>
    <t>Bansal, S (corresponding author), Indian Inst Technol Indore, Indore 453552, India.</t>
  </si>
  <si>
    <t>phd2001201007@iiti.ac.in; cse190001031@iiti.ac.in; nagendra@iiti.ac.in</t>
  </si>
  <si>
    <t>; Bansal, Shubhi/LFT-8529-2024</t>
  </si>
  <si>
    <t>Kumar, Nagendra/0000-0003-4644-3168; Gowda, Kushaan/0000-0001-6921-2069; Bansal, Shubhi/0000-0002-8034-8220</t>
  </si>
  <si>
    <t>10.1109/TCSS.2022.3184307</t>
  </si>
  <si>
    <t>JUN 2022</t>
  </si>
  <si>
    <t>U5DP3</t>
  </si>
  <si>
    <t>WOS:000821548100001</t>
  </si>
  <si>
    <t>Mahmood, S</t>
  </si>
  <si>
    <t>Uhomoibhi, J; Costagliola, G; Zvacek, S; McLaren, BM</t>
  </si>
  <si>
    <t>Mahmood, Shumaila</t>
  </si>
  <si>
    <t>Effectiveness of an Instructional Intervention in Developing Critical Thinking Skills Role of Argument Mapping in Facilitating Learning of Critical Thinking Skills</t>
  </si>
  <si>
    <t>PROCEEDINGS OF THE 8TH INTERNATIONAL CONFERENCE ON COMPUTER SUPPORTED EDUCATION, VOL 1 (CSEDU)</t>
  </si>
  <si>
    <t>8th International Conference on Computer Supported Education (CSEDU)</t>
  </si>
  <si>
    <t>APR 21-23, 2016</t>
  </si>
  <si>
    <t>Rome, ITALY</t>
  </si>
  <si>
    <t>Critical Thinking Skills; Cognitive Load Theory; Argument Mapping; Instructional Interventions; Cognitive Tools; Learning and Instruction; Visualization Tools</t>
  </si>
  <si>
    <t>COGNITIVE LOAD THEORY; EXPERTISE; COMPUTER; DESIGN; MEMORY; FOOD</t>
  </si>
  <si>
    <t>This paper is focused on how argument mapping (AM) software can be helpful for developing critical thinking (CT) skills of initial teacher educators. The study discusses the usefulness of argument mapping software for lessening the cognitive load of students. The main study is conducted to test the effectiveness of an instructional intervention for the development of critical thinking skills. The effectiveness includes an assessment of the implementation process as well. The instructional intervention is comprised of computer supported (audio-video lectures and argument mapping) and non-computer supported (Communities of Inquiry discussions and concept mapping on paper) learning materials thought to enhance the CT skills of initial teacher educators in a public teacher education university in Pakistan. The teaching programme based on seven principles has several elements for teaching critical thinking of which one is computer supported visual representation (argument mapping). In this paper, the focus is on participants' accounts of the usefulness of visual representation (argument mapping) feature for the provision of critical thinking. The analysis shows the positive influence of computer-supported argument mapping in increasing student interest in learning CT. However, the belief that argument mapping increases critical thinking could not be determined in this study for design issues. Students found that AM help them lessening cognitive load while helping in structuring thoughts. The results from observations and interview responses are discussed for the implications of argument mapping in mainstream teaching at college/university level with regards to teaching critical thinking skills. The paper briefly discusses the possibility of placing cognitive load theory on instructional interventions explains a lot about complex learning environments, element interactivity and learning. Therefore, if rightly executed, visualization tools as part of teaching strategies for CT may increase the critical thinking skills.</t>
  </si>
  <si>
    <t>[Mahmood, Shumaila] Univ Southampton, Southampton Educ Sch, Univ Rd,So17 1bj, Southampton, Hants, England</t>
  </si>
  <si>
    <t>University of Southampton</t>
  </si>
  <si>
    <t>Mahmood, S (corresponding author), Univ Southampton, Southampton Educ Sch, Univ Rd,So17 1bj, Southampton, Hants, England.</t>
  </si>
  <si>
    <t>978-989-758-179-3</t>
  </si>
  <si>
    <t>10.5220/0005798003300336</t>
  </si>
  <si>
    <t>BG9FR</t>
  </si>
  <si>
    <t>WOS:000393154800034</t>
  </si>
  <si>
    <t>Zhao, JX; Su, BT; Rao, XL; Chen, ZD</t>
  </si>
  <si>
    <t>Zhao, Jiaxu; Su, Binting; Rao, Xuli; Chen, Zhide</t>
  </si>
  <si>
    <t>A Cross-Platform Personalized Recommender System for Connecting E-Commerce and Social Network</t>
  </si>
  <si>
    <t>FUTURE INTERNET</t>
  </si>
  <si>
    <t>social commerce; recommender system; topic model; CFUA</t>
  </si>
  <si>
    <t>MEDIA</t>
  </si>
  <si>
    <t>In this paper, we build a recommender system for a new study area: social commerce, which combines rich information about social network users and products on an e-commerce platform. The idea behind this recommender system is that a social network contains abundant information about its users which could be exploited to create profiles of the users. For social commerce, the quality of the profiles of potential consumers determines whether the recommender system is a success or a failure. In our work, not only the user's textual information but also the tags and the relationships between users have been considered in the process of building user profiling model. A topic model has been adopted in our system, and a feedback mechanism also been design in this paper. Then, we apply a collative filtering method and a clustering algorithm in order to obtain a high recommendation accuracy. We do an empirical analysis based on real data collected on a social network and an e-commerce platform. We find that the social network has an impact on e-commerce, so social commerce could be realized. Simulations show that our topic model has a better performance in topic finding, meaning that our profile-building model is suitable for a social commerce recommender system.</t>
  </si>
  <si>
    <t>[Zhao, Jiaxu; Rao, Xuli] Fuzhou Polytech, Dept Comp Sci, Fuzhou 350108, Peoples R China; [Su, Binting] Fujian Normal Univ, Network &amp; Data Ctr, Fuzhou 350007, Peoples R China; [Chen, Zhide] Fujian Normal Univ, Coll Comp &amp; Cyber Secur, Fuzhou 350007, Peoples R China</t>
  </si>
  <si>
    <t>Fujian Normal University; Fujian Normal University</t>
  </si>
  <si>
    <t>Su, BT (corresponding author), Fujian Normal Univ, Network &amp; Data Ctr, Fuzhou 350007, Peoples R China.;Chen, ZD (corresponding author), Fujian Normal Univ, Coll Comp &amp; Cyber Secur, Fuzhou 350007, Peoples R China.</t>
  </si>
  <si>
    <t>bintingsu@fjnu.edu.cn; zhidechen@fjnu.edu.cn</t>
  </si>
  <si>
    <t>2020 Youth Fund Project of Fuzhou Polytechnic [FZYKJJQN202001]; National Natural Science Foundation of China [62277010]; Fujian Natural Science Foundation [2021J011013, 2020J01132452]; Medical Innovation Project [2021CXA001]</t>
  </si>
  <si>
    <t>2020 Youth Fund Project of Fuzhou Polytechnic; National Natural Science Foundation of China(National Natural Science Foundation of China (NSFC)); Fujian Natural Science Foundation(Natural Science Foundation of Fujian Province); Medical Innovation Project</t>
  </si>
  <si>
    <t>This research was funded by the 2020 Youth Fund Project of Fuzhou Polytechnic, grant number FZYKJJQN202001. Additionally, the APC was funded by the 2020 Youth Fund Project of Fuzhou Polytechnic (FZYKJJQN202001). This work is also supported by the National Natural Science Foundation of China (62277010), the Fujian Natural Science Foundation (2021J011013 and 2020J01132452) and the Medical Innovation Project (2021CXA001).</t>
  </si>
  <si>
    <t>1999-5903</t>
  </si>
  <si>
    <t>Future Internet</t>
  </si>
  <si>
    <t>10.3390/fi15010013</t>
  </si>
  <si>
    <t>8D0AR</t>
  </si>
  <si>
    <t>WOS:000917962000001</t>
  </si>
  <si>
    <t>Wang, RJ; Huang, ZJ; Liu, SZ; Shao, HJ; Liu, DX; Li, JY; Wang, TS; Sun, DC; Yao, SC; Abdelzaher, T</t>
  </si>
  <si>
    <t>Wang, Ruijie; Huang, Zijie; Liu, Shengzhong; Shao, Huajie; Liu, Dongxin; Li, Jinyang; Wang, Tianshi; Sun, Dachun; Yao, Shuochao; Abdelzaher, Tarek</t>
  </si>
  <si>
    <t>DyDiff-VAE: A Dynamic Variational Framework for Information Diffusion Prediction</t>
  </si>
  <si>
    <t>SIGIR '21 - PROCEEDINGS OF THE 44TH INTERNATIONAL ACM SIGIR CONFERENCE ON RESEARCH AND DEVELOPMENT IN INFORMATION RETRIEVAL</t>
  </si>
  <si>
    <t>44th International ACM SIGIR Conference on Research and Development in Information Retrieval</t>
  </si>
  <si>
    <t>JUL 11-15, 2021</t>
  </si>
  <si>
    <t>ACM SIGIR,Assoc Comp Machinery</t>
  </si>
  <si>
    <t>Social Networks; Diffusion Prediction; Deep Learning; Variational Autoencoder; Attention</t>
  </si>
  <si>
    <t>This paper describes a novel diffusion model, DyDiff-VAE, for information diffusion prediction on social media. Given the initial content and a sequence of forwarding users, DyDiff-VAE aims to estimate the propagation likelihood for other potential users and predict the corresponding user rankings. Inferring user interests from diffusion data lies the foundation of diffusion prediction, because users often forward the information in which they are interested or the information from those who share similar interests. Their interests also evolve over time as the result of the dynamic social influence from neighbors and the time-sensitive information gained inside/outside the social media. Existing works fail to model users' intrinsic interests from the diffusion data and assume user interests remain static along the time. DyDiff-VAE advances the state of the art in two directions: (i) We propose a dynamic encoder to infer the evolution of user interests from observed diffusion data. (ii) We propose a dual attentive decoder to estimate the propagation likelihood by integrating information from both the initial cascade content and the forwarding user sequence. Extensive experiments on four real-world datasets from Twitter and Youtube demonstrate the advantages of the proposed model; we show that it achieves 43.3% relative gains over the best baseline on average. Moreover, it has the lowest run-time compared with recurrent neural network based models.</t>
  </si>
  <si>
    <t>[Wang, Ruijie; Liu, Shengzhong; Shao, Huajie; Liu, Dongxin; Li, Jinyang; Wang, Tianshi; Sun, Dachun; Abdelzaher, Tarek] Univ Illinois, Dept Comp Sci, Champaign, IL 61820 USA; [Huang, Zijie] Univ Calif Los Angeles, Dept Comp Sci, Los Angeles, CA 90024 USA; [Yao, Shuochao] Georgia State Univ, Dept Comp Sci, Atlanta, GA 30303 USA</t>
  </si>
  <si>
    <t>University of Illinois System; University of Illinois Urbana-Champaign; University of California System; University of California Los Angeles; University System of Georgia; Georgia State University</t>
  </si>
  <si>
    <t>Wang, RJ (corresponding author), Univ Illinois, Dept Comp Sci, Champaign, IL 61820 USA.</t>
  </si>
  <si>
    <t>ruijiew2@illinois.edu; zijiehuang@cs.ucla.edu; sl29@illinois.edu; hshao5@illinois.edu; dongxin3@illinois.edu; jinyang7@illinois.edu; tianshi3@illinois.edu; dsun18@illinois.edu; shuochao@gmu.edu; zaher@illinois.edu</t>
  </si>
  <si>
    <t>Li, Jinyang/KVB-9002-2024; Liu, Shengzhong/HNJ-2599-2023; Sun, Dachun/JWP-7922-2024</t>
  </si>
  <si>
    <t>Wang, Tianshi/0000-0002-3085-1434; Sun, Dachun/0000-0003-4000-2783</t>
  </si>
  <si>
    <t>DARPA [W911NF-17-C-0099]; DoD Basic Research Office [HQ00342110002]</t>
  </si>
  <si>
    <t>DARPA(United States Department of DefenseDefense Advanced Research Projects Agency (DARPA)); DoD Basic Research Office</t>
  </si>
  <si>
    <t>This work was funded in part by DARPA under award W911NF-17-C-0099, and by DoD Basic Research Office under award HQ00342110002.</t>
  </si>
  <si>
    <t>978-1-4503-8037-9</t>
  </si>
  <si>
    <t>10.1145/3404835.3462934</t>
  </si>
  <si>
    <t>BS4KH</t>
  </si>
  <si>
    <t>WOS:000719807900017</t>
  </si>
  <si>
    <t>Frikha, M; Turki, H; Mhiri, MB; Gargouri, F</t>
  </si>
  <si>
    <t>Frikha, Mohamed; Turki, Houcemeddine; Mhiri, Mohamed Ben Ahmed; Gargouri, Faiez</t>
  </si>
  <si>
    <t>Trust Level Computation based on Time-aware Social Interactions for Recommending Medical Tourism Destinations</t>
  </si>
  <si>
    <t>JOURNAL OF INFORMATION ASSURANCE AND SECURITY</t>
  </si>
  <si>
    <t>Recommender systems; User interests; Social trust; Medical tourism</t>
  </si>
  <si>
    <t>Social trust-based recommendation systems are currently based on the computation of the level of trust in users' interactions or on a combination of trust and similarity scores while generating recommendations. In this research paper, we propose a framework for a recommender system that is based on users' preferences on the one hand and on the opinions of their trusted friends on the other hand to return recommendations. A Trusted Friends' computation technique is developed to identify socially trusted friends in Facebook We have, therefore, showed the significance of the time of the interactions between users for a better detection of trusted friends. Afterwards, we have used this method to build an ontology-based medical tourism recommender system as a smart e-tourism tool able to recommend items based on the tendencies of the users and of their trusted friends in social network We have applied our tourism recommender system for the support of the customers of medical tourism services in Tunisia, we have implemented the system to evaluate the quality of the recommendations it generates and to prove its importance in improving the medical tourism domain, and we proved using an objective statistical method that traditional recommender systems can be enhanced through the time-aware incorporation of data from social networks; such as the preferences of the user and his trusted friends.</t>
  </si>
  <si>
    <t>[Frikha, Mohamed; Mhiri, Mohamed Ben Ahmed; Gargouri, Faiez] Univ Sfax, MIRACL Lab, Sfax, Tunisia; [Turki, Houcemeddine] Univ Sfax, Fac Med Sfax, Sfax, Tunisia</t>
  </si>
  <si>
    <t>Universite de Sfax; Multimedia, InfoRmation Systems &amp; Advancing Computing Laboratory (MIRACL); Universite de Sfax</t>
  </si>
  <si>
    <t>med.frikha@gmail.com; turkiabdelwaheb@hotmail.fr; med.mhiri@gmail.com; faiez.gargouri@isims.usf.tn</t>
  </si>
  <si>
    <t>Turki, Houcemeddine/J-8929-2013; Mhiri, Mohamed/OMK-8712-2025</t>
  </si>
  <si>
    <t>Mhiri, Mohamed/0009-0001-7934-7618</t>
  </si>
  <si>
    <t>DYNAMIC PUBLISHERS, INC</t>
  </si>
  <si>
    <t>ATLANTA</t>
  </si>
  <si>
    <t>PO BOX 48654, ATLANTA, GA 30362-0654 USA</t>
  </si>
  <si>
    <t>1554-1010</t>
  </si>
  <si>
    <t>1554-1029</t>
  </si>
  <si>
    <t>J INF ASSUR SECUR</t>
  </si>
  <si>
    <t>J. Inf. Assur. Secur.</t>
  </si>
  <si>
    <t>JS4UB</t>
  </si>
  <si>
    <t>WOS:000500300900003</t>
  </si>
  <si>
    <t>Walkington, C; Hayata, CA</t>
  </si>
  <si>
    <t>Walkington, Candace; Hayata, Carole A.</t>
  </si>
  <si>
    <t>Designing learning personalized to students' interests: balancing rich experiences with mathematical goals</t>
  </si>
  <si>
    <t>ZDM-MATHEMATICS EDUCATION</t>
  </si>
  <si>
    <t>Personalization; Personalized learning; Contextual grounding; Everyday math</t>
  </si>
  <si>
    <t>CONTEXT PERSONALIZATION; WORD PROBLEM; PERFORMANCE; REPRESENTATIONS; INSTRUCTION; PRINCIPLES; ATTITUDES; COMPUTER</t>
  </si>
  <si>
    <t>Context personalization is an instructional design principle where tasks are presented to students in the context of their interest areas like sports, music, or video games. Personalization allows for understanding of domain principles to be grounded in concrete and familiar experiences. By making connections to prior knowledge, personalization may reduce extraneous cognitive load, freeing up resources for the acquisition of new ideas. However, issues with adding seductive details that may distract learners, as well as mismatch between in-school and out-of-school mathematics, must be critically considered when designing for personalized learning. We review the research on personalization in mathematics, interpreting conflicting results by highlighting key cognitive considerations. Personalization can be implemented at radically different levels of depth, grain size, and ownership. We give an extended example of a promising intervention for personalized learning, drawing from research on problem-posing in algebra. We argue that interventions designed to draw upon students' experiences with quantities have potential to enhance learning. However, when the complex, situated experiences of students are mathematized, there is a tension between preserving the authenticity of their experience, and accomplishing desired mathematical goals.</t>
  </si>
  <si>
    <t>[Walkington, Candace; Hayata, Carole A.] Southern Methodist Univ, Dept Teaching &amp; Learning, 6401 Airline,Suite 301, Dallas, TX 75205 USA</t>
  </si>
  <si>
    <t>Walkington, C (corresponding author), Southern Methodist Univ, Dept Teaching &amp; Learning, 6401 Airline,Suite 301, Dallas, TX 75205 USA.</t>
  </si>
  <si>
    <t>cwalkington@smu.edu; chayata@smu.edu</t>
  </si>
  <si>
    <t>National Academy of Education's Spencer Postdoctoral Fellowship program</t>
  </si>
  <si>
    <t>Thank you to Alyssa Holland and Brian Kuria for their assistance with the transcripts. We also thank the participating classroom teachers. The work was funded by the National Academy of Education's Spencer Postdoctoral Fellowship program.</t>
  </si>
  <si>
    <t>1863-9690</t>
  </si>
  <si>
    <t>1863-9704</t>
  </si>
  <si>
    <t>ZDM-MATH EDUC</t>
  </si>
  <si>
    <t>ZDM-Math. Educ.</t>
  </si>
  <si>
    <t>10.1007/s11858-017-0842-z</t>
  </si>
  <si>
    <t>FB6XY</t>
  </si>
  <si>
    <t>WOS:000406286900004</t>
  </si>
  <si>
    <t>Nakatsuji, M; Yoshida, M; Ishida, T</t>
  </si>
  <si>
    <t>Nakatsuji, Makoto; Yoshida, Makoto; Ishida, Toru</t>
  </si>
  <si>
    <t>Detecting innovative topics based on user-interest ontology</t>
  </si>
  <si>
    <t>JOURNAL OF WEB SEMANTICS</t>
  </si>
  <si>
    <t>Detecting innovative topics; User-interest ontology; Measuring similarity between ontologies</t>
  </si>
  <si>
    <t>In this paper, we detect innovative topics, those that are new and hopefully interesting to the user. We try to expand user interests significantly by letting the user browse those topics. We first generate user-interest ontologies that allow user profiles to be constructed as a hierarchy of classes where a user interest weight is assigned to each class and instance. Next, we measure the similarity between user interests by using interest weights on their user-interest ontologies and generate user group G(U) that has high similarity to user u. The innovative topics for u are then detected by determining a suitable size of G(U) and analyzing the ontologies in G(U). (C) 2009 Elsevier B. V. All rights reserved.</t>
  </si>
  <si>
    <t>[Nakatsuji, Makoto] NTT Corp, NTT Cyber Solut Labs, Yokosuka, Kanagawa 2390847, Japan; NTT Facil Inc, Data Ctr Facil Dept, Minato Ku, Tokyo 1080023, Japan; [Ishida, Toru] Kyoto Univ, Dept Social Informat, Kyoto 6068501, Japan</t>
  </si>
  <si>
    <t>NTT, Inc; NTT Facilities Inc.; Kyoto University</t>
  </si>
  <si>
    <t>Nakatsuji, M (corresponding author), NTT Corp, NTT Cyber Solut Labs, 1-1 Hikarinooka, Yokosuka, Kanagawa 2390847, Japan.</t>
  </si>
  <si>
    <t>nakatsuji.makoto@lab.ntt.co.jp; yoshida2h@nttf.co.jp; ishida@i.kyoto-u.ac.jp</t>
  </si>
  <si>
    <t>Ishida, Toru/H-5553-2017</t>
  </si>
  <si>
    <t>Ishida, Toru/0000-0002-0479-4990</t>
  </si>
  <si>
    <t>1570-8268</t>
  </si>
  <si>
    <t>J WEB SEMANT</t>
  </si>
  <si>
    <t>J. Web Semant.</t>
  </si>
  <si>
    <t>10.1016/j.websem.2009.01.001</t>
  </si>
  <si>
    <t>458QH</t>
  </si>
  <si>
    <t>WOS:000267038100004</t>
  </si>
  <si>
    <t>Wang, XT; Leckie, C; Chan, J; Lim, KH; Vaithianathan, T</t>
  </si>
  <si>
    <t>Wang, Xiaoting; Leckie, Christopher; Chan, Jeffrey; Lim, Kwan Hui; Vaithianathan, Tharshan</t>
  </si>
  <si>
    <t>Improving Personalized Trip Recommendation by Avoiding Crowds</t>
  </si>
  <si>
    <t>CIKM'16: PROCEEDINGS OF THE 2016 ACM CONFERENCE ON INFORMATION AND KNOWLEDGE MANAGEMENT</t>
  </si>
  <si>
    <t>25th ACM International Conference on Information and Knowledge Management (CIKM)</t>
  </si>
  <si>
    <t>OCT 24-28, 2016</t>
  </si>
  <si>
    <t>IUPUI, Indianapolis, IN</t>
  </si>
  <si>
    <t>Assoc Comp Machinery,ACM Special Interest Grp Informat Retrieval,ACM SIGWEB,Ram Kumar Memorial Fdn,UIUC,AMiner,Whova,Alibaba Grp,Baidu,Huawei,Data Centric Alliance</t>
  </si>
  <si>
    <t>IUPUI</t>
  </si>
  <si>
    <t>Orienteering problem; location-based social network; trip recommendation</t>
  </si>
  <si>
    <t>There has been a growing interest in recommending trips for tourists using location-based social networks. The challenge of trip recommendation not only lies in searching for relevant points-of-interest (POIs) to form a personalized trip, but also selecting the best time of day to visit the POIs. Popular POIs can be too crowded during peak times, resulting in long queues and delays. In this work, we propose the Personalized Crowd-aware Trip Recommendation (PersCT) algorithm to recommend personalized trips that also avoid the most crowded times of the POIs. We model the problem as an extension of the Orienteering Problem with multiple constraints. We extract user interests by collaborative filtering and we propose an extension of the Ant Colony Optimisation algorithm to merge user interests with POI popularity and crowdedness data to recommend trips. We evaluate our algorithm using foot traffic information obtained from a real-life pedestrian sensor dataset and user travel histories extracted from a Flickr photo dataset. We show that our algorithm out-performs several benchmarks in achieving a balance between conflicting objectives by satisfying user interests while reducing the crowdedness of the trips.</t>
  </si>
  <si>
    <t>[Wang, Xiaoting; Leckie, Christopher; Lim, Kwan Hui] Univ Melbourne, Dept Comp &amp; Informat Syst, Melbourne, Vic 3010, Australia; [Chan, Jeffrey] RMIT Univ, Dept Comp Sci &amp; Informat Technol, Melbourne, Vic, Australia; [Vaithianathan, Tharshan] Chisholm Inst, Dandenong, Vic, Australia</t>
  </si>
  <si>
    <t>University of Melbourne; Royal Melbourne Institute of Technology (RMIT)</t>
  </si>
  <si>
    <t>Wang, XT (corresponding author), Univ Melbourne, Dept Comp &amp; Informat Syst, Melbourne, Vic 3010, Australia.</t>
  </si>
  <si>
    <t>wangx5@student.unimelb.edu.au; caleckie@unimelb.edu.au; jeffrey.chan@rmit.edu.au; limk2@student.unimelb.edu.au; Tharshan.Vaithianathan@chisholm.edu.au</t>
  </si>
  <si>
    <t>Lim, Kwan Hui/H-8416-2014</t>
  </si>
  <si>
    <t>Lim, Kwan Hui/0000-0002-4569-0901; Chan, Jeffrey/0000-0002-7865-072X</t>
  </si>
  <si>
    <t>978-1-4503-4073-1</t>
  </si>
  <si>
    <t>10.1145/2983323.2983749</t>
  </si>
  <si>
    <t>BG6XC</t>
  </si>
  <si>
    <t>WOS:000390890800004</t>
  </si>
  <si>
    <t>Han, XG; Shen, ZQ; Miao, CY; Luo, XD</t>
  </si>
  <si>
    <t>An, A; Lingras, P; Petty, S; Huang, R</t>
  </si>
  <si>
    <t>Han, Xiaogang; Shen, Zhiqi; Miao, Chunyan; Luo, Xudong</t>
  </si>
  <si>
    <t>Folksonomy-Based Ontological User Interest Profile Modeling and Its Application in Personalized Search</t>
  </si>
  <si>
    <t>ACTIVE MEDIA TECHNOLOGY</t>
  </si>
  <si>
    <t>6th International Conference on Active Media Technology</t>
  </si>
  <si>
    <t>AUG 28-30, 2010</t>
  </si>
  <si>
    <t>York Univ, Toronto, CANADA</t>
  </si>
  <si>
    <t>York Univ,Univ Regina</t>
  </si>
  <si>
    <t>York Univ</t>
  </si>
  <si>
    <t>User Modeling; User Interest Profile; Folksonomy; Ontology</t>
  </si>
  <si>
    <t>WEB SEARCH</t>
  </si>
  <si>
    <t>Information overload on the Internet is becoming more and more insufferable. The accurate representation of user interests is crucial to a successful information filtering system that are used to solve the issue of information overload. To model the users' interests more effectively, this paper investigate how to collect user tags from folksonomy and map them onto an existing domain ontology. The experiment that integrates our user interest profile model to a Web Search Engine shows that our approach can accurately capture user's multiple interests at the semantic level, and thus the personalized search performance is significantly improved compared with the state-of-the-art approaches.</t>
  </si>
  <si>
    <t>[Han, Xiaogang; Miao, Chunyan; Luo, Xudong] Nanyang Technol Univ, Sch Comp Engn, Nanyang Ave, Singapore 639798, Singapore; [Shen, Zhiqi] Nanyang Technol Univ, Sch Elect &amp; Elect Engn, Singapore 639798, Singapore</t>
  </si>
  <si>
    <t>Nanyang Technological University; Nanyang Technological University</t>
  </si>
  <si>
    <t>Han, XG (corresponding author), Nanyang Technol Univ, Sch Comp Engn, Nanyang Ave, Singapore 639798, Singapore.</t>
  </si>
  <si>
    <t>hanx0009@ntu.edu.sg; zqshen@ntu.edu.sg; ascymiao@ntu.edu.sg; xdluo@ntu.edu.sg</t>
  </si>
  <si>
    <t>; Miao, Chunyan/A-3730-2011</t>
  </si>
  <si>
    <t>Luo, Xudong/0000-0001-6940-9531; Miao, Chunyan/0000-0002-0300-3448</t>
  </si>
  <si>
    <t>978-3-642-15469-0</t>
  </si>
  <si>
    <t>Computer Science, Information Systems; Mathematics, Applied</t>
  </si>
  <si>
    <t>BSL35</t>
  </si>
  <si>
    <t>WOS:000284854200006</t>
  </si>
  <si>
    <t>Pandey, AM; Sang, BACY</t>
  </si>
  <si>
    <t>Pandey, A. Megha; Sang, B. Alex Chia Yong</t>
  </si>
  <si>
    <t>CAPTURING THE VISUAL LANGUAGE OF SOCIAL MEDIA EXPLOITING WEB IMAGE SEARCH FOR USER INTEREST PROFILING</t>
  </si>
  <si>
    <t>2015 IEEE INTERNATIONAL CONFERENCE ON MULTIMEDIA &amp; EXPO (ICME)</t>
  </si>
  <si>
    <t>IEEE International Conference on Multimedia and Expo</t>
  </si>
  <si>
    <t>IEEE International Conference on Multimedia and Expo (ICME)</t>
  </si>
  <si>
    <t>JUN 29-JUL 03, 2015</t>
  </si>
  <si>
    <t>Turin, ITALY</t>
  </si>
  <si>
    <t>user interest; social media; multimedia content analysis; web image search; image annotation</t>
  </si>
  <si>
    <t>With the rapid growth in the usage of social networks worldwide, uploading and sharing of user-generated content, both text and visual, has become increasingly prevalent. An analysis of the content a user shares and engages with can provide valuable insights into an individual's preferences and lifestyle. In this paper, we present a system to automatically infer a user's interests by analysing the content of the photos they share online. We propose a way to leverage web image search engines for detecting high-level semantic concepts, such as interests, in images, without relying on a large set of labeled images. We demonstrate the effectiveness of our system through quantitative and qualitative results on data collected from Instagram.</t>
  </si>
  <si>
    <t>[Pandey, A. Megha; Sang, B. Alex Chia Yong] Inst Infocomm Res, 1 Fusionopolis Way, Singapore 138632, Singapore</t>
  </si>
  <si>
    <t>Agency for Science Technology &amp; Research (A*STAR); A*STAR - Institute for Infocomm Research (I2R)</t>
  </si>
  <si>
    <t>Pandey, AM (corresponding author), Inst Infocomm Res, 1 Fusionopolis Way, Singapore 138632, Singapore.</t>
  </si>
  <si>
    <t>pandeym@i2r.a-star.edu.sg; yschia@i2r.a-star.edu.sg</t>
  </si>
  <si>
    <t>1945-7871</t>
  </si>
  <si>
    <t>978-1-4799-7082-7</t>
  </si>
  <si>
    <t>IEEE INT CON MULTI</t>
  </si>
  <si>
    <t>BF2OW</t>
  </si>
  <si>
    <t>WOS:000380486500092</t>
  </si>
  <si>
    <t>Tague, R; Maeder, AJ; Vandelanotte, C; Kolt, GS; Caperchione, CM; Rosenkranz, RR; Savage, TN; Van Itallie, A</t>
  </si>
  <si>
    <t>Maeder, AJ; Mars, M; Scott, RE</t>
  </si>
  <si>
    <t>Tague, Rhys; Maeder, Anthony J.; Vandelanotte, Corneel; Kolt, Gregory S.; Caperchione, Cristina M.; Rosenkranz, Richard R.; Savage, Trevor N.; Van Itallie, Anetta</t>
  </si>
  <si>
    <t>Assessing user engagement in a health promotion website using social networking</t>
  </si>
  <si>
    <t>GLOBAL TELEHEALTH 2014</t>
  </si>
  <si>
    <t>Studies in Health Technology and Informatics</t>
  </si>
  <si>
    <t>3rd International Global Telehealth Conference (GT)</t>
  </si>
  <si>
    <t>NOV 10-11, 2014</t>
  </si>
  <si>
    <t>Durban, SOUTH AFRICA</t>
  </si>
  <si>
    <t>Health promotion; online collaborative environment; physical activity; preventive health; social networking; user engagement; website; user profiling</t>
  </si>
  <si>
    <t>Remote provision of supportive mechanisms for preventive health is a fast-growing area in eHealth. Web-based interventions have been suggested as an effective way to increase adoption and maintenance of healthy lifestyle behaviours. This paper describes results obtained in the Walk 2.0 trial to promote physical activity through a self-managed walking programme, using a social networking website that provided an online collaborative environment. Engagement of participants with the website was assessed by monitoring usage of the individual social networking functions (e.g. status post). The results demonstrate that users generally preferred contributing non-interactive public posts of information concerned with their individual physical activity levels, and more occasionally communicating privately to friends. Further analysis of topics within posts was done by classifying word usage frequencies. Results indicated that the dominant topics are well aligned with the social environment within which physical activity takes place. Topics centred around four main areas: description of the activity, timing of the activity, affective response to the activity, and context within which the activity occurs. These findings suggest that strong levels of user awareness and communication occur in the social networking setting, indicative of beneficial self-image and self-actualisation effects.</t>
  </si>
  <si>
    <t>[Tague, Rhys; Maeder, Anthony J.] Univ Western Sydney, Sch Comp Engn &amp; Math, Telehlth Res &amp; Innovat Lab, Sydney, NSW, Australia; [Vandelanotte, Corneel; Van Itallie, Anetta] Cent Queensland Univ, Ctr Phys Act Studies, Sch Human Hlth &amp; Social Sci, Rockhampton, Qld, Australia; [Kolt, Gregory S.; Savage, Trevor N.] Univ Western Sydney, Sch Sci &amp; Hlth, Sydney, NSW, Australia; [Caperchione, Cristina M.] Univ British Columbia, Sch Hlth &amp; Exercise Sci, Vancouver, BC, Canada; [Rosenkranz, Richard R.] Kansas State Univ, Dept Human Nutr, Manhattan, KS 66506 USA</t>
  </si>
  <si>
    <t>Western Sydney University; Central Queensland University; Western Sydney University; University of British Columbia; University of British Columbia Okanagan; Kansas State University</t>
  </si>
  <si>
    <t>Tague, R (corresponding author), Univ Western Sydney, Sch Comp Engn &amp; Math, Locked Bag 1797, Penrith, NSW 2751, Australia.</t>
  </si>
  <si>
    <t>r.tague@uws.edu.au</t>
  </si>
  <si>
    <t>Tague, Rhys/PHE-2490-2026; Kolt, Gregory/W-1342-2019; Rosenkranz, Richard/HKO-3682-2023; Savage, Trevor/C-5709-2019; Vandelanotte, Corneel/ABF-5580-2020</t>
  </si>
  <si>
    <t>Kolt, Gregory/0000-0002-9223-3324; Caperchione, Cristina M/0000-0003-2290-5946; Rosenkranz, Richard/0000-0002-8242-3546; maeder, anthony/0000-0002-7398-2581; Savage, Trevor/0000-0001-6608-8664; Vandelanotte, Corneel/0000-0002-4445-8094; Van Itallie, Anetta/0000-0001-6506-1996; Tague, Rhys/0000-0002-1733-3827</t>
  </si>
  <si>
    <t>National Health and Medical Research Council [GNT0589903]</t>
  </si>
  <si>
    <t>National Health and Medical Research Council(National Health &amp; Medical Research Council (NHMRC) of Australia)</t>
  </si>
  <si>
    <t>This research was undertaken with partial support of the Walk 2.0 project funded by the National Health and Medical Research Council (Project Grant GNT0589903). The contributions of all members of the Walk 2.0 project are noted here with gratitude.</t>
  </si>
  <si>
    <t>0926-9630</t>
  </si>
  <si>
    <t>1879-8365</t>
  </si>
  <si>
    <t>978-1-61499-456-5; 978-1-61499-455-8</t>
  </si>
  <si>
    <t>STUD HEALTH TECHNOL</t>
  </si>
  <si>
    <t>10.3233/978-1-61499-456-5-84</t>
  </si>
  <si>
    <t>Health Care Sciences &amp; Services; Medical Informatics</t>
  </si>
  <si>
    <t>BL6LG</t>
  </si>
  <si>
    <t>WOS:000454389700010</t>
  </si>
  <si>
    <t>Hidayati, N; Wuryandari, AI</t>
  </si>
  <si>
    <t>Mamat, MN; Alias, NA; Jono, MNHH; Isa, MAM; AbAziz, A; Luaran, JE; Mohamad, SNA; Asarani, NAM; Ibrahim, Z</t>
  </si>
  <si>
    <t>Hidayati, Nur; Wuryandari, Aciek Ida</t>
  </si>
  <si>
    <t>Media Design for Learning Indonesian in Junior High School Level</t>
  </si>
  <si>
    <t>3RD INTERNATIONAL CONFERENCE ON E-LEARNING (ICEL 2011)</t>
  </si>
  <si>
    <t>3rd International Conference on e-Learning (ICeL)</t>
  </si>
  <si>
    <t>NOV 23-24, 2011</t>
  </si>
  <si>
    <t>Inst Teknologi Bandung (ITB), Bandung, INDONESIA</t>
  </si>
  <si>
    <t>SEAMOLEC,UiTM</t>
  </si>
  <si>
    <t>Inst Teknologi Bandung (ITB)</t>
  </si>
  <si>
    <t>learning media; Bahasa Indonesia; animation; e-learning</t>
  </si>
  <si>
    <t>Learning process based on the curriculum need to be supported by learning media, one of them is electronic media such as disc/tape, video, interactive animation, etc. Aplication of electronic media in learning process can be said as electronic learning (e-learning). Learn something without interested in the topics or the object studied will not provide the best result. To evoke and increase students learning interest can be implemented by giving a different touch in the learning process, such as by using animation to learn Indonesian in Junior High School. It is the language that is used nationally in Indonesia and it is included in education curricula from basic (primary) education to intermediate (secondary) education. In Nusa Tenggara Barat (NTB/West Nusa Tenggara), Indonesian is ranked the lowest in average on National Exams of the school year 2009/2010. In this study, design and implementation of Indonesain interaktive e-learning media should be as simple as possible. Subject that is included as learning content in this media are short story, drama, poetry, and news. The contents are Materi (material) and Latihan (exercise) that is designed in the form of a simple animation with Problem Based Learning (PBL) approach. Research location is Mataram, NTB. This application media tested in one of Junior High School in Mataram, namely SMP Negeri 11 Mataram. It tested in functionality and through a survey. Data collection carried out by using questionnaires, observation and interviews with principal/vice principal, teachers, and students. The result of this research show that animation media can be used by teachers as learning tools to give material in the class, in this case is Indonesian subjects, interactively in Junior High School. Student interest in the application of this e-learning media in school is high, so, it can attact students to learn because it really potential to create a pleasant learning atmosphere and to make learning easier for student to understand the topics presented. This is indicated by the ability of students to retell the topics/stories and to answer the questions very good. This media can help teachers to present learning materials/topics. Through this media, learning activities in Junior High School can be run more effectively. (C) 2012 The Authors. Published by Elsevier Ltd. Selection and/or peer-review under responsibility of i-Learn Centre, Universiti Teknologi MARA, Malaysia.</t>
  </si>
  <si>
    <t>[Wuryandari, Aciek Ida] Bandung Inst Technol, Sch Elect Engn &amp; Informat, Bandung 40132, Indonesia; [Hidayati, Nur] Educat Inst Qual Assurance, Mataram 83114, Indonesia</t>
  </si>
  <si>
    <t>Institute Technology of Bandung</t>
  </si>
  <si>
    <t>Wuryandari, AI (corresponding author), Bandung Inst Technol, Sch Elect Engn &amp; Informat, Bandung 40132, Indonesia.</t>
  </si>
  <si>
    <t>ida_nhd@yahoo.com.au</t>
  </si>
  <si>
    <t>10.1016/j.sbspro.2012.11.354</t>
  </si>
  <si>
    <t>BDN95</t>
  </si>
  <si>
    <t>WOS:000314112100053</t>
  </si>
  <si>
    <t>Predicting attributes and friends of mobile users from AP-Trajectories</t>
  </si>
  <si>
    <t>INFORMATION SCIENCES</t>
  </si>
  <si>
    <t>User profiling; Spatiotemporal trajectories; Social network</t>
  </si>
  <si>
    <t>Exploring the demographic attributes and social networks of Internet users is widely employed by many applications, such as recommendation systems. The popularity of mobile devices (notably smartphones) and location-based Internet services (e.g., Google Maps) facilitates the collection of users' locations over time. There have been recent efforts to predict users' attributes (e.g., age and gender) from this data, and location-based social networks such as Foursquare and Gowalla are based on using the rich location context knowledge of points of interest (e.g., the name, type and description of restaurants and hotels) where users check-in online. However, little attention has been paid to inferring the attributes and social networks of mobile device users based on their spatiotemporal trajectories where there is little or no location context knowledge. In this paper, we collect logs of thousands of mobile devices' network connections to wireless access points (APs) of two campuses, and investigate whether one can infer mobile device users' demographic attributes and social networks solely from their spatiotemporal AP-trajectories. We develop a tensor factorization-based method Dinfer to infer mobile device users' attributes from their AP-trajectories by leveraging prior knowledge. Compared with our previous work, which only considered users' social networks, Dinfer further utilizes AP spatial information and achieves a 2% improvement. We also propose a novel method Sinfer to learn social networks between mobile device users by exploring patterns of their AP-trajectories, such as fine-grained co-occurrence events (e.g., co-coming, co-leaving, and co-presenting duration). Experimental results on real-world datasets demonstrate the effectiveness and efficiency of our methods. (C) 2018 Elsevier Inc. All rights reserved.</t>
  </si>
  <si>
    <t>[Wang, Pinghui; Sun, Feiyang; Wang, Di; Tao, Jing; Guan, Xiaohong] Xi An Jiao Tong Univ, NSKEYLAB, Xian, Shaanxi, Peoples R China; [Wang, Pinghui; Guan, Xiaohong] Xi An Jiao Tong Univ, Shenzhen Res Sch, Xian, Shaanxi, Peoples R China; [Tao, Jing] Xi An Jiao Tong Univ, Zhejiang Res Inst, Xian, Shaanxi, Peoples R China; [Guan, Xiaohong] Tsinghua Univ, Dept Automat, Beijing, Peoples R China; [Guan, Xiaohong] Tsinghua Univ, NLIST Lab, Beijing, Peoples R China; [Bifet, Albert] Univ Paris Saclay, Telecom ParisTech, LTCI, Orsay, France</t>
  </si>
  <si>
    <t>Xi'an Jiaotong University; Xi'an Jiaotong University; Xi'an Jiaotong University; Tsinghua University; Tsinghua University; IMT - Institut Mines-Telecom; Institut Polytechnique de Paris; Universite Paris Saclay; Telecom Paris</t>
  </si>
  <si>
    <t>Sun, FY; Tao, J; Guan, XH (corresponding author), Xi An Jiao Tong Univ, NSKEYLAB, Xian, Shaanxi, Peoples R China.;Guan, XH (corresponding author), Xi An Jiao Tong Univ, Shenzhen Res Sch, Xian, Shaanxi, Peoples R China.;Tao, J (corresponding author), Xi An Jiao Tong Univ, Zhejiang Res Inst, Xian, Shaanxi, Peoples R China.;Guan, XH (corresponding author), Tsinghua Univ, Dept Automat, Beijing, Peoples R China.;Guan, XH (corresponding author), Tsinghua Univ, NLIST Lab, Beijing, Peoples R China.</t>
  </si>
  <si>
    <t>fysun@sei.xjtu.edu.cn; xhguan@sei.xjtu.edu.cn</t>
  </si>
  <si>
    <t>Bifet, Albert/ISA-9610-2023</t>
  </si>
  <si>
    <t>Bifet, Albert/0000-0002-8339-7773; Sun, Feiyang/0000-0002-0908-0559</t>
  </si>
  <si>
    <t>National Natural Science Foundation of China [61603290, 61602371, U1301254]; Ministry of Education - China Mobile Research Fund [MCM20160311]; Shenzhen Basic Research Grant [JCYJ20160229195940462]; SZSTI [JCYJ20170816100819428]; China Postdoctoral Science Foundation [2015M582663]; Natural Science Basic Research Plan in Shaanxi Province of China [2016JQ6034, 2017JM6095]; Natural Science Basic Research Plan in Zhejiang Province of China [LGG18F020016]</t>
  </si>
  <si>
    <t>National Natural Science Foundation of China(National Natural Science Foundation of China (NSFC)); Ministry of Education - China Mobile Research Fund; Shenzhen Basic Research Grant; SZSTI; China Postdoctoral Science Foundation(China Postdoctoral Science Foundation); Natural Science Basic Research Plan in Shaanxi Province of China(Natural Science Basic Research Plan in Shaanxi Province of China); Natural Science Basic Research Plan in Zhejiang Province of China</t>
  </si>
  <si>
    <t>The research presented in this paper is supported in part by National Natural Science Foundation of China (61603290, 61602371, U1301254), the Ministry of Education - China Mobile Research Fund (MCM20160311), Shenzhen Basic Research Grant (JCYJ20160229195940462), SZSTI (JCYJ20170816100819428), China Postdoctoral Science Foundation(2015M582663), Natural Science Basic Research Plan in Shaanxi Province of China (2016JQ6034, 2017JM6095), Natural Science Basic Research Plan in Zhejiang Province of China (LGG18F020016).</t>
  </si>
  <si>
    <t>0020-0255</t>
  </si>
  <si>
    <t>1872-6291</t>
  </si>
  <si>
    <t>INFORM SCIENCES</t>
  </si>
  <si>
    <t>Inf. Sci.</t>
  </si>
  <si>
    <t>10.1016/j.ins.2018.06.029</t>
  </si>
  <si>
    <t>GR5WP</t>
  </si>
  <si>
    <t>WOS:000442712900008</t>
  </si>
  <si>
    <t>Hu, R; Liu, JX</t>
  </si>
  <si>
    <t>Wang, G; Han, Q; Bhuiyan, MZA; Ma, X; Loulergue, F; Li, P; Roveri, M; Chen, L</t>
  </si>
  <si>
    <t>Hu, Rong; Liu, Jianxun</t>
  </si>
  <si>
    <t>An Operation-level Collaborative Filtering Approach based on Logistic Function for Web Services Recommendation</t>
  </si>
  <si>
    <t>2018 IEEE SMARTWORLD, UBIQUITOUS INTELLIGENCE &amp; COMPUTING, ADVANCED &amp; TRUSTED COMPUTING, SCALABLE COMPUTING &amp; COMMUNICATIONS, CLOUD &amp; BIG DATA COMPUTING, INTERNET OF PEOPLE AND SMART CITY INNOVATION (SMARTWORLD/SCALCOM/UIC/ATC/CBDCOM/IOP/SCI)</t>
  </si>
  <si>
    <t>IEEE SmartWorld, Ubiquitous Intelligence &amp; Computing, Advanced &amp; Trusted Computing, Scalable Computing &amp; Communications, Cloud &amp; Big Data Computing, Internet of People and Smart City Innovation (SmartWorld/SCALCOM/UIC/ATC/CBDCom/IOP/SCI)</t>
  </si>
  <si>
    <t>NOV 07-11, 2018</t>
  </si>
  <si>
    <t>IEEE Comp Soc,Guangzhou Univ</t>
  </si>
  <si>
    <t>operation-level; Collaborative Filtering; Logistic function; service recommendation</t>
  </si>
  <si>
    <t>With the proliferation of services on the web, it is increasingly vital to recommend services that best meet users' requirements. Collaborative filtering has been successfully used for service recommendation. However, it still faces two challenges: 1) to infer user interest from the service level is imprecise as a user often only calls several operations of a service; and 2) to calculate user interest similarity based on the sparse rating data is inaccurate as there are not enough co-rated services. In view of these challenges, an operation-level collaborative filtering approach based on Logistic function is proposed in this paper. First, according to the number of service operation calls, a user preference is calculated by a Logistic function. Then, collaborative filtering based on the usage preference rather than based on the sparse ratings is implemented for service recommendation. The effectiveness of this approach is verified by some experiments.</t>
  </si>
  <si>
    <t>[Hu, Rong; Liu, Jianxun] Hunan Univ Sci &amp; Tec, Key Lab Knowledge Proc &amp; Networked Mfg, Xiangtan, Hunan, Peoples R China</t>
  </si>
  <si>
    <t>Hu, R (corresponding author), Hunan Univ Sci &amp; Tec, Key Lab Knowledge Proc &amp; Networked Mfg, Xiangtan, Hunan, Peoples R China.</t>
  </si>
  <si>
    <t>ronghu@126.com; ljx529@gmail.com</t>
  </si>
  <si>
    <t>Natural Science Fund of China [61702181, 61602169]; Innovation Platform Open Foundation of Hunan Provincial Education Department [17K033]</t>
  </si>
  <si>
    <t>Natural Science Fund of China(National Natural Science Foundation of China (NSFC)); Innovation Platform Open Foundation of Hunan Provincial Education Department</t>
  </si>
  <si>
    <t>This work was supported by Natural Science Fund of China (No. 61702181, 61602169), and Innovation Platform Open Foundation of Hunan Provincial Education Department(No.17K033).</t>
  </si>
  <si>
    <t>978-1-5386-9380-3</t>
  </si>
  <si>
    <t>10.1109/SmartWorld.2018.00189</t>
  </si>
  <si>
    <t>BM0GQ</t>
  </si>
  <si>
    <t>WOS:000458742900153</t>
  </si>
  <si>
    <t>Yin, XS; Wu, B; Lin, XQ</t>
  </si>
  <si>
    <t>Hu, X; Lin, TY; Raghavan, V; Wah, B; BaezaYates, R; Fox, G; Shahabi, C; Smith, M; Yang, Q; Ghani, R; Fan, W; Lempel, R; Nambiar, R</t>
  </si>
  <si>
    <t>Yin, Xusen; Wu, Bin; Lin, Xiuqin</t>
  </si>
  <si>
    <t>A Unified Framework for Predicting Attributes and Links in Social Networks</t>
  </si>
  <si>
    <t>2013 IEEE INTERNATIONAL CONFERENCE ON BIG DATA</t>
  </si>
  <si>
    <t>IEEE International Conference on Big Data (Big Data)</t>
  </si>
  <si>
    <t>OCT 06-09, 2013</t>
  </si>
  <si>
    <t>IEEE,IEEE Comp Soc,CCF,Yahoo Labs,CISCO</t>
  </si>
  <si>
    <t>mutual reinforcement learning; friendship prediction; attribute inference; spark</t>
  </si>
  <si>
    <t>Node attributes and their associated links are two crucial components of user profiling in social networks. Recently, several research works show that both attributes and links are partially predictable by various classification methods. However, most of these works suffer from an isolation of attributes and links. In this paper, we propose a novel unified framework to predict attributes and links simultaneously, by a two-layer artificial neural network that encodes them in the same network. We obtain a better predictive accuracy on both attributes and links than the previous state-of-the-art methods, tested on different real-world datasets. Our results show that we can discover much more useful information in the whole social networks than in node attributes or their associated links alone.</t>
  </si>
  <si>
    <t>[Yin, Xusen; Wu, Bin; Lin, Xiuqin] Beijing Univ Posts &amp; Telecommun, Sch Comp Sci, Beijing 100088, Peoples R China</t>
  </si>
  <si>
    <t>Yin, XS (corresponding author), Beijing Univ Posts &amp; Telecommun, Sch Comp Sci, Beijing 100088, Peoples R China.</t>
  </si>
  <si>
    <t>yinxusen@bupt.edu.cn; wubin@bupt.edu.cn; xqlin@bupt.edu.cn</t>
  </si>
  <si>
    <t>2639-1589</t>
  </si>
  <si>
    <t>978-1-4799-1292-6; 978-1-4799-1293-3</t>
  </si>
  <si>
    <t>IEEE INT CONF BIG DA</t>
  </si>
  <si>
    <t>Computer Science, Information Systems; Computer Science, Theory &amp; Methods; Engineering, Electrical &amp; Electronic</t>
  </si>
  <si>
    <t>BA0BK</t>
  </si>
  <si>
    <t>WOS:000330831300205</t>
  </si>
  <si>
    <t>Wurm-Kuczera, RI; Koenig, JFL; Buentzel, J</t>
  </si>
  <si>
    <t>Wurm-Kuczera, Rebecca I.; Koenig, Julia F. L.; Buentzel, Judith</t>
  </si>
  <si>
    <t>Best Practices for Instagram in Medical Education: A Study With Randomized Post Designs</t>
  </si>
  <si>
    <t>IN VIVO</t>
  </si>
  <si>
    <t>Medical education; social media in teaching; Instagram; asynchronous learning; student engagement</t>
  </si>
  <si>
    <t>Background/Aim: Instagram is a widely used visual communication platform with over one billion global users. Its visual and interactive features suggest potential for use in medical education, particularly for asynchronous learning. Materials and Methods: To evaluate effective strategies for account promotion, content design, and outcome measurement, we launched the Instagram account ilearnonco2021 during a hematology and medical oncology teaching module. Educational posts were uploaded according to a randomized controlled protocol. Post engagement was assessed using 'likes' as a surrogate marker for student interest. These assumptions were cross-validated through a post-course survey assessing students' content preferences. Results: Of 126 enrolled students, 49 (38.9%) subscribed to the account, with the majority recruited following a personalized email and references in the online study guide. Single-slide posts received a similar number of likes as multi-slide posts. Combining clinical trial content with supplementary visuals (e.g., comics, mnemonics, images) did not significantly increase engagement compared to single-slide trial posts. Posts in the category mnemonics received significantly more likes than clinical trial posts (p=0.01). Compared to a prior cohort, the current group showed a significantly lower rate of engagement, measured in likes per follower and post. Conclusion: Instagram may serve as a supportive tool for asynchronous learning in medical education. However, its capacity to increase interest in clinical research appears limited. While 'likes' can indicate trends in engagement, they should be cross-validated with independent user surveys to ensure reliability.</t>
  </si>
  <si>
    <t>[Wurm-Kuczera, Rebecca I.] Charite Univ Med Ctr Berlin, Campus Benjamin Franklin, Dept Hematol Oncol &amp; Canc Immunol, Berlin, Germany; [Koenig, Julia F. L.] Heidelberg Univ, Heidelberg Univ Hosp, Natl Ctr Tumor Dis NCT Heidelberg, Dept Med Oncol,Med Fac,Sect Translat Med Eth, Heidelberg, Germany; [Buentzel, Judith] Univ Med Ctr Goettingen, Dept Hematol &amp; Med Oncol, Gottingen, Germany</t>
  </si>
  <si>
    <t>Free University of Berlin; Humboldt University of Berlin; Charite Universitatsmedizin Berlin; Ruprecht Karls University Heidelberg; Helmholtz Association; National Center for Tumor Diseases; German Cancer Research Center (DKFZ); University of Gottingen; University of Gottingen Hospital</t>
  </si>
  <si>
    <t>Buentzel, J (corresponding author), Robert Koch Str 40, D-37075 Gottingen, Germany.</t>
  </si>
  <si>
    <t>judith.buentzel@med.uni-goettingen.de</t>
  </si>
  <si>
    <t>; Buentzel, Judith/AAK-7850-2021</t>
  </si>
  <si>
    <t>Wurm-Kuczera, Rebecca/0000-0001-5838-3102;</t>
  </si>
  <si>
    <t>INT INST ANTICANCER RESEARCH</t>
  </si>
  <si>
    <t>ATHENS</t>
  </si>
  <si>
    <t>EDITORIAL OFFICE 1ST KM KAPANDRITIOU-KALAMOU RD KAPANDRITI, PO BOX 22, ATHENS 19014, GREECE</t>
  </si>
  <si>
    <t>0258-851X</t>
  </si>
  <si>
    <t>1791-7549</t>
  </si>
  <si>
    <t>In Vivo</t>
  </si>
  <si>
    <t>NOV-DEC</t>
  </si>
  <si>
    <t>10.21873/invivo.14149</t>
  </si>
  <si>
    <t>Medicine, Research &amp; Experimental</t>
  </si>
  <si>
    <t>Research &amp; Experimental Medicine</t>
  </si>
  <si>
    <t>9KB6N</t>
  </si>
  <si>
    <t>Green Published, Green Submitted, gold</t>
  </si>
  <si>
    <t>WOS:001608235100040</t>
  </si>
  <si>
    <t>Venugopal, KR; Srinivasa, KG; Patnaik, LM</t>
  </si>
  <si>
    <t>Evolutionary Approach for XML Data Mining</t>
  </si>
  <si>
    <t>SOFT COMPUTING FOR DATA MINING APPLICATIONS</t>
  </si>
  <si>
    <t>Extensible Markup Language(XML) has emerged as a medium for interoperability over the Internet. The XML technology, with its self-describing and extensible tags, is significantly contributing to the next generation semantic web. The present search techniques used for HTML and text documents are not efficient to retrieve relevant XML documents. In chapter four, Self Adaptive Genetic Algorithms for XML Search(SAGAXSearch) is presented to learn about the tags, which are useful in indexing. The indices and relationship strength metrics are used to extract fast and accurate semantically related elements in the XML documents. Experiments are conducted on the DataBase systems and Logic Programming (DBLP) XML corpus and are evaluated for precision and recall. The proposed SAGAXSearch outperforms the existing algorithms XSEarch and XRank with respect to accuracy and query execution time. As the number of documents published in the form of XML is increasing, there is a need for selective dissemination of XML documents based on user interests. In the proposed technique, a combination of Self Adaptive Genetic Algorithms and multi class Support Vector Machine is used to learn a user model. Based on the feedback from the users, the system automatically adapts to the users preference and interests. The user model and a similarity metric are used for selective dissemination of a continuous stream of XML documents. Experimental evaluations performed over a wide range of XML documents, indicate that the proposed approach significantly improves the performance of the selective dissemination task, with respect to accuracy and efficiency. On similar grounds, there is a need for categorization of XML documents into specific user interest categories. However, manually performing the categorization task is not feasible due to the sheer amount of XML documents available on the Internet. A machine learning approach to topic categorization which makes use of a multi class SVM for exploiting the semantic content of XML documents is also presented. The SVM is supplemented by a feature selection technique which is used to extract the useful features. Experimental evaluations performed over a wide range of XML documents indicate that the proposed approach significantly improves the performance of the topic categorization task, with respect to accuracy and efficiency.</t>
  </si>
  <si>
    <t>978-3-642-00192-5</t>
  </si>
  <si>
    <t>BJK92</t>
  </si>
  <si>
    <t>WOS:000266728800005</t>
  </si>
  <si>
    <t>Béjar, J; Alvarez, S; García, D; Gómez, I; Oliva, L; Tejeda, A; Vázquez-Salceda, J</t>
  </si>
  <si>
    <t>Bejar, J.; Alvarez, S.; Garcia, D.; Gomez, I.; Oliva, L.; Tejeda, A.; Vazquez-Salceda, J.</t>
  </si>
  <si>
    <t>Discovery of spatio-temporal patterns from location-based social networks</t>
  </si>
  <si>
    <t>JOURNAL OF EXPERIMENTAL &amp; THEORETICAL ARTIFICIAL INTELLIGENCE</t>
  </si>
  <si>
    <t>spatio-temporal data; clustering; location-based social networks; user profiling; data mining; frequent itemsets</t>
  </si>
  <si>
    <t>Location-based social networks (LBSNs) such as Twitter or Instagram are a good source for user spatio-temporal behaviour. These networks collect data from users in such a way that they can be seen as a set of collective and distributed sensors of a geographical area. A low rate sampling of user's location information can be obtained during large intervals of time that can be used to discover complex patterns, including mobility profiles, points of interest or unusual events. These patterns can be used as the elements of a knowledge base for different applications in different domains such as mobility route planning, touristic recommendation systems or city planning. The aim of this paper is twofold, first to analyse the frequent spatio-temporal patterns that users share when living and visiting a city. This behaviour is studied by means of frequent itemsets algorithms in order to establish some associations among visits that can be interpreted as interesting routes or spatio-temporal connections. Second, to analyse how the spatio-temporal behaviour of a large number of users can be segmented in different profiles. These behavioural profiles are obtained by means of clustering algorithms that show the different patterns of behaviour of visitors and citizens. The data analysed were obtained from the public data feeds of Twitter and Instagram within an area surrounding the cities of Barcelona and Milan for a period of several months. The analysis of these data shows that these kinds of algorithms can be successfully applied to data from any city (or general area) to discover useful patterns that can be interpreted on terms of singular places and areas and their temporal relationships.</t>
  </si>
  <si>
    <t>[Bejar, J.; Alvarez, S.; Garcia, D.; Gomez, I.; Oliva, L.; Tejeda, A.; Vazquez-Salceda, J.] Univ Politecn Cataluna, Dept Comp Sci, Barcelona, Spain</t>
  </si>
  <si>
    <t>Universitat Politecnica de Catalunya</t>
  </si>
  <si>
    <t>Béjar, J (corresponding author), Univ Politecn Cataluna, Dept Comp Sci, Barcelona, Spain.</t>
  </si>
  <si>
    <t>bejar@cs.upc.edu</t>
  </si>
  <si>
    <t>; Vazquez-Salceda, Javier/B-4289-2012; Bejar, Javier/L-4414-2014; Garcia-Gasulla, Dario/A-7601-2011</t>
  </si>
  <si>
    <t>Alvarez-Napagao, Sergio/0000-0001-9946-9703; Gómez-Sebastià, Ignasi/0009-0007-7101-7212; Vazquez-Salceda, Javier/0000-0003-1732-9446; Bejar, Javier/0000-0001-5281-3888; Garcia-Gasulla, Dario/0000-0001-6732-5641</t>
  </si>
  <si>
    <t>EU [ICT-FP7-289067]</t>
  </si>
  <si>
    <t>EU(European Union (EU))</t>
  </si>
  <si>
    <t>This work has been supported by the EU funded SUPERHUB project [grant number ICT-FP7-289067].</t>
  </si>
  <si>
    <t>0952-813X</t>
  </si>
  <si>
    <t>1362-3079</t>
  </si>
  <si>
    <t>J EXP THEOR ARTIF IN</t>
  </si>
  <si>
    <t>J. Exp. Theor. Artif. Intell.</t>
  </si>
  <si>
    <t>MAR 3</t>
  </si>
  <si>
    <t>10.1080/0952813X.2015.1024492</t>
  </si>
  <si>
    <t>DF9SF</t>
  </si>
  <si>
    <t>WOS:000371700700001</t>
  </si>
  <si>
    <t>Jing, CX; Qiu, LQ; Sun, CA; Yang, QY</t>
  </si>
  <si>
    <t>Jing, Caixia; Qiu, Liqing; Sun, Cheng'ai; Yang, Qingyu</t>
  </si>
  <si>
    <t>ICE-DEN: A click-through rate prediction method based on interest contribution extraction of dynamic attention intensity</t>
  </si>
  <si>
    <t>Social networks; Click-through rate prediction; Interest Contribution Extraction; Adaptive interest attention unit</t>
  </si>
  <si>
    <t>The goal of click-through rate prediction is to predict the probability of users clicking on items, and the improvement of its performance is still one of the core tasks in e-commerce. With the development of online social networks, users have access to a large amount of historical behavior data. The use of historical data for extracting user interests is crucial to the improvement of the click-through rate prediction performance. However, most existing methods ignore the importance of dynamic attention intensity. Therefore, this paper proposes an interest enhancement method based on dynamic relationships called Interest Contribution Extraction (ICE). This method first obtains the dynamic interest intensity by considering the dynamic changes in interest. Then, an adaptive interest attention unit is constructed to collect users' different interest and attention strengths for different candidate items. Based on the ICE method, a new click-through rate prediction model called the Deep Extraction Network based on Interest Contribution Extraction (ICE-DEN) is proposed. The model obtains a user's low-dimensional features through the embedding layer. Mini-batch perception regularization and the Dice activation function are used to help train deep learning networks with a large number of parameters. The ICE-DEN model has achieved better prediction results than other models on three real datasets.(C) 2022 Published by Elsevier B.V.</t>
  </si>
  <si>
    <t>[Jing, Caixia; Qiu, Liqing; Sun, Cheng'ai] Shandong Univ Sci &amp; Technol, Coll Comp Sci &amp; Engn, Shandong Prov Key Lab Wisdom Mine Informat Technol, Qingdao, Peoples R China; [Yang, Qingyu] Shandong Univ Sci &amp; Technol, Intelligent Equipment Coll, Tai An, Peoples R China; [Qiu, Liqing] Shandong Univ Sci &amp; Technol, Coll Comp Sci &amp; Engn, Qingdao 266590, Peoples R China</t>
  </si>
  <si>
    <t>Shandong University of Science &amp; Technology; Shandong University of Science &amp; Technology; Shandong University of Science &amp; Technology</t>
  </si>
  <si>
    <t>Qiu, LQ (corresponding author), Shandong Univ Sci &amp; Technol, Coll Comp Sci &amp; Engn, Qingdao 266590, Peoples R China.</t>
  </si>
  <si>
    <t>skd994213@sdust.edu.cn</t>
  </si>
  <si>
    <t>Acknowledgments This work was supported by the National Natural Science Foundation of China under grant nos. 61702305, 11971270, and 61903089, and the China Postdoctoral Science Foundation under grant no. 2017M622234.</t>
  </si>
  <si>
    <t>10.1016/j.knosys.2022.109135</t>
  </si>
  <si>
    <t>2D1KA</t>
  </si>
  <si>
    <t>WOS:000811313600016</t>
  </si>
  <si>
    <t>Walkington, C; Bernacki, M</t>
  </si>
  <si>
    <t>Walkington, Candace; Bernacki, Matthew</t>
  </si>
  <si>
    <t>Students authoring personalized algebra stories: Problem-posing in the context of out-of-school interests</t>
  </si>
  <si>
    <t>Problem-posing; Algebra; Personalization; Interest; Funds of knowledge</t>
  </si>
  <si>
    <t>WORD-PROBLEM; MATHEMATICS; PERFORMANCE; ADOLESCENCE; INSTRUCTION; ACHIEVEMENT; SCIENCE; DESIGN; GENDER; SYSTEM</t>
  </si>
  <si>
    <t>Algebra is an important subject for students' educational and economic futures; however student interest in mathematics declines over adolescence. Bringing together research on personalizing learning to students' interests and research on student problem-posing offers a potentially important approach to enhancing algebraic understanding. We engaged 24 students in one-on-one interview sessions where they solved and posed algebra story problems based on their out-of-school interests in topics like sports, video games, and social networking. We found that participating in the session enhanced interest in mathematics. However students encountered some difficulties with algebraic problem-posing, including using precise language, accounting for the intercept term, and conceptualizing a relationship between unknown quantities. Using six cases of more successful and less successful students, we uncovered three themes: students' funds of knowledge about their interest areas acted as an important scaffold, as did prior knowledge of algebra and a grasp of school norms related to story problems. This study reveals how students' out-of-school interests can support the learning of algebra, while also providing a critical examination of the assumptions underlying problem-posing. (C) 2015 Elsevier Inc. All rights reserved.</t>
  </si>
  <si>
    <t>[Walkington, Candace] So Methodist Univ, 3101 Univ Blvd,Ste 345, Dallas, TX 75205 USA; [Bernacki, Matthew] Univ Nevada, Las Vegas, NV 89012 USA</t>
  </si>
  <si>
    <t>Walkington, C (corresponding author), So Methodist Univ, 3101 Univ Blvd,Ste 345, Dallas, TX 75205 USA.</t>
  </si>
  <si>
    <t>cwalkington@smu.edu; matt.bernacki@univ.edu</t>
  </si>
  <si>
    <t>10.1016/j.jmathb.2015.08.001</t>
  </si>
  <si>
    <t>DL7WT</t>
  </si>
  <si>
    <t>WOS:000375851800003</t>
  </si>
  <si>
    <t>Yi, S; Long, ZS; Ning, WJ</t>
  </si>
  <si>
    <t>Zhou, F; Wu, X</t>
  </si>
  <si>
    <t>SongYi; Long, Zhang Shi; Ning, Wang Jia</t>
  </si>
  <si>
    <t>The Research on Personalized Query Expansion Technology</t>
  </si>
  <si>
    <t>PROCEEDINGS OF THE 2ND INTERNATIONAL CONFERENCE ON ELECTRONICS, NETWORK AND COMPUTER ENGINEERING (ICENCE 2016)</t>
  </si>
  <si>
    <t>ACSR-Advances in Computer Science Research</t>
  </si>
  <si>
    <t>2nd International Conference on Electronics, Network and Computer Engineering (ICENCE)</t>
  </si>
  <si>
    <t>AUG 13-14, 2016</t>
  </si>
  <si>
    <t>Yinchuan, PEOPLES R CHINA</t>
  </si>
  <si>
    <t>Personalized; Query; Eextension Technology</t>
  </si>
  <si>
    <t>The current information retrieval system, there are still some problems, such as incremental information collection of web crawler, index dynamic updating and compression, results sorting, audio and video retrieval, query language visualization and so on. The results returned users are most concerned about whether to meet the needs of retrieval. Query by example rocket, for sports fans user search intention is rocket related to the sports information, and of military enthusiasts search intention is indeed rocket principle or rocket launch military category information. Usually user input query string is shorter, search engine is very difficult to identify the user interests preference categories, in this paper inspired if the query expansion, with the user query related information into the query expansion base, feedback to the search system, add user interest model, identification of user interests to be more clear identification of user interests preference categories. In this paper, based on dictionary and based on relevant feedback combined with method of personalized query expansion and effectively identified user interests preference categories.</t>
  </si>
  <si>
    <t>[SongYi; Long, Zhang Shi; Ning, Wang Jia] HuaDe Univ Harbin, Dept Comp, Harbin, Peoples R China</t>
  </si>
  <si>
    <t>Harbin Huade University</t>
  </si>
  <si>
    <t>Yi, S (corresponding author), HuaDe Univ Harbin, Dept Comp, Harbin, Peoples R China.</t>
  </si>
  <si>
    <t>songyiyouxiang@163.com</t>
  </si>
  <si>
    <t>2352-538X</t>
  </si>
  <si>
    <t>978-94-6252-229-9</t>
  </si>
  <si>
    <t>ACSR ADV COMPUT</t>
  </si>
  <si>
    <t>Computer Science, Interdisciplinary Applications; Computer Science, Theory &amp; Methods; Engineering, Multidisciplinary</t>
  </si>
  <si>
    <t>BG8UP</t>
  </si>
  <si>
    <t>WOS:000392723400055</t>
  </si>
  <si>
    <t>Erlandsson, F; Boldt, M; Johnson, H</t>
  </si>
  <si>
    <t>Erlandsson, Fredrik; Boldt, Martin; Johnson, Henric</t>
  </si>
  <si>
    <t>Privacy Threats Related to User Profiling in Online Social Networks</t>
  </si>
  <si>
    <t>PROCEEDINGS OF 2012 ASE/IEEE INTERNATIONAL CONFERENCE ON PRIVACY, SECURITY, RISK AND TRUST AND 2012 ASE/IEEE INTERNATIONAL CONFERENCE ON SOCIAL COMPUTING (SOCIALCOM/PASSAT 2012)</t>
  </si>
  <si>
    <t>ASE/IEEE International Conference on Privacy, Security, Risk and Trust / ASE/IEEE International Conference on Social Computing (SocialCom/PASSAT)</t>
  </si>
  <si>
    <t>SEP 03-05, 2012</t>
  </si>
  <si>
    <t>Amsterdam, NETHERLANDS</t>
  </si>
  <si>
    <t>IEEE,IEEE Comp Soc,Acad Sci &amp; Engn</t>
  </si>
  <si>
    <t>Online social network; privacy; user profiling; social interactions</t>
  </si>
  <si>
    <t>The popularity of Online Social Networks (OSNs) has increased the visibility of users profiles and interactions performed between users. In this paper we structure different privacy threats related to OSNs and describe six different types of privacy threats. One of these threats, named public information harvesting, is previously not documented so we therefore present it in further detail by also presenting the results from a proof-of-concept implementation of that threat. The basis of the attack is gathering of user interactions from various open groups on Facebook which then is transformed into a social interaction graph. Since the data gathered from the OSN originates from open groups it could be executed by any third-party connected to the Internet independently of the users' privacy settings. In addition to presenting the different privacy threats we also we propose a range of different protection techniques.</t>
  </si>
  <si>
    <t>[Erlandsson, Fredrik; Boldt, Martin; Johnson, Henric] Blekinge Inst Technol, Sch Comp, Karlskrona, Sweden</t>
  </si>
  <si>
    <t>Blekinge Institute Technology</t>
  </si>
  <si>
    <t>Erlandsson, F (corresponding author), Blekinge Inst Technol, Sch Comp, Karlskrona, Sweden.</t>
  </si>
  <si>
    <t>fredrik.erlandsson@bth.se; martin.boldt@bth.se; henric.johnson@bth.se</t>
  </si>
  <si>
    <t>Erlandsson, Freik/O-3570-2015; Boldt, Martin/J-4958-2019</t>
  </si>
  <si>
    <t>Erlandsson, Freik/0000-0003-3219-9598; Boldt, Martin/0000-0002-9316-4842</t>
  </si>
  <si>
    <t>978-0-7695-4848-7; 978-1-4673-5638-1</t>
  </si>
  <si>
    <t>10.1109/SocialCom-PASSAT.2012.16</t>
  </si>
  <si>
    <t>BG8UA</t>
  </si>
  <si>
    <t>WOS:000392709700105</t>
  </si>
  <si>
    <t>Yang, K; Zhu, JH</t>
  </si>
  <si>
    <t>Yang, Kang; Zhu, Jinghua</t>
  </si>
  <si>
    <t>Next POI Recommendation via Graph Embedding Representation From H-Deepwalk on Hybrid Network</t>
  </si>
  <si>
    <t>LBSN; next-POI recommendation; LSTM; DeepWalk</t>
  </si>
  <si>
    <t>With the rapid development of location-based social networks (LBSNs), point of interest (POI) recommendation has become more and more popular personalized service. Cold start problem and poor interpretability are two main challenges of the traditional recommendation system. In this paper, we propose a novel social and sequence-aware next POI recommendation model. Our model utilizes an improved DeepWalk on heterogeneous network to learn better POI representation which contains social relationship and geographical influence. In this way, the cold start problem and interpretability problem can be solved to some extend. As for the user preference learning, we use LSTM (Long Short-Term Memory) mechanism to infer user interest, taking both long term and short term intentions into consideration. The model is trained in a metric learning framework. The experimental results on two real LBSN datasets show our model has outstanding performance in terms of AUC, Recall, and ACC. Furthermore, we can obtain 20% performance improvement on spare dataset which indicates that our model can well solve the cold start problem.</t>
  </si>
  <si>
    <t>[Yang, Kang; Zhu, Jinghua] Heilongjiang Univ, Sch Comp Sci &amp; Technol, Harbin 150080, Heilongjiang, Peoples R China</t>
  </si>
  <si>
    <t>Heilongjiang University</t>
  </si>
  <si>
    <t>Zhu, JH (corresponding author), Heilongjiang Univ, Sch Comp Sci &amp; Technol, Harbin 150080, Heilongjiang, Peoples R China.</t>
  </si>
  <si>
    <t>zhujinghua@hlju.edu.cn</t>
  </si>
  <si>
    <t>yang, kang/ABB-9679-2020</t>
  </si>
  <si>
    <t>10.1109/ACCESS.2019.2956138</t>
  </si>
  <si>
    <t>KF6OB</t>
  </si>
  <si>
    <t>WOS:000509358000013</t>
  </si>
  <si>
    <t>Kang, J; Choi, H; Lee, H</t>
  </si>
  <si>
    <t>Kang, Jaeyong; Choi, HongSeok; Lee, Hyunju</t>
  </si>
  <si>
    <t>Deep recurrent convolutional networks for inferring user interests from social media</t>
  </si>
  <si>
    <t>Text mining; User profile; Deep learning; Text categorization; Recommendation systems; Social media</t>
  </si>
  <si>
    <t>Online social media services, such as Facebook and Twitter, have recently increased in popularity. Although determining the subjects of individual posts is important for extracting users' interests from social media, this task is nontrivial because posts are highly contextualized, informal, and limited in length. To address this problem, we propose a deep-neural-network-based approach for predicting user interests in social media. In our framework, a word-embedding technique is used to map the words in social media content into vectors. These vectors are used as input to a bidirectional gated recurrent unit (biGRU). Then, the output of the biGRU and the word-embedding vectors are used to construct a sentence matrix. The sentence matrix is then used as input to a convolutional neural network (CNN) model to predict a user's interests. Experimental results show that our proposed method combining biGRU and CNN models outperforms existing methods for identifying users' interests from social media. In addition, posts in social media are sensitive to trends and change with time. Here, we collected posts from two different social media platforms at different time intervals, and trained the proposed model with one set of social media data and tested it with another set of social media data. The experimental results showed that our proposed model can predict users' interests from the independent data set with high accuracies.</t>
  </si>
  <si>
    <t>[Kang, Jaeyong; Choi, HongSeok; Lee, Hyunju] Gwangju Inst Sci &amp; Technol, Sch Elect Engn &amp; Comp Sci, Gwangju, South Korea</t>
  </si>
  <si>
    <t>Lee, H (corresponding author), Gwangju Inst Sci &amp; Technol, Sch Elect Engn &amp; Comp Sci, Gwangju, South Korea.</t>
  </si>
  <si>
    <t>kjysmu@gist.ac.kr; hongking9@gist.ac.kr; hyunjulee@gist.ac.kr</t>
  </si>
  <si>
    <t>Choi, Hongseok/JHU-3277-2023; Lee, Hyunju/JPX-6538-2023</t>
  </si>
  <si>
    <t>Choi, Hongseok/0000-0002-3006-617X; Lee, Hyunju/0000-0003-2389-7183</t>
  </si>
  <si>
    <t>Ministry of Science, ICT and Future Planning through the National Research Foundation [NRF-2016M3A9C4939665]; Ministry of Culture, Sports and Tourism (MCST); Korea Creative Content Agency (KOCCA) in the Culture Technology (CT) Research &amp; Development Program 2016</t>
  </si>
  <si>
    <t>Ministry of Science, ICT and Future Planning through the National Research Foundation(National Research Foundation of KoreaMinistry of Science &amp; ICT (MMSTI)); Ministry of Culture, Sports and Tourism (MCST)(Ministry of Culture, Sports &amp; Tourism (MCST), Republic of Korea); Korea Creative Content Agency (KOCCA) in the Culture Technology (CT) Research &amp; Development Program 2016(Korea Creative Content Agency (KOCCA))</t>
  </si>
  <si>
    <t>This research was supported by the Bio-Synergy Research Project (NRF-2016M3A9C4939665) of the Ministry of Science, ICT and Future Planning through the National Research Foundation, and by Ministry of Culture, Sports and Tourism (MCST) and Korea Creative Content Agency (KOCCA) in the Culture Technology (CT) Research &amp; Development Program 2016.</t>
  </si>
  <si>
    <t>10.1007/s10844-018-0534-3</t>
  </si>
  <si>
    <t>HJ1WX</t>
  </si>
  <si>
    <t>WOS:000456956900008</t>
  </si>
  <si>
    <t>Mo, F; Fan, X; Chen, CX; Bai, CH; Yamana, H</t>
  </si>
  <si>
    <t>Mo, Fan; Fan, Xin; Chen, Chongxian; Bai, Changhao; Yamana, Hayato</t>
  </si>
  <si>
    <t>Sampling-based epoch differentiation calibrated graph convolution network for point-of-interest recommendation</t>
  </si>
  <si>
    <t>Recommendation calibration; Graph convolution network; POI recommendation</t>
  </si>
  <si>
    <t>In location-based social networks, calibrating a point-of-interest (POI) recommendation system is as important as its accuracy for improving user satisfaction. POI recommendation calibration is primarily classified as categorical or geographical calibration. Categorical calibration ensures that the recommended items are distributed proportionally among the past interest categories of the target user. When a target user checks 80 Chinese, 10 Japanese, and 10 French restaurants, a recommendation list with a ratio of 8:1:1 for Chinese, Japanese, and French restaurants can be reasonably expected. In addition to categorical calibration, geographical calibration has been proposed to increase user interest in the recommended results. Users have a high probability of revisiting locations in their subareas. Therefore, the POIs recommended in multiple subareas of interest are more suitable than those from one small and frequently visited subarea. However, improving the calibration and accuracy are conflicting tasks. To achieve high calibration while maintaining accuracy, previous studies proposed reranking-based techniques to rerank the candidate list and return POIs with high calibration. However, optimizing the calibration by reranking is independent of the basic-candidate-item generation model, resulting in a suboptimal system. To tackle the problem, we propose a novel sampling-based differentiation technique to merge the task of improving calibration into the GCN model training process and directly generate the final recommendation list. The model is flexible and can be applied to different domains, where a domain can be a subarea or category. In a three-layer GCN, the layer one represents the historical check-ins of the user, whereas layer three includes the candidate POIs from which the target user aggregates information. We trained the model to make the distribution of the POI domains at layer three approximated the distribution at layer one. Experimental results on Philadelphia and Tucson datasets confirmed that the proposed method outperforms all state-ofthe-art GCN+ geo-reranking and GCN+ MCF baselines, improving Recall@ 5 from 0.0394 to 0.0412 (4.57%) and Jensen-Shannon measure (JS)@ 5 from 0.5931 to 0.6734 (13.54%) on the Philadelphia dataset and improving Recall@ 5 from 0.0495 to 0.0517 (4.40%) and JS@ 5 from 0.5869 to 0.6598 (12.42%) on the Tucson dataset for categorical calibration. The model was also tested in the geographical domain and a similar trend was observed.</t>
  </si>
  <si>
    <t>[Mo, Fan; Fan, Xin; Chen, Chongxian; Bai, Changhao] Waseda Univ, Dept CSCE, Tokyo, Japan; [Yamana, Hayato] Waseda Univ, Fac Sci &amp; Engn, Tokyo, Japan</t>
  </si>
  <si>
    <t>Waseda University; Waseda University</t>
  </si>
  <si>
    <t>Mo, F (corresponding author), Waseda Univ, Dept CSCE, Tokyo, Japan.</t>
  </si>
  <si>
    <t>bakubonn@toki.waseda.jp</t>
  </si>
  <si>
    <t>MO, FAN/LXW-9408-2024; yamana, hayato/IZE-8553-2023</t>
  </si>
  <si>
    <t>MO, FAN/0009-0008-0681-3391;</t>
  </si>
  <si>
    <t>FEB 28</t>
  </si>
  <si>
    <t>10.1016/j.neucom.2023.127140</t>
  </si>
  <si>
    <t>DEC 2023</t>
  </si>
  <si>
    <t>GL5F7</t>
  </si>
  <si>
    <t>WOS:001152830100001</t>
  </si>
  <si>
    <t>Zheng, YS; Zhou, X</t>
  </si>
  <si>
    <t>Zheng, Yongshang; Zhou, Xu</t>
  </si>
  <si>
    <t>Modeling multi-factor user preferences based on Transformer for next point of interest recommendation</t>
  </si>
  <si>
    <t>Location-based social network; Next POI recommendation; Graph neural network; Transformer</t>
  </si>
  <si>
    <t>With the rapid development of the mobile network and the gradual popularization of mobile devices, more and more users try to find attractive places to visit through WeChat, Twitter applications. In this trend, personalized next point of interest(POI) recommendation in the Location-based Social Network (LBSN) has become the focus of research and practice. Most existing studies capture user interest changes between different days (i.e. weekend and weekday), however, they ignore seasonal factors in time transition and category factors and thus fail to capture seasonal-level and category-level movement patterns in users' mobile trajectories. Besides, they neglect the relevance between POIs from all users' trajectory and fail to generate expressive POI embedding representation without constructing trajectory graph, which will reduce the accuracy of the next POI recommendation. To address the issues above, a next POI recommendation method for modeling Multi-factor User Preferences based on Transformer (MUPT) is developed, which consists of a global POI relationship modeling, a local multi-factor user preference modeling and a prediction module. It first learns the collaborative information of users with similar behavior to generate expressive POI embedding representation. Then it captures the personalized movement patterns of users at the POI, category and time levels based on Transformer mechanism in the local module. Especially the seasonal and other fine-grained information on the time series are learned in the time preference modeling part. The prediction module designed tracks the relationship between multi-level motion pattern representation of user check-in behavior and the next POI accessed by the user, and it finally obtains user's preference probability for next POIs. An extensive experiment has been conducted on four datasets, and the experimental results analysis demonstrates that our proposed MUPT method is superior to other methods in terms of accuracy(ACC), mean reciprocal rank(MRR) and normalized discounted cumulative gain(NDCG).</t>
  </si>
  <si>
    <t>[Zheng, Yongshang] Jilin Univ, Coll Software, Changchun 130012, Peoples R China; [Zhou, Xu] Jilin Univ, Ctr Comp Fundamental Educ, Changchun 130012, Peoples R China; [Zhou, Xu] Jilin Univ, Key Lab Symbol Computat &amp; Knowledge Engn, Minist Educ, Changchun 130012, Peoples R China</t>
  </si>
  <si>
    <t>Jilin University; Jilin University; Jilin University</t>
  </si>
  <si>
    <t>Zhou, X (corresponding author), Jilin Univ, Ctr Comp Fundamental Educ, Changchun 130012, Peoples R China.</t>
  </si>
  <si>
    <t>yszheng22@mails.jlu.edu.cn; zhoux16@jlu.edu.cn</t>
  </si>
  <si>
    <t>Education Department of Jilin Province of China, Science and technology project [JJKH20241284KJ]; National Natural Science Foundation of China [61806083]; Fundamental Research Funds for the Central Universities [93K172021Z02]</t>
  </si>
  <si>
    <t>Education Department of Jilin Province of China, Science and technology project; National Natural Science Foundation of China(National Natural Science Foundation of China (NSFC)); Fundamental Research Funds for the Central Universities(Fundamental Research Funds for the Central Universities)</t>
  </si>
  <si>
    <t>This work is supported in part by Education Department of Jilin Province of China, Science and technology project (JJKH20241284KJ) , the National Natural Science Foundation of China (61806083) and in part by the Fundamental Research Funds for the Central Universities, JLU (93K172021Z02)</t>
  </si>
  <si>
    <t>DEC 1</t>
  </si>
  <si>
    <t>D</t>
  </si>
  <si>
    <t>10.1016/j.eswa.2024.124894</t>
  </si>
  <si>
    <t>JUL 2024</t>
  </si>
  <si>
    <t>C0A8Q</t>
  </si>
  <si>
    <t>WOS:001286083400001</t>
  </si>
  <si>
    <t>Cao, YN; Wang, S; Li, XX; Cao, C; Liu, YB; Tan, JL</t>
  </si>
  <si>
    <t>Liu, D; Xie, S; Li, Y; Zhao, D; ElAlfy, ESM</t>
  </si>
  <si>
    <t>Cao, Yanan; Wang, Shi; Li, Xiaoxue; Cao, Cong; Liu, Yanbing; Tan, Jianlong</t>
  </si>
  <si>
    <t>Inferring Social Network User's Interest Based on Convolutional Neural Network</t>
  </si>
  <si>
    <t>NEURAL INFORMATION PROCESSING, ICONIP 2017, PT V</t>
  </si>
  <si>
    <t>24th International Conference on Neural Information Processing (ICONIP)</t>
  </si>
  <si>
    <t>NOV 14-18, 2017</t>
  </si>
  <si>
    <t>Chinese Acad Sci, Inst Automat,Guangdong Univ Technol,S China Univ Technol,Springers Lecture Notes Comp Sci,IEEE CAA Journal Automatica Sinica,Asia Pacific Neural Network Soc</t>
  </si>
  <si>
    <t>Social-attribute network; Convolutional neural network; User interest inference</t>
  </si>
  <si>
    <t>Learning microblog users' interest has important significance for constructing more precise user profile, and can be useful for some commercial applications such as personalized advertisement, or potential customer analysis. Existing works generally utilize text mining or label propagation methods to solve this problem, which leverage either the user's publicly available comments or the user's social links, but not both. As we will show, these learning methods achieve limited precision rates. To address this challenge, we consider the interest inference task as a multi-value classification problem, and solve it using a convolutional neural network architecture. We innovatively present an ego social-attribute network model which integrates the target users' attributes, social links and their comments, and represent the ego SA network as the input fed to CNN. As a result, we assign each microblog user one or more interest labels (such as loving sports), which is different from previous approaches using non-uniform interest keywords (such as basketball, tennis, etc.). Experimental results on SMP CUP and Zhihu dataset showed that the precision rate of user interest inference reached 77.9% at best.</t>
  </si>
  <si>
    <t>[Cao, Yanan; Li, Xiaoxue; Cao, Cong; Liu, Yanbing; Tan, Jianlong] Chinese Acad Sci, Inst Informat Engn, Beijing, Peoples R China; [Wang, Shi] Chinese Acad Sci, Inst Comp Technol, Beijing, Peoples R China</t>
  </si>
  <si>
    <t>Chinese Academy of Sciences; Nanjing Institute of Geology &amp; Paleontology, CAS; Institute of Information Engineering, CAS; Chinese Academy of Sciences; Nanjing Institute of Geology &amp; Paleontology, CAS; Institute of Computing Technology, CAS</t>
  </si>
  <si>
    <t>Wang, S (corresponding author), Chinese Acad Sci, Inst Comp Technol, Beijing, Peoples R China.</t>
  </si>
  <si>
    <t>caoyanan@iie.ac.cn; wangshi@ict.ac.cn; lixiaoxue@iie.ac.cn; caocong@iie.ac.cn; liuyanbing@iie.ac.cn; tanjianlong@iie.ac.cn</t>
  </si>
  <si>
    <t>; Wang, Shi/GPW-7158-2022</t>
  </si>
  <si>
    <t>yanbing, liu/0000-0002-9653-073X; Cao, Cong/0000-0003-1881-1947;</t>
  </si>
  <si>
    <t>National Natural Science Foundation of China [61403369, 61602466]; National Key Research and Development program of China [2016YFB0801304, 2016YFB0800303]</t>
  </si>
  <si>
    <t>National Natural Science Foundation of China(National Natural Science Foundation of China (NSFC)); National Key Research and Development program of China(National Key Research &amp; Development Program of China)</t>
  </si>
  <si>
    <t>This work was supported by the National Natural Science Foundation of China grants (NOs. 61403369, 61602466), the National Key Research and Development program of China (Nos. 2016YFB0801304, 2016YFB0800303).</t>
  </si>
  <si>
    <t>978-3-319-70139-4; 978-3-319-70138-7</t>
  </si>
  <si>
    <t>10.1007/978-3-319-70139-4_67</t>
  </si>
  <si>
    <t>BQ1YP</t>
  </si>
  <si>
    <t>WOS:000578364700067</t>
  </si>
  <si>
    <t>Dubasova, E; Berdashkevich, A; Kopanitsa, G; Kashlikov, P; Metsker, O</t>
  </si>
  <si>
    <t>Balandin, S</t>
  </si>
  <si>
    <t>Dubasova, Elizaveta; Berdashkevich, Artem; Kopanitsa, Georgy; Kashlikov, Pavel; Metsker, Oleg</t>
  </si>
  <si>
    <t>Social Network Users Profiling Using Machine Learning for Information Security Tasks</t>
  </si>
  <si>
    <t>2022 32ND CONFERENCE OF OPEN INNOVATIONS ASSOCIATION (FRUCT)</t>
  </si>
  <si>
    <t>32nd Conference of Open-Innovations-Association-FRUCT</t>
  </si>
  <si>
    <t>NOV 09-11, 2022</t>
  </si>
  <si>
    <t>Tampere, FINLAND</t>
  </si>
  <si>
    <t>IEEE,IEEE Commun Soc,IEEE Finland,Tampere Univ,FRUCT Open Innovat Assoc,Wirepas,MDPI, Elect Journal,Big Data &amp; Cognit Comp</t>
  </si>
  <si>
    <t>BOT</t>
  </si>
  <si>
    <t>The need for bot detection is growing in proportion to the increase in the number of social network users. The robotization of processes has not escaped social networks, with the result that bots, designed to mimic human behavior, create a burden and, in some cases, threats to users, including manipulation and misinformation. Classical information security threats related to bot activity are DDoS, collection and distribution of user data, manipulation of billing systems, and misuse of services. Often bot technology is used for scoring bonus points or using other customer loyalty mechanisms to gain their own benefit, in violation of the service policy. The problem is that it is often hard to confirm the correspondence between a real person and a profile due to the large amount of disparate information about users' activity, as well as the use of modern technologies, including machine learning, to develop bots. This paper focuses on the problem of detecting bots in social networks using machine learning. We propose an automatic, retrainable method for detecting fake accounts on a social network. The study describes the result of developing user classification models based on the activity logs of social network users in the problem of automated user profiling, that is, determining whether a user account is genuine or a bot is hiding behind it. The aim of the work is to develop methods for detecting bots using machine learning and intelligent analysis. In our work to solve the problem we use gradient boosting with an accuracy of AUC = 0.9999.</t>
  </si>
  <si>
    <t>elsa.dubasova@gmail.com; artemberdashkevich@gmail.com; georgy.kopanitsa@gmail.com; pavekash@gmail.com; olegmetsker@gmail.com</t>
  </si>
  <si>
    <t>Metsker, Oleg/M-5687-2016; Kopanitsa, Georgy/M-8418-2016</t>
  </si>
  <si>
    <t>978-952-69244-8-9</t>
  </si>
  <si>
    <t>BU4DG</t>
  </si>
  <si>
    <t>WOS:000895933800010</t>
  </si>
  <si>
    <t>Rawal, R; Bandil, DK; Nath, S</t>
  </si>
  <si>
    <t>Rawal, Richa; Bandil, Devesh Kumar; Nath, Srawan</t>
  </si>
  <si>
    <t>Data sparsity for twitter sentiment analysis in real-time from biased and noisy data</t>
  </si>
  <si>
    <t>JOURNAL OF DISCRETE MATHEMATICAL SCIENCES &amp; CRYPTOGRAPHY</t>
  </si>
  <si>
    <t>Mathematical modeling; Ordinary differential equations; A duopoly economy; Market share</t>
  </si>
  <si>
    <t>KEY DISTRIBUTION PROTOCOL; BLACK-HOLE; DESIGN</t>
  </si>
  <si>
    <t>Specializing in the analysis of strong emotions expressed in text, sentiment analysis is a scientific field. You may convey your thoughts and feelings about anything by expressing your opinion about it. This work explains the origins of sentiment analysis and how to configure sentiment evaluators. This paper showed comprehensive assessment of emotions will still be required. Analysis includes non-textual material. The use of visual media in social research is also useful. Without a doubt, I see the value of these links. This research uses a domain-specific seed list to categorize tweets. As much information as possible is preserved during tweet categorization. The algorithm categorizes tweets precisely and sentimentally to build a user interest profile. To test the method, 1 million tweets were used and up to 96% of them were correctly classified.</t>
  </si>
  <si>
    <t>[Rawal, Richa; Bandil, Devesh Kumar; Nath, Srawan] Suresh Gyan Vihar Univ, Dept Comp Sci &amp; Engn, Jaipur, Rajasthan, India</t>
  </si>
  <si>
    <t>Nath, S (corresponding author), Suresh Gyan Vihar Univ, Dept Comp Sci &amp; Engn, Jaipur, Rajasthan, India.</t>
  </si>
  <si>
    <t>richarawa123@gmail.com; deveshkr.bandil@mygyanvihar.com; nath.srawan@gmail.com</t>
  </si>
  <si>
    <t>Nath, Srawan/0000-0002-7023-6946</t>
  </si>
  <si>
    <t>0972-0529</t>
  </si>
  <si>
    <t>2169-0065</t>
  </si>
  <si>
    <t>J DISCRET MATH SCI C</t>
  </si>
  <si>
    <t>J. Discret. Math. Sci. Cryptogr.</t>
  </si>
  <si>
    <t>NOV 17</t>
  </si>
  <si>
    <t>10.1080/09720529.2021.2020420</t>
  </si>
  <si>
    <t>Mathematics, Applied</t>
  </si>
  <si>
    <t>XV1OH</t>
  </si>
  <si>
    <t>WOS:000734719600023</t>
  </si>
  <si>
    <t>Wang, YH; Zhou, W; Hu, Z; Han, JZ; Guo, T</t>
  </si>
  <si>
    <t>Wang, Yuhang; Zhou, Wei; Hu, Ziang; Han, Jizhong; Guo, Tao</t>
  </si>
  <si>
    <t>ComSFI: A Community-Aware Approach to Early Rumor Propagation Prediction</t>
  </si>
  <si>
    <t>2025 IEEE 37TH INTERNATIONAL CONFERENCE ON TOOLS WITH ARTIFICIAL INTELLIGENCE, ICTAI</t>
  </si>
  <si>
    <t>37th International Conference on Tools with Artificial Intelligence-ICTAI-Annual</t>
  </si>
  <si>
    <t>NOV 03-05, 2025</t>
  </si>
  <si>
    <t>Athens, GREECE</t>
  </si>
  <si>
    <t>Institute of Electrical and Electronics Engineers Inc,IEEE Computer Society,Biological and Artificial Intelligence Foundation</t>
  </si>
  <si>
    <t>Information propagation; dynamics analysis; cross-community-based prediction</t>
  </si>
  <si>
    <t>Information propagation prediction in social networks remains challenging due to the complex interactions between community structures. Existing models typically overlook multi-peaked cascade patterns that emerge from community-specific dynamics, especially during critical early propagation stages. To address these limitations, we propose ComSFI (Community-aware Susceptible-Forwarding-Immune), a dynamic prediction framework that captures both intra- and inter-community information diffusion. ComSFI makes three key contributions: (1) community-specific diffusion modeling through individualized SFI modules, (2) cross-community propagation modeling with a learnable threshold mechanism that identifies cascade initiation timing, and (3) integration of user interest profiles to estimate propagation willingness across community boundaries. Experiments on Weibo, Douban, and Memetracker datasets demonstrate that ComSFI outperforms state-of-the-art baselines by 3%-12% in cascade size prediction and temporal pattern accuracy, with particular effectiveness in early-stage rumor propagation prediction-a critical application for timely intervention. Our results establish ComSFI as a versatile framework for analyzing and predicting complex information diffusion patterns in real-world networks.</t>
  </si>
  <si>
    <t>[Wang, Yuhang; Zhou, Wei; Hu, Ziang; Han, Jizhong; Guo, Tao] Chinese Acad Sci, Inst Informat Engn, Beijing, Peoples R China; [Wang, Yuhang; Zhou, Wei; Hu, Ziang; Han, Jizhong; Guo, Tao] Univ Chinese Acad Sci, Sch Cyber Secur, Beijing, Peoples R China</t>
  </si>
  <si>
    <t>Chinese Academy of Sciences; Institute of Information Engineering, CAS; Chinese Academy of Sciences; University of Chinese Academy of Sciences, CAS</t>
  </si>
  <si>
    <t>Guo, T (corresponding author), Chinese Acad Sci, Inst Informat Engn, Beijing, Peoples R China.;Guo, T (corresponding author), Univ Chinese Acad Sci, Sch Cyber Secur, Beijing, Peoples R China.</t>
  </si>
  <si>
    <t>guotao@iie.ac.cn</t>
  </si>
  <si>
    <t>979-8-3315-4920-6; 979-8-3315-4919-0</t>
  </si>
  <si>
    <t>10.1109/ICTAI66417.2025.00211</t>
  </si>
  <si>
    <t>Computer Science, Artificial Intelligence; Computer Science, Interdisciplinary Applications; Computer Science, Theory &amp; Methods</t>
  </si>
  <si>
    <t>BA9DZ</t>
  </si>
  <si>
    <t>WOS:001813729300200</t>
  </si>
  <si>
    <t>Liao, LZ; Huang, HY; Wang, YS</t>
  </si>
  <si>
    <t>Liu, A; Ishikawa, Y; Qian, T; Nutanong, S; Cheema, MA</t>
  </si>
  <si>
    <t>Liao, Lizi; Huang, Heyan; Wang, Yashen</t>
  </si>
  <si>
    <t>Multi-roles Affiliation Model for General User Profiling</t>
  </si>
  <si>
    <t>DATABASE SYSTEMS FOR ADVANCED APPLICATIONS, DASFAA 2015</t>
  </si>
  <si>
    <t>20th International Conference on Database Systems for Advanced Applications (DASFAA)</t>
  </si>
  <si>
    <t>APR 20-23, 2015</t>
  </si>
  <si>
    <t>Hanoi, VIETNAM</t>
  </si>
  <si>
    <t>Hanoi Univ Sci &amp; Technol</t>
  </si>
  <si>
    <t>General user profiling; Multi-roles affiliation model; Social networks</t>
  </si>
  <si>
    <t>Online social networks release user attributes, which is important for many applications. Due to the sparsity of such user attributes online, many works focus on profiling user attributes automatically. However, in order to profile a specific user attribute, an unique model is built and such model usually does not fit other profiling tasks. In our work, we design a novel, flexible general user profiling model which naturally models users' friendships with user attributes. Experiments show that our method simultaneously profile multiple attributes with better performance.</t>
  </si>
  <si>
    <t>[Liao, Lizi; Huang, Heyan; Wang, Yashen] Beijing Inst Technol, Beijing Engn Res Ctr High Volume Language Informa, Beijing 100081, Peoples R China; [Liao, Lizi] Singapore Management Univ, Living Analyt Res Ctr, Singapore 178902, Singapore</t>
  </si>
  <si>
    <t>Beijing Institute of Technology; Singapore Management University</t>
  </si>
  <si>
    <t>Liao, LZ (corresponding author), Beijing Inst Technol, Beijing Engn Res Ctr High Volume Language Informa, Beijing 100081, Peoples R China.</t>
  </si>
  <si>
    <t>liaolizi.llz@gmail.com; hhy63@bit.edu.cn; yswang@bit.edu.cn</t>
  </si>
  <si>
    <t>Wang, Yan/AGZ-7384-2022</t>
  </si>
  <si>
    <t>Liao, Lizi/0000-0002-9973-3305</t>
  </si>
  <si>
    <t>978-3-319-22324-7; 978-3-319-22323-0</t>
  </si>
  <si>
    <t>10.1007/978-3-319-22324-7_20</t>
  </si>
  <si>
    <t>BD8BO</t>
  </si>
  <si>
    <t>WOS:000363771000020</t>
  </si>
  <si>
    <t>Chianese, A; Piccialli, F</t>
  </si>
  <si>
    <t>Chianese, Angelo; Piccialli, Francesco</t>
  </si>
  <si>
    <t>A perspective on applications of in-memory and associative approaches supporting cultural big data analytics</t>
  </si>
  <si>
    <t>in-memory database systems; big data; social analytics; business intelligence; cultural heritage; internet of things; IoT</t>
  </si>
  <si>
    <t>HERITAGE; REALITY</t>
  </si>
  <si>
    <t>Business intelligence, advanced analytics, big data, in-memory database and associative technologies are actually the key enablers for enhanced business decision making. In this paper, we provide a perspective on applications of in-memory approaches supporting analytics in the field of the cultural heritage applied to information resources including structured and unstructured contents, geo-spatial and social network data, multimedia (MM), multiple domain vocabularies, classifiers and ontologies. The proposed approach has been implemented in an information system exploiting associative in-memory technologies in a cloud context, as well as integrating semantic technologies for merging and analysing information coming from heterogeneous sources. We analyse and describe the application of this system to trace a behavioural and interest profile of users and visitors for cultural events (exhibitions, museums, etc.) and territorial (tourist areas and routes including cultural resources, historical down-town, and archaeological sites). The results of ongoing experimentation encourage a business intelligence approach which is suitable for supporting cultural heritage asset crowdsourcing, promotion, publication, management and usage.</t>
  </si>
  <si>
    <t>[Chianese, Angelo; Piccialli, Francesco] Univ Naples Federico II, Dept Elect Engn &amp; Informat Technol, Naples, Italy</t>
  </si>
  <si>
    <t>angchian@unina.it; francesco.piccialli@unina.it</t>
  </si>
  <si>
    <t>Piccialli, Francesco/ABC-2457-2020</t>
  </si>
  <si>
    <t>WOS:000432812600002</t>
  </si>
  <si>
    <t>Vasanthakumar, GU; Upadhyay, AK; Kalmath, PF; Dinakar, S; Shenoy, PD; Venugopal, KR</t>
  </si>
  <si>
    <t>Vasanthakumar, G. U.; Upadhyay, Aakriti Kumari; Kalmath, Pradeep F.; Dinakar, Sthita; Shenoy, P. Deepa; Venugopal, K. R.</t>
  </si>
  <si>
    <t>UP3: User Profiling from Profile Picture in Multi-Social Networking</t>
  </si>
  <si>
    <t>2015 ANNUAL IEEE INDIA CONFERENCE (INDICON)</t>
  </si>
  <si>
    <t>12 IEEE Int C Elect Energy Env Communications Computer Control</t>
  </si>
  <si>
    <t>DEC 17-20, 2015</t>
  </si>
  <si>
    <t>Data Mining; Face Detection; Online Social Networks; Profile Picture; Relative Distance; User Profiling</t>
  </si>
  <si>
    <t>Profiling Online Social Network (OSN) Users by matching their Profile Pictures in Multi-Social Networking requires their own frontal face images in consideration. Present State-of-the-Art algorithms are ineffective in detecting mouth and nose on the face, making it inefficient to be used in matching different faces by localizing their facial features. This work proposes a novel approach to improve the effectiveness and efficiency of face detection by bifurcating the detected face horizontally and vertically. The algorithm runs only on the portion of the detected face Bounded Box (BB) to generate bounded boxes of other facial objects, and later the Euclidian distance between the BBs with respect to that of the face is computed to get Logarithm of Determinant of Euclidian Distance Matrix (LDEDM) in Relative-Distance method and stored in the database. The LDEDM so computed is unique for the user image under consideration and is used for the purpose of matching the identity of the user images from the database. The Equal Error Rate (EER) is considerably low with the proposed User Profiling from Profile Picture (UP3) algorithm indicating better performance.</t>
  </si>
  <si>
    <t>[Vasanthakumar, G. U.; Upadhyay, Aakriti Kumari; Kalmath, Pradeep F.; Dinakar, Sthita; Shenoy, P. Deepa; Venugopal, K. R.] Univ Visvesvaraya Coll Engn, Dept Comp Sci &amp; Engn, Bangalore, Karnataka, India</t>
  </si>
  <si>
    <t>Vasanthakumar, GU (corresponding author), Univ Visvesvaraya Coll Engn, Dept Comp Sci &amp; Engn, Bangalore, Karnataka, India.</t>
  </si>
  <si>
    <t>vasanthakumar.gu.in@ieee.org</t>
  </si>
  <si>
    <t>K R, Venugopal/IYJ-2679-2023; Hegde, Gayathri/IYJ-4476-2023; /AAC-5965-2019</t>
  </si>
  <si>
    <t>978-1-4673-6540-6</t>
  </si>
  <si>
    <t>Computer Science, Interdisciplinary Applications; Engineering, Electrical &amp; Electronic</t>
  </si>
  <si>
    <t>BF2KJ</t>
  </si>
  <si>
    <t>WOS:000380475300537</t>
  </si>
  <si>
    <t>Chelmis, C; Prasanna, VK</t>
  </si>
  <si>
    <t>Chelmis, Charalampos; Prasanna, Viktor K.</t>
  </si>
  <si>
    <t>Social Link Prediction in Online Social Tagging Systems</t>
  </si>
  <si>
    <t>ACM TRANSACTIONS ON INFORMATION SYSTEMS</t>
  </si>
  <si>
    <t>Algorithms; Experimentation; Human Factors; Measurement; Performance; Annotation; collaborative tagging; graphical models; Last.fm; link prediction; link recommendation; machine learning; social bookmarking; social media; topic models; unsupervised learning</t>
  </si>
  <si>
    <t>VECTOR MACHINES</t>
  </si>
  <si>
    <t>Social networks have become a popular medium for people to communicate and distribute ideas, content, news, and advertisements. Social content annotation has naturally emerged as a method of categorization and filtering of online information. The unrestricted vocabulary users choose from to annotate content has often lead to an explosion of the size of space in which search is performed. In this article, we propose latent topic models as a principled way of reducing the dimensionality of such data and capturing the dynamics of collaborative annotation process. We propose three generative processes to model latent user tastes with respect to resources they annotate with metadata. We show that latent user interests combined with social clues from the immediate neighborhood of users can significantly improve social link prediction in the online music social media site Last.fm. Most link prediction methods suffer from the high class imbalance problem, resulting in low precision and/or recall. In contrast, our proposed classification schemes for social link recommendation achieve high precision and recall with respect to not only the dominant class (nonexistence of a link), but also with respect to sparse positive instances, which are the most vital in social tie prediction.</t>
  </si>
  <si>
    <t>[Chelmis, Charalampos] Univ So Calif, Dept Comp Sci, Los Angeles, CA 90089 USA; [Prasanna, Viktor K.] Univ So Calif, Ming Hsieh Dept Elect Engn, Los Angeles, CA 90089 USA</t>
  </si>
  <si>
    <t>University of Southern California; University of Southern California</t>
  </si>
  <si>
    <t>Chelmis, C (corresponding author), Univ So Calif, Dept Comp Sci, Los Angeles, CA 90089 USA.</t>
  </si>
  <si>
    <t>chelmis@usc.edu</t>
  </si>
  <si>
    <t>Chelmis, Charalampos/0000-0002-5920-1451</t>
  </si>
  <si>
    <t>Chevron Corporation under the joint project, Center for Interactive Smart Oilfield Technologies (CiSoft), at the University of Southern California</t>
  </si>
  <si>
    <t>This work is supported by Chevron Corporation under the joint project, Center for Interactive Smart Oilfield Technologies (CiSoft), at the University of Southern California.</t>
  </si>
  <si>
    <t>1046-8188</t>
  </si>
  <si>
    <t>1558-2868</t>
  </si>
  <si>
    <t>ACM T INFORM SYST</t>
  </si>
  <si>
    <t>ACM Trans. Inf. Syst.</t>
  </si>
  <si>
    <t>10.1145/2516891</t>
  </si>
  <si>
    <t>281TM</t>
  </si>
  <si>
    <t>WOS:000329123900004</t>
  </si>
  <si>
    <t>Alghamdi, B; Xu, Y; Watson, J</t>
  </si>
  <si>
    <t>Boo, YL; Stirling, D; Chi, L; Liu, L; Ong, KL; Williams, G</t>
  </si>
  <si>
    <t>Alghamdi, Bandar; Xu, Yue; Watson, Jason</t>
  </si>
  <si>
    <t>Malicious Behaviour Analysis on Twitter Through the Lens of User Interest</t>
  </si>
  <si>
    <t>DATA MINING, AUSDM 2017</t>
  </si>
  <si>
    <t>15th Australasian Data Mining Conference (AusDM)</t>
  </si>
  <si>
    <t>AUG 19-20, 2017</t>
  </si>
  <si>
    <t>SAS Australia Pty Ltd,La Trobe Univ,RMIT Univ,Univ S Australia,Univ Wollongong,IBM Australia</t>
  </si>
  <si>
    <t>Spam; Spammers; Behaviour; Detection; Text mining; Social networks</t>
  </si>
  <si>
    <t>TWEETS</t>
  </si>
  <si>
    <t>Evolving behaviours by spammers on online social networks continue to be a big challenge; this phenomenon has consistently received attention from researchers in terms of how they can be combated. On micro-blogging communities, such as Twitter, spammers intentionally change their behavioural patterns and message contents to avoid detection. Understanding the behavior of spammers is important for developing effective approaches to differentiate spammers from legitimate users. Due to the dynamic and inconsistent behaviour of spammers, the problem should be considered from two different levels to properly understand this type of behaviour and differentiate it from that of legitimate users. The first level pertains to the content, and the second, to the users' demographics. In this paper, we first examine Twitter content relating to a particular topic, extracted from one hashtag, for a dataset comprising both spammers and legitimate users in order to characterise user behaviour with respect to that topic. We then investigate the users' demographic data with a focus on the users' profile description and how it relates to their tweets. The result of this experiment confirms that, in addition to the content level, users' demographic data can present an alternative approach to identify the different behaviours of both spammers and legitimate users; moreover, it can be used to detect spammers.</t>
  </si>
  <si>
    <t>[Alghamdi, Bandar; Xu, Yue; Watson, Jason] Queensland Univ Technol Australia, Fac Sci &amp; Engn, Brisbane, Qld 4000, Australia; [Alghamdi, Bandar] Inst Publ Adm, Riyadh 11141, Saudi Arabia</t>
  </si>
  <si>
    <t>Queensland University of Technology (QUT); Institute of Public Administration - Saudi Arabia</t>
  </si>
  <si>
    <t>Alghamdi, B; Xu, Y; Watson, J (corresponding author), Queensland Univ Technol Australia, Fac Sci &amp; Engn, Brisbane, Qld 4000, Australia.;Alghamdi, B (corresponding author), Inst Publ Adm, Riyadh 11141, Saudi Arabia.</t>
  </si>
  <si>
    <t>bandar.alghamdi@hdr.qut.edu.au; yue.xu@qut.edu.au; ja.watson@qut.edu.au</t>
  </si>
  <si>
    <t>Xu, Yue/AAD-9854-2020; Watson, Jason/B-3271-2015</t>
  </si>
  <si>
    <t>Xu, Yue/0000-0002-1137-0272; Watson, Jason/0000-0001-8233-9195</t>
  </si>
  <si>
    <t>978-981-13-0292-3; 978-981-13-0291-6</t>
  </si>
  <si>
    <t>10.1007/978-981-13-0292-3_15</t>
  </si>
  <si>
    <t>BU6EL</t>
  </si>
  <si>
    <t>WOS:000922750100015</t>
  </si>
  <si>
    <t>Wang, LK</t>
  </si>
  <si>
    <t>Wang, Likun</t>
  </si>
  <si>
    <t>Efficient fine-tuning of short text classification based on large language model</t>
  </si>
  <si>
    <t>PROCEEDINGS OF INTERNATIONAL CONFERENCE ON MODELING, NATURAL LANGUAGE PROCESSING AND MACHINE LEARNING, CMNM 2024</t>
  </si>
  <si>
    <t>International Conference on Modeling, Natural Language Processing and Machine Learning (CMNM)</t>
  </si>
  <si>
    <t>MAY 17-19, 2024</t>
  </si>
  <si>
    <t>short text classification; large language model; LLaMA; LoRA finetuning</t>
  </si>
  <si>
    <t>With the booming development of social networks, a massive amount of short texts emerge every day, containing valuable information such as user interests and intentions. Therefore, the mining and classification of short text information is particularly important. However, the inherent characteristics of sparse features and high noise in short texts limit the performance of traditional machine learning methods in short text classification. Meanwhile, many neural network models often rely on a large amount of annotated data during the training process, but obtaining sufficient annotated data is a challenging task in practical situations. Taking inspiration from recent large-scale language models, this article proposes an efficient fine-tuning method for short text classification based on the LLaMA large-scale language model. Utilizing the powerful learning ability of large language models to expand text information, fine-tuning the freezing model and instruction learning through LoRA can more fully classify downstream specific tasks. From the experimental results obtained from real datasets, it can be seen that the method proposed in this paper has achieved an improvement in the accuracy of short text classification.</t>
  </si>
  <si>
    <t>[Wang, Likun] Yunnan Univ, Sch Informat Sci &amp; Engn, Kunming 650500, Yunnan, Peoples R China</t>
  </si>
  <si>
    <t>Yunnan University</t>
  </si>
  <si>
    <t>Wang, LK (corresponding author), Yunnan Univ, Sch Informat Sci &amp; Engn, Kunming 650500, Yunnan, Peoples R China.</t>
  </si>
  <si>
    <t>wlk18238220151@163.com</t>
  </si>
  <si>
    <t>979-8-4007-0976-0</t>
  </si>
  <si>
    <t>10.1145/3677779.3677785</t>
  </si>
  <si>
    <t>BX7QI</t>
  </si>
  <si>
    <t>WOS:001324813500006</t>
  </si>
  <si>
    <t>Choi, S; Kim, H; Gim, M</t>
  </si>
  <si>
    <t>Choi, Seonghwan; Kim, Hyeondey; Gim, Manjun</t>
  </si>
  <si>
    <t>Do Not Read the Same News! Enhancing Diversity and Personalization of News Recommendation</t>
  </si>
  <si>
    <t>COMPANION PROCEEDINGS OF THE WEB CONFERENCE 2022, WWW 2022 COMPANION</t>
  </si>
  <si>
    <t>31st ACM Web Conference (WWW)</t>
  </si>
  <si>
    <t>APR 25-29, 2022</t>
  </si>
  <si>
    <t>Assoc Comp Machinery,ACM SIGWEB,LIRIS,Univ Lyon,Inst Natl Sci Appliquees,Eurecom,Int World Wide Web Conf Comm</t>
  </si>
  <si>
    <t>Recommender systems; Personalization; News Recommendation</t>
  </si>
  <si>
    <t>Personalized news recommendation by machine is one of the widely studied areas. As the production of news articles increases and topics are diversified, it is impractical to read all the articles available to users. Therefore, the purpose of the news recommendation system should be to provide relevant news based on the user's interest. Unlike other recommendation systems, explicit feedback from users on each item such as ratings is rarely provided in news recommendation systems. Most news recommendation systems use implicit feedback such as click histories to profile user interest, which leads to biased recommendation results towards generally popular articles. In this paper, we suggest a novel news recommendation model for more personalized recommendations. If a user reads news not widely clicked by others, the news reflects the user's personal interest rather than other popular news clicked. We implement two user encoders, one to encode the general interest of the set of users and another one to encode the user's individual interest. We also propose regularization methods that induce two encoders to encode different types of user interest. The experiment on real-world data shows that our proposed method improves the diversity and the quality of recommendations for different click histories without any significant performance drops.</t>
  </si>
  <si>
    <t>[Choi, Seonghwan] Seoul Natl Univ, Seoul, South Korea; [Kim, Hyeondey; Gim, Manjun] Bigpearl Inc, Seoul, South Korea</t>
  </si>
  <si>
    <t>Seoul National University (SNU)</t>
  </si>
  <si>
    <t>Choi, S (corresponding author), Seoul Natl Univ, Seoul, South Korea.</t>
  </si>
  <si>
    <t>csh3695@snu.ac.kr; hdkimaa@connect.ust.hk; robin@bigpearl.io</t>
  </si>
  <si>
    <t>Ministry of Science and ICT; NIPA</t>
  </si>
  <si>
    <t>Ministry of Science and ICT(Ministry of Science &amp; ICT (MMSTI)); NIPA</t>
  </si>
  <si>
    <t>This research was results of a study on the HPC Support Project, supported by the 'Ministry of Science and ICT' and NIPA. The authors would like to thank Kyungwoo Song and Won Ik Cho for helpful support.</t>
  </si>
  <si>
    <t>978-1-4503-9130-6</t>
  </si>
  <si>
    <t>10.1145/3487553.3524936</t>
  </si>
  <si>
    <t>BW4GE</t>
  </si>
  <si>
    <t>WOS:001147592700207</t>
  </si>
  <si>
    <t>Revathy, VR; Pillai, AS</t>
  </si>
  <si>
    <t>Abraham, A; Cherukuri, AK; Madureira, AM; Muda, AK</t>
  </si>
  <si>
    <t>Revathy, V. R.; Pillai, Anitha S.</t>
  </si>
  <si>
    <t>Classification and Applications of Social Recommender Systems</t>
  </si>
  <si>
    <t>PROCEEDINGS OF THE EIGHTH INTERNATIONAL CONFERENCE ON SOFT COMPUTING AND PATTERN RECOGNITION (SOCPAR 2016)</t>
  </si>
  <si>
    <t>8th International Conference on Soft Computing and Pattern Recognition (SoCPaR) / 8th International Conference on Computational Aspects of Social Networks (CASoN)</t>
  </si>
  <si>
    <t>DEC 19-21, 2016</t>
  </si>
  <si>
    <t>Vellore Inst Technol Univ, Vellore, INDIA</t>
  </si>
  <si>
    <t>Machine Intelligence Research Labs</t>
  </si>
  <si>
    <t>Vellore Inst Technol Univ</t>
  </si>
  <si>
    <t>Content-based filtering; Collaborative filtering; Entity-based; Audience-based; Facebook; LinkedIn; Twitter</t>
  </si>
  <si>
    <t>NETWORKS</t>
  </si>
  <si>
    <t>The rapid growth of internet has paved the way for recommender systems as users are inundated with a variety of choices. A computer system that provides recommendations/suggestions to the users is called Recommender Systems (RS). These systems are a subclass of information filtering systems that provides suitable recommendations to users about a product, movie, song, mobile applications etc. RS are being widely used in social networking sites like Facebook, Twitter, LinkedIn etc. to help users choose product/friend/job from the various recommendations. These systems analyze patterns of user interest in posting information, sharing posts or joining a new group to provide personalized recommendations that suit user's taste. RS are popular in many areas especially for predicting/suggesting what the users want in advance and thus help in reducing search costs. Recommendations are done using either collaborative, Content-based filtering or hybrid approach. Content-based recommendation system recommends based on user profile created by analyzing the items the user has liked/rated in the past. A collaborative recommendation system, on the other hand, does suggestions based on the preferences/ratings of our previous collaborators (users whose liking was similar to ours). The popularity of social networking sites is increasing with more number of users being added daily. This paper discusses the various classification and applications of RS in some of the popular networking sites.</t>
  </si>
  <si>
    <t>[Revathy, V. R.; Pillai, Anitha S.] Hindustan Inst Technol &amp; Sci, Sch Comp Sci, Madras, Tamil Nadu, India</t>
  </si>
  <si>
    <t>Hindustan Institute of Technology &amp; Science</t>
  </si>
  <si>
    <t>Pillai, AS (corresponding author), Hindustan Inst Technol &amp; Sci, Sch Comp Sci, Madras, Tamil Nadu, India.</t>
  </si>
  <si>
    <t>revathyvrajendran@gmail.com; anithasp@hindustanuniv.ac.in</t>
  </si>
  <si>
    <t>; SPillai, Anitha/B-4160-2015; Rajendran, Revathy/NQF-6957-2025</t>
  </si>
  <si>
    <t>Rajendran, Revathy/0000-0003-2357-5475; HITS, Hindustan Institute of Technology and Science/0009-0004-3570-2675; SPillai, Anitha/0000-0002-3883-8234;</t>
  </si>
  <si>
    <t>978-3-319-60618-7; 978-3-319-60617-0</t>
  </si>
  <si>
    <t>10.1007/978-3-319-60618-7_70</t>
  </si>
  <si>
    <t>BL6TF</t>
  </si>
  <si>
    <t>WOS:000454700100070</t>
  </si>
  <si>
    <t>Zhao, GS; Qian, XM; Xie, X</t>
  </si>
  <si>
    <t>Zhao, Guoshuai; Qian, Xueming; Xie, Xing</t>
  </si>
  <si>
    <t>User-Service Rating Prediction by Exploring Social Users' Rating Behaviors</t>
  </si>
  <si>
    <t>IEEE TRANSACTIONS ON MULTIMEDIA</t>
  </si>
  <si>
    <t>Data mining; recommender system; social networks; social user behavior</t>
  </si>
  <si>
    <t>RECOMMENDATION; INFERENCE</t>
  </si>
  <si>
    <t>With the boom of social media, it is a very popular trend for people to share what they are doing with friends across various social networking platforms. Nowadays, we have a vast amount of descriptions, comments, and ratings for local services. The information is valuable for new users to judge whether the services meet their requirements before partaking. In this paper, we propose a user-service rating prediction approach by exploring social users' rating behaviors. In order to predict user-service ratings, we focus on users' rating behaviors. In our opinion, the rating behavior in recommender system could be embodied in these aspects: 1) when user rated the item, 2) what the rating is, 3) what the item is, 4) what the user interest that we could dig from his/her rating records is, and 5) how the user's rating behavior diffuses among his/her social friends. Therefore, we propose a concept of the rating schedule to represent users' daily rating behaviors. In addition, we propose the factor of interpersonal rating behavior diffusion to deep understand users' rating behaviors. In the proposed user-service rating prediction approach, we fuse four factors-user personal interest (related to user and the item's topics), interpersonal interest similarity (related to user interest), interpersonal rating behavior similarity (related to users' rating behavior habits), and interpersonal rating behavior diffusion (related to users' behavior diffusions)-into a unified matrix-factorized framework. We conduct a series of experiments in the Yelp dataset and Douban Movie dataset. Experimental results show the effectiveness of our approach.</t>
  </si>
  <si>
    <t>[Zhao, Guoshuai; Qian, Xueming] Xi An Jiao Tong Univ, SMILES Lab, Xian 710049, Peoples R China; [Qian, Xueming] Minist Educ, Key Lab Intelligent Networks &amp; Network Secur, Xian 710049, Peoples R China; [Xie, Xing] Microsoft Res Asia, Beijing 100080, Peoples R China</t>
  </si>
  <si>
    <t>Xi'an Jiaotong University; Microsoft; Microsoft Research Asia; Microsoft China</t>
  </si>
  <si>
    <t>Zhao, GS (corresponding author), Xi An Jiao Tong Univ, SMILES Lab, Xian 710049, Peoples R China.;Qian, XM (corresponding author), Minist Educ, Key Lab Intelligent Networks &amp; Network Secur, Xian 710049, Peoples R China.;Xie, X (corresponding author), Microsoft Res Asia, Beijing 100080, Peoples R China.</t>
  </si>
  <si>
    <t>zgs2012@stu.xjtu.edu.cn; qianxm@mail.xjtu.edu.cn; xing.xie@microsoft.com</t>
  </si>
  <si>
    <t>; Zhao, Guoshuai/AAN-1271-2020; Qian, Xueming/E-9867-2015</t>
  </si>
  <si>
    <t>Xie, Xing/0009-0009-3257-3077; Zhao, Guoshuai/0000-0003-4392-8450;</t>
  </si>
  <si>
    <t>Program 973 [2012CB316400]; NSFC [61373113, 61173109, 61332018]; Microsoft Research Asia</t>
  </si>
  <si>
    <t>Program 973(National Basic Research Program of China); NSFC(National Natural Science Foundation of China (NSFC)); Microsoft Research Asia(Microsoft)</t>
  </si>
  <si>
    <t>This work was supported in part by the Program 973 under Grant 2012CB316400, in part by the NSFC under Grant 61373113, Grant 61173109, and Grant 61332018, and in part by Microsoft Research Asia. The associate editor coordinating the review of this manuscript and approving it for publication was Prof. Ebroul Izquierdo.</t>
  </si>
  <si>
    <t>1520-9210</t>
  </si>
  <si>
    <t>1941-0077</t>
  </si>
  <si>
    <t>IEEE T MULTIMEDIA</t>
  </si>
  <si>
    <t>IEEE Trans. Multimedia</t>
  </si>
  <si>
    <t>10.1109/TMM.2016.2515362</t>
  </si>
  <si>
    <t>Computer Science, Information Systems; Computer Science, Software Engineering; Telecommunications</t>
  </si>
  <si>
    <t>DG2WP</t>
  </si>
  <si>
    <t>WOS:000371931600015</t>
  </si>
  <si>
    <t>Wang, ZY; Li, L; He, KT; Zhu, ZY</t>
  </si>
  <si>
    <t>Wang, Zhaoyang; Li, Li; He, Ketai; Zhu, Zhenyang</t>
  </si>
  <si>
    <t>User Profile Construction Based on High-Dimensional Features Extracted by Stacking Ensemble Learning</t>
  </si>
  <si>
    <t>online social networks; user profile construction; enhanced stacking learning; high-dimensional features extraction</t>
  </si>
  <si>
    <t>Online social networks, as platforms for personal expression, have evolved into complex networks integrating political and social dimensions. This evolution has shifted the focus of network governance from addressing hacking activities to mitigating unpredictable social behaviors, such as the malicious manipulation of public opinion, the doxing of ordinary users, and cyberbullying. However, the sparsity of data and the concealed nature of user behavior pose significant challenges to existing network reconnaissance technologies. In this study, we focus on constructing user profiles on online social network platforms by extracting features to build deep user profiles based on behavioral patterns. Drawing inspiration from the 5Cs principle of credit evaluation, we refine it into a 3Cs principle tailored for user profiling on social network platforms and associate it with user behavioral patterns. To further analyze user behavior, a high-dimensional feature extraction method is proposed using an improved stacking ensemble learning model. Based on experimental data analysis, the most suitable base algorithms for high-dimensional feature extraction are identified. Experimental results demonstrate that the integration of high-dimensional features improved the behavior prediction accuracy of the profiling model by 9.26% on balanced datasets and enhanced the AUC (area under the curve) metric by 3.69% on imbalanced datasets. The proposed method effectively increases the depth and generalization performance of user profiling.</t>
  </si>
  <si>
    <t>[Wang, Zhaoyang; Li, Li; Zhu, Zhenyang] Beihang Univ, Sch Automat Sci &amp; Elect Engn, Beijing 100191, Peoples R China; [He, Ketai] Univ Sci &amp; Technol Beijing, Sch Mech Engn, Beijing 100083, Peoples R China</t>
  </si>
  <si>
    <t>Beihang University; University of Science &amp; Technology Beijing</t>
  </si>
  <si>
    <t>Zhu, ZY (corresponding author), Beihang Univ, Sch Automat Sci &amp; Elect Engn, Beijing 100191, Peoples R China.;He, KT (corresponding author), Univ Sci &amp; Technol Beijing, Sch Mech Engn, Beijing 100083, Peoples R China.</t>
  </si>
  <si>
    <t>zhaoyangwang009@163.com; lilihe@buaa.edu.cn; heketai@ustb.edu.cn; zhenyangzhu@buaa.edu.cn</t>
  </si>
  <si>
    <t>He, Ketai/0000-0002-7050-0591</t>
  </si>
  <si>
    <t>National Key Research and Development Program of China; [2022QY1403]</t>
  </si>
  <si>
    <t>National Key Research and Development Program of China(National Key Research &amp; Development Program of China);</t>
  </si>
  <si>
    <t>This research was funded by the National Key Research and Development Program of China, grant number No. 2022QY1403.</t>
  </si>
  <si>
    <t>10.3390/app15031224</t>
  </si>
  <si>
    <t>W4R1M</t>
  </si>
  <si>
    <t>WOS:001418457600001</t>
  </si>
  <si>
    <t>Bertier, M; Frey, D; Guerraoui, R; Kermarrec, AM; Leroy, V</t>
  </si>
  <si>
    <t>Gupta, I; Mascolo, C</t>
  </si>
  <si>
    <t>Bertier, Mario; Frey, Davide; Guerraoui, Rachid; Kermarrec, Anne-Marie; Leroy, Vincent</t>
  </si>
  <si>
    <t>The Gossple Anonymous Social Network</t>
  </si>
  <si>
    <t>MIDDLEWARE 2010</t>
  </si>
  <si>
    <t>11th International Middleware Conference</t>
  </si>
  <si>
    <t>NOV 29-DEC 03, 2010</t>
  </si>
  <si>
    <t>Assoc Comp Machinery,Int Fed Informat Proc,USENIX</t>
  </si>
  <si>
    <t>OVERLAY</t>
  </si>
  <si>
    <t>While social networks provide news from old buddies, you can learn a lot more from people you do riot know, but with whom you share many interests. We show in this paper how to build a network of anonymous social acquaintances using a gossip protocol we call GOSSPLE, and how to leverage such a network to enhance navigation within Web 2.0 collaborative applications, a la LastFM and Delicious. GOSSPLE nodes (users) periodically gossip digests of their interest profiles and compute their distances (in terms of interest) with respect to other nodes. This is achieved with little bandwidth and storage, fast convergence, and without revealing which profile is associated with which user. We evaluate GOSSPLE on real traces from various Web 2.0 applications with hundreds of Planet Lab hosts and thousands of simulated nodes.</t>
  </si>
  <si>
    <t>[Bertier, Mario; Leroy, Vincent] INSA Rennes, Rennes, France; [Frey, Davide; Kermarrec, Anne-Marie] INRIA Rennes Bretagne Atlantique, Rennes, France; [Guerraoui, Rachid] Ecole Polytech Fed Lausanne, Lausanne, Switzerland</t>
  </si>
  <si>
    <t>Institut National des Sciences Appliquees de Rennes; Universite de Rennes; Universite de Rennes; Swiss Federal Institutes of Technology Domain; Ecole Polytechnique Federale de Lausanne</t>
  </si>
  <si>
    <t>Bertier, M (corresponding author), INSA Rennes, Rennes, France.</t>
  </si>
  <si>
    <t>; Kermarrec, Anne-Marie/HSG-2470-2023</t>
  </si>
  <si>
    <t>Frey, Davide/0000-0002-6730-5744; Guerraoui, Rachid/0000-0002-4794-8902; Kermarrec, Anne-Marie/0000-0001-8187-724X</t>
  </si>
  <si>
    <t>ERC [204742]; European Research Council (ERC) [204742] Funding Source: European Research Council (ERC)</t>
  </si>
  <si>
    <t>ERC(European Research Council (ERC)); European Research Council (ERC)(European Research Council (ERC))</t>
  </si>
  <si>
    <t>This work is supported by the ERC Starting Grant GOSSPLE number 204742.</t>
  </si>
  <si>
    <t>978-3-642-16954-0</t>
  </si>
  <si>
    <t>BUW96</t>
  </si>
  <si>
    <t>WOS:000290547600010</t>
  </si>
  <si>
    <t>Kaushal, R; Ghose, V; Kumaraguru, P</t>
  </si>
  <si>
    <t>IEEE Comp Soc</t>
  </si>
  <si>
    <t>Kaushal, Rishabh; Ghose, Vasundhara; Kumaraguru, Ponnurangam</t>
  </si>
  <si>
    <t>Methods for User Profiling Across Social Networks</t>
  </si>
  <si>
    <t>2019 IEEE INTL CONF ON PARALLEL &amp; DISTRIBUTED PROCESSING WITH APPLICATIONS, BIG DATA &amp; CLOUD COMPUTING, SUSTAINABLE COMPUTING &amp; COMMUNICATIONS, SOCIAL COMPUTING &amp; NETWORKING (ISPA/BDCLOUD/SOCIALCOM/SUSTAINCOM 2019)</t>
  </si>
  <si>
    <t>IEEE International Symposium on Parallel and Distributed Processing with Applications</t>
  </si>
  <si>
    <t>IEEE Int Conf on Parallel and Distributed Processing with Applications, Big Data and Cloud Computing, Sustainable Computing and Communications, Social Computing and Networking (ISPA/BDCloud/SocialCom/SustainCom)</t>
  </si>
  <si>
    <t>DEC 16-18, 2019</t>
  </si>
  <si>
    <t>Xiamen, PEOPLES R CHINA</t>
  </si>
  <si>
    <t>IEEE,IEEE Comp Soc,IEEE TCSC,Fujian Agr &amp; Forestry Univ,Fuzhou Univ,Minjiang Univ</t>
  </si>
  <si>
    <t>User Profiling; Social Media Analysis; Online Social Networks</t>
  </si>
  <si>
    <t>Users have their accounts on multiple Online Social Networks (OSNs) to access a variety of content and connect to their friends. Consequently, user behaviors get distributed across many OSNs. Collection of comprehensive user information referred to as user profiling; an essential first step is to link user accounts (identities) belonging to the same individual across OSNs. To this end, we provide a detailed methodology of five methods useful for user profiling, which we refer to as Advanced Search Operator (ASO), Social Aggregator (SA), Cross-Platform Sharing (CPS), Self-Disclosure (SD) and Friend Finding Feature (FFF). Taken together, we collect linked identities of 208,120 individuals distributed across 43 different OSNs. We compare these methods quantitatively based on social network coverage and the number of linked identities obtained per-individual. And also perform a qualitative assessment of linked user data, thus obtained by these methods, on the criteria of completeness, validity, consistency, accuracy, and timeliness.</t>
  </si>
  <si>
    <t>[Kaushal, Rishabh; Ghose, Vasundhara] Indira Gandhi Delhi Tech Univ Women, Dept Informat Technol, Delhi, India; [Kaushal, Rishabh; Kumaraguru, Ponnurangam] Indraprashtha Inst Informat Technol, Precog Res Grp, Delhi, India</t>
  </si>
  <si>
    <t>Indira Gandhi Delhi Technical University for Women (IGDTUW); Indraprastha Institute of Information Technology Delhi</t>
  </si>
  <si>
    <t>Kaushal, R (corresponding author), Indira Gandhi Delhi Tech Univ Women, Dept Informat Technol, Delhi, India.;Kaushal, R (corresponding author), Indraprashtha Inst Informat Technol, Precog Res Grp, Delhi, India.</t>
  </si>
  <si>
    <t>Kaushal, Rishabh/X-8756-2019</t>
  </si>
  <si>
    <t>2158-9178</t>
  </si>
  <si>
    <t>978-1-7281-4328-6</t>
  </si>
  <si>
    <t>IEEE INT SYMP PARAL</t>
  </si>
  <si>
    <t>10.1109/ISPA-BDCloud-SustainCom-SocialCom48970.2019.00231</t>
  </si>
  <si>
    <t>BS0RN</t>
  </si>
  <si>
    <t>WOS:000684104700219</t>
  </si>
  <si>
    <t>Cross, S</t>
  </si>
  <si>
    <t>Orngreen, R; Buhl, M; Meyer, B</t>
  </si>
  <si>
    <t>Cross, Simon</t>
  </si>
  <si>
    <t>Using VLEs to Offer Higher Education Students Choice and Differentiation in Learning Activities: Micro-Pathway Learning Design Implementation and Opportunities</t>
  </si>
  <si>
    <t>PROCEEDINGS OF THE 18TH EUROPEAN CONFERENCE ON E-LEARNING (ECEL 2019)</t>
  </si>
  <si>
    <t>Proceedings on the European Conference of e-Learning</t>
  </si>
  <si>
    <t>18th European Conference on e-Learning (ECEL)</t>
  </si>
  <si>
    <t>NOV 07-08, 2019</t>
  </si>
  <si>
    <t>Aalborg Univ, Copenhagen, DENMARK</t>
  </si>
  <si>
    <t>Aalborg Univ</t>
  </si>
  <si>
    <t>differentiation; personalisation; learning paths; learning maps; VLEs; learner agency</t>
  </si>
  <si>
    <t>Conventional models of distance e-learning course delivery are increasingly coming under pressure as designers struggle to reconcile the diversity of learner interests, abilities, prior learning, and study demands with needing to adhere to a single linear structure pitched at the average learner. However, course designers have an alternative and using technology can design and build differentiated paths, or learning micro-pathways, through sequences of learning materials and activities which have the effect of delivering a more personalised learning experience. One approach is to hide the personalisation decision-making from the student whilst a second - that explored in this paper - is to give the student agency by offering them a choice of differentiated learning pathway through a sequence of learning activities. This paper will present a small-scale pilot study intervention that spanned a week of learning activity in a postgraduate online module. This was achieved by using existing Moodie VLE functionalities associated with conditionality operators and the student options to create two, student selectable (and re-selectable) differentiated paths through part of a learning week. The design approach will be described in relation to twelve Design Goals and a focus on the following questions: (1) Does being offered a choice increase the learners' sense of control, engagement, and perception the course is meeting their needs? (2) What guidance do learner need to make effective decisions, and can visualisations of learning design support this? (3) Can differentiated learning by achieved within a VLE by individual teachers at an appreciably low effort and resource? (4) What design skills and conceptual competencies are required to do this? Feedback from repeated use of the intervention shows that learners responded positively, found the choice-making process clear, and would support use of the technique in other modules. Learners also suggested a range of potential teaching uses. This feedback will be discussed along with consideration of learning design challenges and opportunities.</t>
  </si>
  <si>
    <t>[Cross, Simon] Open Univ, Milton Keynes, Bucks, England</t>
  </si>
  <si>
    <t>Open University - UK</t>
  </si>
  <si>
    <t>Cross, S (corresponding author), Open Univ, Milton Keynes, Bucks, England.</t>
  </si>
  <si>
    <t>Simon.j.cross@open.ac.uk</t>
  </si>
  <si>
    <t>Cross, Simon/0000-0001-8741-8503</t>
  </si>
  <si>
    <t>ACAD CONFERENCES LTD</t>
  </si>
  <si>
    <t>NR READING</t>
  </si>
  <si>
    <t>CURTIS FARM, KIDMORE END, NR READING, RG4 9AY, ENGLAND</t>
  </si>
  <si>
    <t>2048-8637</t>
  </si>
  <si>
    <t>978-1-912764-41-9</t>
  </si>
  <si>
    <t>PROC EUR CONF ELEARN</t>
  </si>
  <si>
    <t>10.34190/EEL.19.096</t>
  </si>
  <si>
    <t>BP1JW</t>
  </si>
  <si>
    <t>WOS:000539626900018</t>
  </si>
  <si>
    <t>Ma, C; Zhu, C; Fu, YJ; Zhu, HS; Liu, GQ; Chen, EH</t>
  </si>
  <si>
    <t>Candan, S; Chen, L; Pedersen, TB; Chang, L; Hua, W</t>
  </si>
  <si>
    <t>Ma, Chao; Zhu, Chen; Fu, Yanjie; Zhu, Hengshu; Liu, Guiquan; Chen, Enhong</t>
  </si>
  <si>
    <t>Social User Profiling: A Social-Aware Topic Modeling Perspective</t>
  </si>
  <si>
    <t>DATABASE SYSTEMS FOR ADVANCED APPLICATIONS (DASFAA 2017), PT II</t>
  </si>
  <si>
    <t>22nd International Conference on Database Systems for Advanced Applications (DASFAA)</t>
  </si>
  <si>
    <t>MAR 27-30, 2017</t>
  </si>
  <si>
    <t>Soochow Univ</t>
  </si>
  <si>
    <t>User profiling; Topic model; Social network</t>
  </si>
  <si>
    <t>Social user profiling is an analytical process that delivers an in-depth blueprint of users' personal characteristics in social networks, which can enable a wide range of applications, such as personalized recommendation and targeted marketing. While social user profiling has attracted a lot of attention in the past few years, it is still very challenging to collaboratively model both user-centric information and social network structure. To this end, in this paper we develop an analytic framework for solving the social user profiling problem. Specifically, we first propose a novel social-aware semi-supervised topic model, i.e., User Profiling based Topic Model (UPTM), which can reconcile the observed user characteristics and social network structure for discovering the latent reasons behind social connections and further extracting users' potential profiles. In addition, to improve the profiling performance, we further develop a label propagation strategy for refining the profiling results of UPTM. Finally, we conduct extensive evaluations with a variety of realworld data, where experimental results demonstrate the effectiveness of our proposed modeling method.</t>
  </si>
  <si>
    <t>[Ma, Chao; Liu, Guiquan; Chen, Enhong] Univ Sci &amp; Technol China, Hefei, Anhui, Peoples R China; [Ma, Chao; Zhu, Chen; Zhu, Hengshu] Baidu Inc, Beijing, Peoples R China; [Fu, Yanjie] Missouri Univ Sci &amp; Technol, Rolla, MO USA</t>
  </si>
  <si>
    <t>Chinese Academy of Sciences; University of Science &amp; Technology of China, CAS; Baidu; University of Missouri System; Missouri University of Science &amp; Technology</t>
  </si>
  <si>
    <t>Zhu, HS (corresponding author), Baidu Inc, Beijing, Peoples R China.</t>
  </si>
  <si>
    <t>machao13@baidu.com; zhuchen02@baidu.com; fuyan@mst.edu; zhuhengshu@baidu.com; gqliu@ustc.edu.cn; cheneh@ustc.edu.cn</t>
  </si>
  <si>
    <t>Zhu, Hengshu/AAB-2816-2021</t>
  </si>
  <si>
    <t>Zhu, Hengshu/0000-0003-4570-643X</t>
  </si>
  <si>
    <t>National Natural Science Foundation of China (NSFC) [U1605251]; National Science Foundation for Distinguished Young Scholars of China [61325010]; NSFC Major research program [91546103]</t>
  </si>
  <si>
    <t>National Natural Science Foundation of China (NSFC)(National Natural Science Foundation of China (NSFC)); National Science Foundation for Distinguished Young Scholars of China(National Natural Science Foundation of China (NSFC)National Science Fund for Distinguished Young Scholars); NSFC Major research program(National Natural Science Foundation of China (NSFC))</t>
  </si>
  <si>
    <t>This research was partially supported by grants from the National Natural Science Foundation of China (NSFC, Grant No. U1605251), the National Science Foundation for Distinguished Young Scholars of China (Grant No. 61325010), and the NSFC Major research program (Grant No. 91546103).</t>
  </si>
  <si>
    <t>978-3-319-55699-4; 978-3-319-55698-7</t>
  </si>
  <si>
    <t>10.1007/978-3-319-55699-4_38</t>
  </si>
  <si>
    <t>BI5UH</t>
  </si>
  <si>
    <t>WOS:000412832600038</t>
  </si>
  <si>
    <t>Ji, K; Shen, H</t>
  </si>
  <si>
    <t>Ji, Ke; Shen, Hong</t>
  </si>
  <si>
    <t>Jointly modeling content, social network and ratings for explainable and cold-start recommendation</t>
  </si>
  <si>
    <t>Collaborative filtering; Recommender systems; Explanation; Cold start; Tag-keyword</t>
  </si>
  <si>
    <t>Model-based approach to collaborative filtering (CF), such as latent factor models, has improved both accuracy and efficiency of predictions on large and sparse dataset. However, most existing methods still face two major problems: (1) the recommendation results derived from user and item vectors of a set of unobserved factors are lack of explanation; (2) cold start users and items out of user-item rating matrix cannot be handled accurately. In this paper, we propose a hybrid method for addressing the problems by incorporating content-based information (i.e, users' tags and items' keywords) and social information. The main idea behind our method is to build content association based on three factors-user interest in selected tags, tag-keyword relation and item correlation with extracted keywords, and then recommend the items with high similarity in content to users. Two novel methods-neighbor based approach and 3 factor matrix factorization are proposed for building tag-keyword relation matrix and learning user interest vector for selected tags and item correlation vector for extracted keywords. Besides, we introduce a social regularization term to help shape user interest vector. Analysis shows that our method can generate explainable recommendation results with simple descriptions, and experiments on real dataset demonstrate that our method improves recommendation accuracy of state-of-the-art CF models for previous users and items with few ratings, as well as cold start users and items with no rating. (C) 2016 Elsevier B.V. All rights reserved.</t>
  </si>
  <si>
    <t>[Ji, Ke] Univ Jinan, Sch Informat Sci &amp; Engn, Jinan, Peoples R China; [Shen, Hong] Sun Yat Sen Univ, Sch Informat Sci &amp; Technol, Guangzhou, Guangdong, Peoples R China; [Shen, Hong] Univ Adelaide, Sch Comp Sci, Adelaide, SA 5005, Australia</t>
  </si>
  <si>
    <t>University of Jinan; Sun Yat Sen University; Adelaide University; University of Adelaide</t>
  </si>
  <si>
    <t>Shen, H (corresponding author), Sun Yat Sen Univ, Sch Informat Sci &amp; Technol, Guangzhou, Guangdong, Peoples R China.;Shen, H (corresponding author), Univ Adelaide, Sch Comp Sci, Adelaide, SA 5005, Australia.</t>
  </si>
  <si>
    <t>Ji, Keyu/OLS-0811-2025</t>
  </si>
  <si>
    <t>National Science Foundation of China [61170232]; Research Initiative Grant of Sun Yat-Sen University [985]; Australian Research Council (ARC) Discovery Project [DP150104871]; Ministry of Education Funds for Innovative Groups [241147529]</t>
  </si>
  <si>
    <t>National Science Foundation of China(National Natural Science Foundation of China (NSFC)); Research Initiative Grant of Sun Yat-Sen University; Australian Research Council (ARC) Discovery Project(Australian Research Council); Ministry of Education Funds for Innovative Groups</t>
  </si>
  <si>
    <t>This work is supported by National Science Foundation of China under its General Projects funding #61170232, Research Initiative Grant of Sun Yat-Sen University (Project 985), Australian Research Council (ARC) Discovery Project DP150104871, Ministry of Education Funds for Innovative Groups #241147529.</t>
  </si>
  <si>
    <t>10.1016/j.neucom.2016.03.070</t>
  </si>
  <si>
    <t>EC3VA</t>
  </si>
  <si>
    <t>WOS:000388053700001</t>
  </si>
  <si>
    <t>Lin, QQ; Duan, LJ; Huang, JW</t>
  </si>
  <si>
    <t>Lin, Qinqi; Duan, Lingjie; Huang, Jianwei</t>
  </si>
  <si>
    <t>Personalized Pricing Through Strategic User Profiling in Social Networks</t>
  </si>
  <si>
    <t>IEEE-ACM TRANSACTIONS ON NETWORKING</t>
  </si>
  <si>
    <t>Pricing; Social networking (online); Couplings; Bayes methods; Games; Data privacy; Cost accounting; Online social networks; user profiling technology; personalized pricing; dynamic Bayesian game</t>
  </si>
  <si>
    <t>DISCRIMINATION; EQUILIBRIUM; PRIVACY; GAMES</t>
  </si>
  <si>
    <t>Traditional user profiling techniques rely on browsing history or purchase records to identify users' willingness to pay. This enables sellers to offer personalized prices to profiled users while charging only a uniform price to non-profiled users. However, the emergence of privacy-enhancing technologies has caused users to actively avoid on-site data tracking. Today, major online sellers have turned to public platforms such as online social networks to better track users' profiles from their product-related discussions. This paper presents the first analytical study on how users should best manage their social activities against potential personalized pricing, and how a seller should strategically adjust her pricing scheme to facilitate user profiling in social networks. We formulate a dynamic Bayesian game played between the seller and users under asymmetric information. The key challenge of analyzing this game comes from the double couplings between the seller and the users as well as among the users. Furthermore, the equilibrium analysis needs to ensure consistency between users' revealed information and the seller's belief under random user profiling. We address these challenges by alternately applying backward and forward induction, and successfully characterize the unique perfect Bayesian equilibrium (PBE) in closed form. Our analysis reveals that as the accuracy of profiling technology improves, the seller tends to raise the equilibrium uniform price to motivate users' increased social activities and facilitate user profiling. However, this results in most users being worse off after the informed consent policy is imposed to ensure users' awareness of data access and profiling practices by potential sellers. This finding suggests that recent regulatory evolution towards enhancing users' privacy awareness may have unintended consequences of reducing users' payoffs. Finally, we examine prevalent pricing practices where the seller breaks a pricing promise to personalize final offerings, and show that it only slightly improves the seller's average revenue while introducing higher variance.</t>
  </si>
  <si>
    <t>[Lin, Qinqi; Huang, Jianwei] Chinese Univ Hong Kong Shenzhen, Shenzhen Inst Artificial Intelligence &amp; Robot Soc, CSIJRI Joint Res Ctr Smart Energy Storage, Shenzhen Key Lab Crowd Intelligence Empowered Low, Shenzhen 518172, Peoples R China; [Duan, Lingjie] Singapore Univ Technol &amp; Design, Engn Syst &amp; Design Pillar, Singapore 487372, Singapore</t>
  </si>
  <si>
    <t>Shenzhen Institute of Artificial Intelligence &amp; Robotics for Society; The Chinese University of Hong Kong, Shenzhen; Singapore University of Technology &amp; Design</t>
  </si>
  <si>
    <t>Huang, JW (corresponding author), Chinese Univ Hong Kong Shenzhen, Shenzhen Inst Artificial Intelligence &amp; Robot Soc, CSIJRI Joint Res Ctr Smart Energy Storage, Shenzhen Key Lab Crowd Intelligence Empowered Low, Shenzhen 518172, Peoples R China.</t>
  </si>
  <si>
    <t>qinqilin@link.cuhk.edu.cn; lingjie_duan@sutd.edu.sg; jianweihuang@cuhk.edu.cn</t>
  </si>
  <si>
    <t>Huang, Jianwei/C-1303-2008; Duan, Lingjie/AHA-6540-2022</t>
  </si>
  <si>
    <t>Huang, Jianwei/0000-0001-6631-1096; Lin, Qinqi/0009-0005-9303-8220;</t>
  </si>
  <si>
    <t>National Natural Science Foundation of China [62271434]; Shenzhen Science and Technology Innovation Program [JCYJ20210324120011032]; Guangdong Basic and Applied Basic Research Foundation [2021B1515120008]; Shenzhen Key Laboratory of Crowd Intelligence Empowered Low-Carbon Energy Network [ZDSYS20220606100601002]; Shenzhen Stability Science Program 2023; Shenzhen Institute of Artificial Intelligence and Robotics for Society; Ministry of Education, Singapore, under Academic Research Fund Tier 2 Grant [MOE-T2EP20121-0001]; SUTD Kickstarter Initiative (SKI) [SKI 2021_04_07]; SMU-SUTD [22-LKCSB-SMU-053]</t>
  </si>
  <si>
    <t>National Natural Science Foundation of China(National Natural Science Foundation of China (NSFC)); Shenzhen Science and Technology Innovation Program; Guangdong Basic and Applied Basic Research Foundation(Guangdong Basic and Applied Basic Research Foundation); Shenzhen Key Laboratory of Crowd Intelligence Empowered Low-Carbon Energy Network; Shenzhen Stability Science Program 2023; Shenzhen Institute of Artificial Intelligence and Robotics for Society; Ministry of Education, Singapore, under Academic Research Fund Tier 2 Grant; SUTD Kickstarter Initiative (SKI); SMU-SUTD</t>
  </si>
  <si>
    <t>This work was supported in part by the National Natural Science Foundation of China under Project 62271434; in part by Shenzhen Science and Technology Innovation Program under Project JCYJ20210324120011032; in part by Guangdong Basic and Applied Basic Research Foundation under Project 2021B1515120008; in part by Shenzhen Key Laboratory of Crowd Intelligence Empowered Low-Carbon Energy Network under Grant ZDSYS20220606100601002; in part by Shenzhen Stability Science Program 2023; in part by Shenzhen Institute of Artificial Intelligence and Robotics for Society; in part by the Ministry of Education, Singapore, under its Academic Research Fund Tier 2 Grant under Award MOE-T2EP20121-0001; in part by the SUTD Kickstarter Initiative (SKI) under Grant SKI 2021_04_07; and in part by the Joint SMU-SUTD under Grant 22-LKCSB-SMU-053.</t>
  </si>
  <si>
    <t>1063-6692</t>
  </si>
  <si>
    <t>1558-2566</t>
  </si>
  <si>
    <t>IEEE ACM T NETWORK</t>
  </si>
  <si>
    <t>IEEE-ACM Trans. Netw.</t>
  </si>
  <si>
    <t>10.1109/TNET.2024.3410976</t>
  </si>
  <si>
    <t>Computer Science, Hardware &amp; Architecture; Computer Science, Theory &amp; Methods; Engineering, Electrical &amp; Electronic; Telecommunications</t>
  </si>
  <si>
    <t>J4S0R</t>
  </si>
  <si>
    <t>Green Published</t>
  </si>
  <si>
    <t>WOS:001258787000001</t>
  </si>
  <si>
    <t>Oliveira, F; Santos, A; Aguiar, B; Sousa, J</t>
  </si>
  <si>
    <t>Sakas, DP; Kavoura, A; Tomaras, P</t>
  </si>
  <si>
    <t>Oliveira, Filipe; Santos, Antonio; Aguiar, Bruno; Sousa, Joao</t>
  </si>
  <si>
    <t>GameFoundry: Social Gaming Platform for Digital Marketing, User Profiling and Collective Behavior</t>
  </si>
  <si>
    <t>2ND INTERNATIONAL CONFERENCE ON STRATEGIC INNOVATIVE MARKETING</t>
  </si>
  <si>
    <t>2nd International Conference on Strategic Innovative Marketing (IC-SIM)</t>
  </si>
  <si>
    <t>SEP 13-17, 2013</t>
  </si>
  <si>
    <t>Social Network Analysis; Social Gaming; Data Mining; Social Media; Digital Marketing; Branding; User Profiling; Collective Behavior</t>
  </si>
  <si>
    <t>Traditional marketing has been using the Internet as a mean of transport for advertising, usually through the use of banners or sponsored links. However, new tendencies in digital marketing are focusing on added interactivity, where the use of games as a marketing tool is not new. Moreover, the portion of population engaged in social networks is quickly increasing, turning these into preferred targets for marketing actions, considering the potential of retrieving valuable personal, demographic and geographic data. Forwarding recent advances in data mining and knowledge extraction to this model would therefore turn it into a powerful tool to measure the impact of marketing and branding actions, while reinforcing marketing strategy. In this paper we present GameFoundry, a new online platform that aims at creating an innovative Web Game Engine and Game Distribution system, which will provide support for knowledge management and game activity monitoring based on simple network games. It is intended to give the users the possibility of playing games in several environments, platforms and social networks, and to provide the clients of this product the ability to create, independently, a set of games with proprietary contents, distribute them over the network and have constant access to game activity, statistics and advanced user profiling, collective behavior and predictive models. (C) 2014 Elsevier Ltd.</t>
  </si>
  <si>
    <t>[Oliveira, Filipe; Santos, Antonio; Aguiar, Bruno; Sousa, Joao] Fraunhofer Portugal AICOS, P-4200135 Oporto, Portugal</t>
  </si>
  <si>
    <t>filipe.oliveira@fraunhofer.pt; antonio.santos@fraunhofer.pt; bruno.aguiar@fraunhofer.pt; joao.sousa@fraunhofer.pt</t>
  </si>
  <si>
    <t>Aguiar, Bruno/0000-0002-5310-8061; Santos, António/0000-0002-0223-0841</t>
  </si>
  <si>
    <t>10.1016/j.sbspro.2014.07.017</t>
  </si>
  <si>
    <t>Business; Social Sciences, Interdisciplinary</t>
  </si>
  <si>
    <t>Business &amp; Economics; Social Sciences - Other Topics</t>
  </si>
  <si>
    <t>BB7YC</t>
  </si>
  <si>
    <t>WOS:000346116000007</t>
  </si>
  <si>
    <t>Volkova, S; Bachrach, Y; Van Durme, B</t>
  </si>
  <si>
    <t>Volkova, Svitlana; Bachrach, Yoram; Van Durme, Benjamin</t>
  </si>
  <si>
    <t>Mining User Interests to Predict Perceived Psycho-Demographic Traits on Twitter</t>
  </si>
  <si>
    <t>PROCEEDINGS 2016 IEEE SECOND INTERNATIONAL CONFERENCE ON BIG DATA COMPUTING SERVICE AND APPLICATIONS (BIGDATASERVICE 2016)</t>
  </si>
  <si>
    <t>2nd IEEE International Conference on Big Data Computing Service and Applications (BigDataService)</t>
  </si>
  <si>
    <t>MAR 29-APR 01, 2016</t>
  </si>
  <si>
    <t>Oxford, ENGLAND</t>
  </si>
  <si>
    <t>IEEE,IEEE Comp Soc,San Jose State Univ,Arizona State Univ,NW Polytechn Univ,Peking Univ,Deakin Univ,Univ Leeds,Taiyuan Univ Technol,Univ Technol Sydney,Univ Ottawa,Beihang Univ,ITC NSTI</t>
  </si>
  <si>
    <t>We analyze the relation between user interests and their perceived psycho demographic attributes using Twitter data, training models for predicting various personal traits of users. In contrast to existing work, which bases predictions on the textual tweets produced by users, we leverage the fact that users are embedded in the Twitter social network. We examine the accounts that our users follow, and use them to determine the high-level interests of these users, then use these areas of interest as features for predicting perceived personal traits. We cover target attributes such as gender, age, educational background, political stand and personality. We evaluate our technique on a dataset of over 4,000 Twitter user profiles. We use crowdsourcing to annotate these user profiles with perceptions regarding their personal traits, and correlate these with user interests, as captured by the accounts they follow and their classification in the Twitter Who To Follow hierarchy. We compare the accuracy of our personal trait prediction methods with the state-of-the-art approaches that solely rely on user tweets, and discuss the correlations between perceived user demographics and interests.</t>
  </si>
  <si>
    <t>[Volkova, Svitlana; Van Durme, Benjamin] Johns Hopkins Univ, Baltimore, MD 21218 USA; [Bachrach, Yoram] Microsoft Res, Cambridge CB1 2FB, England</t>
  </si>
  <si>
    <t>Johns Hopkins University; Microsoft; Microsoft United Kingdom</t>
  </si>
  <si>
    <t>Volkova, S (corresponding author), Johns Hopkins Univ, Baltimore, MD 21218 USA.</t>
  </si>
  <si>
    <t>svitlana@jhu.edu; yobach@microsoft.com; vandurme@cs.jhu.edu</t>
  </si>
  <si>
    <t>978-1-5090-2251-9</t>
  </si>
  <si>
    <t>10.1109/BigDataService.2016.28</t>
  </si>
  <si>
    <t>BF4WE</t>
  </si>
  <si>
    <t>WOS:000381731800006</t>
  </si>
  <si>
    <t>Ouaftouh, S; Zellou, A; Idri, A</t>
  </si>
  <si>
    <t>Ouaftouh, Sara; Zellou, Ahmed; Idri, Ali</t>
  </si>
  <si>
    <t>Social recommendation: A user profile clustering-based approach</t>
  </si>
  <si>
    <t>clustering algorithm; recommender systems; similarity measures; user profile</t>
  </si>
  <si>
    <t>The recommendation in information systems is a specific form of information filtering that aims to present the relevant information interesting the user. This technique is used in different contexts such as social networking, e-commerce and information retrieval. Generally, existing recommender system techniques implement collaborative filtering by deducing a part of user interests from the preferences of other users with similar profiles. Many techniques can be used to implement Collaborative Filtering such as Bayesian Networks, latent semantic, and clustering. We present in this work a novel clustering approach using a modified partitional algorithm. We propose a user model that integrates the relevant user information and a clustering algorithm that generates groups of similar user profiles by implementing a profile similarity function. The proposed approach is then evaluated based on a set of user profiles data corresponding to the context of an e-commerce website.</t>
  </si>
  <si>
    <t>[Ouaftouh, Sara; Zellou, Ahmed; Idri, Ali] Mohammed V Univ Rabat, Higher Natl Sch Comp Sci &amp; Syst Anal, Rabat, Morocco</t>
  </si>
  <si>
    <t>Mohammed V University in Rabat</t>
  </si>
  <si>
    <t>Ouaftouh, S (corresponding author), Higher Natl Sch Comp Sci &amp; Syst Anal, Ave Mohammed Ben Abdallah Regragui, Rabat 713, Morocco.</t>
  </si>
  <si>
    <t>sara.ouaftouh@gmail.com</t>
  </si>
  <si>
    <t>ZELLOU, Ahmed/GSN-3146-2022</t>
  </si>
  <si>
    <t>ZELLOU, Ahmed/0000-0002-4688-912X</t>
  </si>
  <si>
    <t>OCT 25</t>
  </si>
  <si>
    <t>e5330</t>
  </si>
  <si>
    <t>10.1002/cpe.5330</t>
  </si>
  <si>
    <t>JC5LM</t>
  </si>
  <si>
    <t>WOS:000489324000008</t>
  </si>
  <si>
    <t>Grad-Gyenge, L; Filzmoser, P</t>
  </si>
  <si>
    <t>GradGyenge, L; Oberhauser, R</t>
  </si>
  <si>
    <t>Grad-Gyenge, Laszlo; Filzmoser, Peter</t>
  </si>
  <si>
    <t>On How Networks Stabilize User Interest Based Methods and Vice Versa</t>
  </si>
  <si>
    <t>NINTH INTERNATIONAL CONFERENCE ON INFORMATION, PROCESS, AND KNOWLEDGE MANAGEMENT (EKNOW 2017)</t>
  </si>
  <si>
    <t>9th International Conference on Information, Process, and Knowledge Management (eKNOW)</t>
  </si>
  <si>
    <t>MAR 19-23, 2017</t>
  </si>
  <si>
    <t>Nice, FRANCE</t>
  </si>
  <si>
    <t>IARIA</t>
  </si>
  <si>
    <t>recommender system; graph based; knowledge graph; explicit feedback; receiver operating characteristic</t>
  </si>
  <si>
    <t>RECOMMENDER SYSTEMS; TRUST; PROPAGATION; ONTOLOGY</t>
  </si>
  <si>
    <t>This paper presents the evaluation of two graph-based recommendation methods compared to collaborative filtering as the baseline. The evaluation is primarily based on the investigation of the Average Receiver operating Characteristic curve on the MovieLens dataset. The presented methods operate on the knowledge graph, which information representation technique is also discussed in this paper. The evaluation results show that combining a network based and a user interest based method leads to a more stable performance and an increase in the recommendation quality.</t>
  </si>
  <si>
    <t>[Grad-Gyenge, Laszlo] Eotvos Lorand Univ, Budapest, Hungary; [Filzmoser, Peter] TU Vienna, Vienna, Austria</t>
  </si>
  <si>
    <t>Eotvos Lorand University; Technische Universitat Wien</t>
  </si>
  <si>
    <t>Grad-Gyenge, L (corresponding author), Eotvos Lorand Univ, Budapest, Hungary.</t>
  </si>
  <si>
    <t>laszlo.grad-gyenge@inf.elte.hu; peter.filzmoser@tuwien.ac.at</t>
  </si>
  <si>
    <t>Filzmoser, Peter/A-7737-2015</t>
  </si>
  <si>
    <t>IARIA XPS PRESS</t>
  </si>
  <si>
    <t>WILMINGTON</t>
  </si>
  <si>
    <t>PO BOX 7827, WILMINGTON, DE 19803 USA</t>
  </si>
  <si>
    <t>978-1-61208-542-5</t>
  </si>
  <si>
    <t>BK0EL</t>
  </si>
  <si>
    <t>WOS:000430361200006</t>
  </si>
  <si>
    <t>Abulaish, M; Fazil, M</t>
  </si>
  <si>
    <t>Abulaish, Muhammad; Fazil, Mohd</t>
  </si>
  <si>
    <t>A machine learning approach for socialbot targets detection on Twitter</t>
  </si>
  <si>
    <t>JOURNAL OF INTELLIGENT &amp; FUZZY SYSTEMS</t>
  </si>
  <si>
    <t>Machine learning; social network analysis; social network security; user profiling; socialbots</t>
  </si>
  <si>
    <t>INFORMATION; ACCOUNTS; DESIGN; BOT</t>
  </si>
  <si>
    <t>In online social networks (OSNs), socialbots are responsible for various malicious activities, and they are mainly programmed to imitate human-behavior to bypass the existing detection systems. The socialbots are generally successful in their malicious intent due to the existence of OSN users who follow them and thereby increase their reputation in the network. Analysis of the socialbot networks and their users is vital to comprehend the socialbot problem from target users' perspective. In this paper, we present a machine learning-based approach for characterizing and detecting socialbot targets, i.e., users who are susceptible to be trapped by the socialbots. We model OSN users based on their identity and behavior information, representing the static and dynamic components of their personality. The proposed approach classifies socialbot targets into three categories viz. active, reactive, and inactive users. We evaluate the proposed approach using three classifiers over a dataset collected from a live socialbot injection experiment conducted on Twitter. We also present a comparative evaluation of the proposed approach with a state-of-the-art method and show that it performs significantly better. On feature ablation analysis, we found that network structure and user intention and personality related dynamic features are most discriminative, whereas static features show the least impact on the classification. Additionally, following rate, multimedia ratio, and follower rate are most relevant to segregate different categories of the socialbot targets. We also perform a detailed topical and behavioral analysis of socialbot targets and found active users to be suspicious. Further, joy and agreeableness are the most dominating personality traits among the three categories of the users.</t>
  </si>
  <si>
    <t>[Abulaish, Muhammad; Fazil, Mohd] South Asian Univ, Dept Comp Sci, New Delhi, India</t>
  </si>
  <si>
    <t>South Asian University (SAU)</t>
  </si>
  <si>
    <t>Abulaish, M (corresponding author), South Asian Univ, Dept Comp Sci, New Delhi, India.</t>
  </si>
  <si>
    <t>abulaish@sau.ac.in</t>
  </si>
  <si>
    <t>Abulaish, Muhammad/L-7397-2014; Fazil, Mohd/AAI-5149-2021</t>
  </si>
  <si>
    <t>Fazil, Mohd/0000-0002-8936-848X</t>
  </si>
  <si>
    <t>1064-1246</t>
  </si>
  <si>
    <t>1875-8967</t>
  </si>
  <si>
    <t>J INTELL FUZZY SYST</t>
  </si>
  <si>
    <t>J. Intell. Fuzzy Syst.</t>
  </si>
  <si>
    <t>10.3233/JIFS-200682</t>
  </si>
  <si>
    <t>QT7NB</t>
  </si>
  <si>
    <t>WOS:000626775000023</t>
  </si>
  <si>
    <t>Kaarthiga, S; Keerthana, SM</t>
  </si>
  <si>
    <t>Kaarthiga, S.; Keerthana, S. M.</t>
  </si>
  <si>
    <t>Effectual Data Dissemination and Role Switching in lieu of Social Network in Disconnected MANET'S</t>
  </si>
  <si>
    <t>ICACCS 2015 PROCEEDINGS OF THE 2ND INTERNATIONAL CONFERENCE ON ADVANCED COMPUTING &amp; COMMUNICATION SYSTEMS</t>
  </si>
  <si>
    <t>Proceedings 2nd International Conference Advanced Computing Communication Systems</t>
  </si>
  <si>
    <t>JAN 05-07, 2015</t>
  </si>
  <si>
    <t>Coimbatore, INDIA</t>
  </si>
  <si>
    <t>Sri Eshwar Coll Engn,Dept CSE IT ECE &amp; EEE,IEEE,IEEE Madras Sect,IEEE Comp Soc</t>
  </si>
  <si>
    <t>Peer-to-peer content based file sharing; MANET; Interest extraction algorithm; AODV; TORA</t>
  </si>
  <si>
    <t>Peer-to-peer file sharing routine in mobile ad hoc networks (MANETs) adapts to the opportunistic nature in lieu of disconnected Manets on the other hand fails to consider the social interests of mobile nodes voguish widespread site, which can be subjugated to mend the file searching efficacy. We put forward, SPOON (Social network based P2P content-based file sharing in mObile ad hOc Network) shares file plagiaristic by interest extraction algorithm, which spring a node's interest from its files for content-based file searching. Lively node grosses lead for file sharing as ambassador and firm node for coordinating in the community as index of file for recurrent touching-base with community members. QRY (QRY) messages is continuing broadcasted in anticipation of reaching destination and UPD (Update) messages by, TORA. An interest-oriented file searching proposal for effectuality with additional line of attack for file prefetching, querying-completion, loop-prevention, and node churn consideration for auxiliary enrich of file searching, uses Gnutella for file sharing followed by TORA. For unrivalled file sharing amid communities, role-switching of lively node and firm node switched based on routine. This buoy up intact nodes in community to be erudite with index of file based on network size and to evade encumbering nodes, endow with superfluous enticements for amended consideration. User can search, share file within MANET subscription failsafe service, stay obtainable in its environs. We tested, our system on the experiment NS2 simulation with simulated social network scenarios. The test significant lower transmission cost and improves file sharing success rate compared to current methods.</t>
  </si>
  <si>
    <t>[Kaarthiga, S.] Kongunadu Coll Engn &amp; Technol, Dept Informat Technol, Tiruchirappalli, Tamil Nadu, India; [Keerthana, S. M.] Kongunadu Coll Engn &amp; Technol, Dept Informat &amp; Technol, Tiruchirappalli, Tamil Nadu, India</t>
  </si>
  <si>
    <t>Kongunadu College of Engineering &amp; Technology; Kongunadu College of Engineering &amp; Technology</t>
  </si>
  <si>
    <t>Kaarthiga, S (corresponding author), Kongunadu Coll Engn &amp; Technol, Dept Informat Technol, Tiruchirappalli, Tamil Nadu, India.</t>
  </si>
  <si>
    <t>arsha890@gmail.com; keerthanasmk@gmail.com</t>
  </si>
  <si>
    <t>M Keerthana, S/JXX-4547-2024</t>
  </si>
  <si>
    <t>978-1-4799-6438-3</t>
  </si>
  <si>
    <t>BF2DX</t>
  </si>
  <si>
    <t>WOS:000380459100063</t>
  </si>
  <si>
    <t>Yang, Y; Zhang, YC; Guan, JH; Zhou, SG; Li, W</t>
  </si>
  <si>
    <t>Jung, H; Wang, T; Toyoda, M; Kwon, HY; Lee, JW</t>
  </si>
  <si>
    <t>Yang, Yue; Zhang, Yichao; Guan, Jihong; Zhou, Shuigeng; Li, Wengen</t>
  </si>
  <si>
    <t>Disentanglement-Based Contrastive Learning and Optimization for User Identity Linkage</t>
  </si>
  <si>
    <t>DATABASE SYSTEMS FOR ADVANCED APPLICATIONS, DASFAA 2026, PT II</t>
  </si>
  <si>
    <t>31st International Conference on Database Systems for Advanced Applications-DASFAA-Annual</t>
  </si>
  <si>
    <t>APR 27-30, 2026</t>
  </si>
  <si>
    <t>Jeju, SOUTH KOREA</t>
  </si>
  <si>
    <t>User Identity Linkage (UIL); Representation Disentanglement; Online Social networks; Optimal Transport</t>
  </si>
  <si>
    <t>The proliferation of social networks has led users to engage across multiple platforms, creating a critical need to link their identities for comprehensive user profiling and personalized recommendations. Existing approaches face semantic discrepancies caused by platform-specific functions, interference from structurally similar but non-aligned nodes, many-to-one matching in similarity-based methods, and high computational complexity in Optimal Transport (OT) -based approaches. To overcome these issues, we propose a novel Disentanglement-Based Contrastive Learning and Optimization for user identity linkage. DCLO first disentangles user representations into network-specific and network-shared features while preserving semantic integrity with reconstruction constraints. A cross-network fusion layer integrates shared features of aligned users while aggregating neighborhood and network-specific features. DCLO employs cross-network and intra-network contrastive learning to enhance alignment and discrimination. Furthermore we design a unified node consistency transport cost that jointly captures semantic and structural consistency to optimize alignment inference. Extensive experiments on three real-world social network datasets demonstrate that DCLO consistently outperforms ten state-of-the-art baselines, achieving superior effectiveness, robustness, and generaliz ability.</t>
  </si>
  <si>
    <t>[Yang, Yue; Zhang, Yichao; Guan, Jihong; Li, Wengen] Tongji Univ, Sch Comp Sci &amp; Technol, Shanghai 200092, Peoples R China; [Zhou, Shuigeng] Fudan Univ, Shanghai Key Lab Intelligent Informat Proc, Shanghai 200433, Peoples R China; [Zhou, Shuigeng] Fudan Univ, Sch Comp Sci, Shanghai 200433, Peoples R China</t>
  </si>
  <si>
    <t>Tongji University; Fudan University; Fudan University</t>
  </si>
  <si>
    <t>Zhang, YC; Guan, JH (corresponding author), Tongji Univ, Sch Comp Sci &amp; Technol, Shanghai 200092, Peoples R China.</t>
  </si>
  <si>
    <t>yuey_95@tongji.edu.cn; yichaozhang@tongji.edu.cn; jhguan@tongji.edu.cn; sgzhou@fudan.edu.cn; 1wengen@tongji.edu.cn</t>
  </si>
  <si>
    <t>Guan, Jihong/PQV-5254-2026</t>
  </si>
  <si>
    <t>National Natural Science Foundation of China [62576248, 62372326]; Major Program of National Social Science Fund [24ZD185]</t>
  </si>
  <si>
    <t>National Natural Science Foundation of China(National Natural Science Foundation of China (NSFC)); Major Program of National Social Science Fund</t>
  </si>
  <si>
    <t>This work was supported in part by National Natural Science Foundation of China (No. 62576248 and No. 62372326) and Major Program of National Social Science Fund (24&amp;ZD185).</t>
  </si>
  <si>
    <t>978-981-92-0365-9; 978-981-92-0366-6</t>
  </si>
  <si>
    <t>10.1007/978-981-92-0366-6_17</t>
  </si>
  <si>
    <t>BA8GN</t>
  </si>
  <si>
    <t>WOS:001794581400017</t>
  </si>
  <si>
    <t>De Salve, A; Guidi, B; Ricci, L; Mori, P</t>
  </si>
  <si>
    <t>De Salve, Andrea; Guidi, Barbara; Ricci, Laura; Mori, Paolo</t>
  </si>
  <si>
    <t>Discovering Homophily in Online Social Networks</t>
  </si>
  <si>
    <t>MOBILE NETWORKS &amp; APPLICATIONS</t>
  </si>
  <si>
    <t>Article; Proceedings Paper</t>
  </si>
  <si>
    <t>3rd EAI International Conference on Smart Objects and Technologies for Social Good (GOODTECHS)</t>
  </si>
  <si>
    <t>NOV 29-30, 2017</t>
  </si>
  <si>
    <t>Pisa, ITALY</t>
  </si>
  <si>
    <t>EAI</t>
  </si>
  <si>
    <t>Online Social Networks; Homophily; Privacy preserving; Viral marketing; User profiling</t>
  </si>
  <si>
    <t>EGO</t>
  </si>
  <si>
    <t>During the last ten years, Online Social Networks (OSNs) have increased their popularity by becoming part of the real life of users. Despite their tremendous widespread, OSNs have introduced several privacy issues as a consequence of the nature of the information involved in these services. Indeed, the huge amount of private information produced by users of current OSNs expose the users to a number of risks. The analysis of the users' similarity in OSNs is attracting the attention of researchers because of its implications on privacy and social marketing. In particular, the homophily between users could be used to reveal important characteristics that users would like to keep hidden, hence violating the privacy of OSNs' users. Homophily has been well studied in existing sociology literature, however, it is not easily extensible in OSNs due to the lack of real datasets. In this paper, we propose an analysis of similarity of social profiles in terms of movie preferences. Results reveal the presence of homophily between users and its dependence from the tie strength. Moreover, we show that it is possible to profile a user (in our case by considering the age attribute) by exploiting movie preferences.</t>
  </si>
  <si>
    <t>[De Salve, Andrea; Mori, Paolo] CNR, Inst Informat &amp; Telemat, Pisa, Italy; [Guidi, Barbara; Ricci, Laura] Univ Pisa, Dept Comp Sci, Pisa, Italy</t>
  </si>
  <si>
    <t>Consiglio Nazionale delle Ricerche (CNR); Istituto di Informatica e Telematica (IIT-CNR); University of Pisa</t>
  </si>
  <si>
    <t>De Salve, A (corresponding author), CNR, Inst Informat &amp; Telemat, Pisa, Italy.</t>
  </si>
  <si>
    <t>andrea.desalve@iit.cnr.it; guidi@di.unipi.it; laura.ricci@unipi.it; paolo.mori@iit.cnr.it</t>
  </si>
  <si>
    <t>Guidi, Barbara/ABD-2970-2020; Mori, Paolo/AAX-9974-2020</t>
  </si>
  <si>
    <t>Mori, Paolo/0000-0002-6618-0388; De Salve, Andrea/0000-0003-1691-7182</t>
  </si>
  <si>
    <t>1383-469X</t>
  </si>
  <si>
    <t>1572-8153</t>
  </si>
  <si>
    <t>MOBILE NETW APPL</t>
  </si>
  <si>
    <t>Mobile Netw. Appl.</t>
  </si>
  <si>
    <t>10.1007/s11036-018-1067-2</t>
  </si>
  <si>
    <t>Computer Science, Hardware &amp; Architecture; Computer Science, Information Systems; Telecommunications</t>
  </si>
  <si>
    <t>Science Citation Index Expanded (SCI-EXPANDED); Social Science Citation Index (SSCI); Conference Proceedings Citation Index - Science (CPCI-S)</t>
  </si>
  <si>
    <t>HD2CY</t>
  </si>
  <si>
    <t>WOS:000452319900027</t>
  </si>
  <si>
    <t>Song, Y</t>
  </si>
  <si>
    <t>Zhu, X; Fang, ZG; Davis, H</t>
  </si>
  <si>
    <t>Song, Yi</t>
  </si>
  <si>
    <t>The Research of Micro-Blog User Preferences based on Classification Technology</t>
  </si>
  <si>
    <t>2ND INTERNATIONAL CONFERENCE ON COMPUTER ENGINEERING, INFORMATION SCIENCE AND INTERNET TECHNOLOGY, CII 2017</t>
  </si>
  <si>
    <t>DEStech Transactions on Computer Science and Engineering</t>
  </si>
  <si>
    <t>2nd International Conference on Computer Engineering, Information Science and Internet Technology (CII)</t>
  </si>
  <si>
    <t>NOV 11-12, 2017</t>
  </si>
  <si>
    <t>Sanya, PEOPLES R CHINA</t>
  </si>
  <si>
    <t>User interest; data; micro-blog; personalization</t>
  </si>
  <si>
    <t>With the growing popularity of micro-blog, micro-blog website has become the issue of mass information, research on micro-blog needs from a single user analysis of the relationship between the transition to micro-blog users and forwarding the contents of mining, this paper presents a new method for mining micro-blog user interest, will be excavated the user's interest, how to excavate user's interest preference from massive information. For example, how can we speculate that users are interested in electronic products or food is interested? At the same time, it is necessary to recommend information. To identify the user's interest, through the user's micro-blog, study the techniques for mining user based on the classification method. For example you can use the user belongs to the circle of interest of interested people recommend, or according to the characteristics of the circle group analysis of the user's personal interests, the social networking platform, how massive data automatically in mining circle is a very useful basis function.</t>
  </si>
  <si>
    <t>[Song, Yi] Harbin Huade Univ, Harbin, Heilongjiang, Peoples R China</t>
  </si>
  <si>
    <t>Song, Y (corresponding author), Harbin Huade Univ, Harbin, Heilongjiang, Peoples R China.</t>
  </si>
  <si>
    <t>Natural Science Foundation of Heilongjiang Province of China [F2015046]; National Science Foundation of China [61672185]</t>
  </si>
  <si>
    <t>Natural Science Foundation of Heilongjiang Province of China(Natural Science Foundation of Heilongjiang Province); National Science Foundation of China(National Natural Science Foundation of China (NSFC))</t>
  </si>
  <si>
    <t>This work is supported by the Natural Science Foundation of Heilongjiang Province of China (No. F2015046), the National Science Foundation of China (No. 61672185).</t>
  </si>
  <si>
    <t>2475-8841</t>
  </si>
  <si>
    <t>978-1-60595-504-9</t>
  </si>
  <si>
    <t>DESTECH TRANS COMP</t>
  </si>
  <si>
    <t>Computer Science, Information Systems; Computer Science, Theory &amp; Methods; Engineering, Multidisciplinary</t>
  </si>
  <si>
    <t>BJ6ZX</t>
  </si>
  <si>
    <t>WOS:000426985800031</t>
  </si>
  <si>
    <t>Blundo, C; De Maio, C; Parente, M; Siniscalchi, L</t>
  </si>
  <si>
    <t>Blundo, Carlo; De Maio, Carmen; Parente, Mimmo; Siniscalchi, Luisa</t>
  </si>
  <si>
    <t>Targeted Advertising That Protects the Privacy of Social Networks Users</t>
  </si>
  <si>
    <t>HUMAN-CENTRIC COMPUTING AND INFORMATION SCIENCES</t>
  </si>
  <si>
    <t>Social Media Analysis; Rough Set; Advertisement Recommendation; Private Targeted Advertisement</t>
  </si>
  <si>
    <t>Nowadays, the massive use of social media provides useful unstructured knowledge that can be used to enhance the efficacy of online brand marketing campaigns. The unstructured nature of social media content and the relevance of the contextual dimension, like time, stress the requirements for extracting users' interests during the timeline. However, user profiling could have some unpleasant consequences for users' privacy, thus raising the need to define methodologies capable of avoiding privacy leaks despite the exploitation of interactions over social media. This paper presents both an intelligent method of profiling social media users and a privacy protection technique that is designed to match users' profiles and advertisements, and which could be used by advertising agencies. The proposed method performssemantic data analysis for extracting representations of the contents of messages exchanged by users over social media (e.g.,tweets), by exploiting rough set theory. In this way, users' interestis obtained by mining their daily online activity. The proposed framework investigates two-party scenarios, i.e., scenarios composed of a social network owner and an advertising agency willing to promote its client's products through the social network. This paper presents three privacy-preserving matching protocols which enable targeted advertising without compromising the privacy of either the users or the advertisers. Starting from a recently proposed advertisement matching protocol, a private layer was added to ensure that any sensitive information of either party is kept private. In this way, the social network and the advertiser could benefit from a system which allows them to run a matching protocol with the guarantee that sensitive user data (for the social network) and business information (for the advertiser) will not be disclosed. The first two protocols require interaction between the Advertiser and the Online Social Network, while the third one outsources to a semi-trusted service provider some of the computation done during the execution of the advertisement matching. The experimental results are also presented to illustrate the proposed system's good performance to discover potentially interested users given an advertisement as input.</t>
  </si>
  <si>
    <t>[Blundo, Carlo; Parente, Mimmo] Univ Salerno, Dipartimento Sci Aziendali Management &amp; Innovat S, Fisciano, Italy; [De Maio, Carmen] Univ Salerno, Dipartimento Ingn Informaz Elettr &amp; Matemat Appli, Fisciano, Italy; [Siniscalchi, Luisa] Aarhus Univ, Concordium Blockchain Res Ctr, Aarhus, Denmark</t>
  </si>
  <si>
    <t>University of Salerno; University of Salerno; Aarhus University</t>
  </si>
  <si>
    <t>De Maio, C (corresponding author), Univ Salerno, Dipartimento Ingn Informaz Elettr &amp; Matemat Appli, Fisciano, Italy.</t>
  </si>
  <si>
    <t>cdemaio@unisa.it</t>
  </si>
  <si>
    <t>Siniscalchi, Luisa/HSI-1032-2023</t>
  </si>
  <si>
    <t>Siniscalchi, Luisa/0000-0003-1813-1132</t>
  </si>
  <si>
    <t>Korea Computer Industry Assoc-KCIA</t>
  </si>
  <si>
    <t>Seoul</t>
  </si>
  <si>
    <t>C29, 7F, 11-9, Teheran-ro 77-gil, Gangnam-gu, Seoul, SOUTH KOREA</t>
  </si>
  <si>
    <t>2192-1962</t>
  </si>
  <si>
    <t>HUM-CENT COMPUT INFO</t>
  </si>
  <si>
    <t>Human-centric Comput. Inf. Sci.</t>
  </si>
  <si>
    <t>APR 30</t>
  </si>
  <si>
    <t>10.22967/HCIS.2021.11.018</t>
  </si>
  <si>
    <t>TB7JZ</t>
  </si>
  <si>
    <t>WOS:000668122500001</t>
  </si>
  <si>
    <t>Nakatsuji, M; Miyoshi, Y; Otsuka, Y</t>
  </si>
  <si>
    <t>Cruz, I; Decker, S; Allemang, D; Preist, C; Schwabe, D; Mika, P; Uschold, M; Aroyo, L</t>
  </si>
  <si>
    <t>Nakatsuji, Makoto; Miyoshi, Yu; Otsuka, Yoshihiro</t>
  </si>
  <si>
    <t>Innovation detection based on user-interest ontology of blog community</t>
  </si>
  <si>
    <t>SEMANTIC WEB - ISEC 2006, PROCEEDINGS</t>
  </si>
  <si>
    <t>5th International Semantic Web Conference (ISWC 2006)</t>
  </si>
  <si>
    <t>NOV 05-09, 2006</t>
  </si>
  <si>
    <t>Athens, GA</t>
  </si>
  <si>
    <t>Data, Informat, &amp; Process Integrat Semant Web Serv,Semant Utilised Proc Management Enterprides,Ontotext,Vulcan,Aduna,Elsevier,Microsoft Live Labs,NeOn,Nepomuk,Nokia,Journal Web Semant,Ontoprise,SEKT,TopQuadrant,LSDIS,Saltlux</t>
  </si>
  <si>
    <t>Recently, the use of blogs has been a remarkable means to publish user interests. In order to find suitable information resources from a large amount of blog entries which are published every day, we need an information filtering technique to automatically transcribe user interests to a user profile in detail. In this paper, we first classify user blog entries into service domain ontologies and extract interest ontologies that express a user's interests semantically as a hierarchy of classes according to interest weight by a top-down approach. Next, with a bottom-up approach, users modify their interest ontologies to update their interests in more detail. Furthermore, we propose a similarity measurement between ontologies considering the interest weight assigned to each class and instance. Then, we detect innovative blog entries that include concepts that the user has not thought about in the past based on the analysis of approximated ontologies of a user's interests. We present experimental results that demonstrate the performance of our proposed methods using a large-scale blog entries and music domain ontologies.</t>
  </si>
  <si>
    <t>[Nakatsuji, Makoto; Miyoshi, Yu; Otsuka, Yoshihiro] NTT Corp, NTT Network Serv Syst Labs, 9-11 Midori Cho 3 Chome, Musashino, Tokyo 1808585, Japan</t>
  </si>
  <si>
    <t>NTT, Inc</t>
  </si>
  <si>
    <t>Nakatsuji, M (corresponding author), NTT Corp, NTT Network Serv Syst Labs, 9-11 Midori Cho 3 Chome, Musashino, Tokyo 1808585, Japan.</t>
  </si>
  <si>
    <t>nakatsuji.makoto@lab.ntt.co.jp; miyoshi.yu@lab.ntt.co.jp; otsuka.yoshihiro@lab.ntt.co.jp</t>
  </si>
  <si>
    <t>3-540-49029-9</t>
  </si>
  <si>
    <t>BFN00</t>
  </si>
  <si>
    <t>WOS:000243131100037</t>
  </si>
  <si>
    <t>Khodorchenko, M</t>
  </si>
  <si>
    <t>Klimova, A; Bilas, A; Harmandaris, V; Kozanitis, C; Holyst, J; Boukhanovsky, A</t>
  </si>
  <si>
    <t>Khodorchenko, Maria</t>
  </si>
  <si>
    <t>Distant supervision and knowledge transfer for domain-oriented text classification in online social networks</t>
  </si>
  <si>
    <t>8TH INTERNATIONAL YOUNG SCIENTISTS CONFERENCE ON COMPUTATIONAL SCIENCE, YSC2019</t>
  </si>
  <si>
    <t>8th International Young Scientists Conference on Computational Science (YSC)</t>
  </si>
  <si>
    <t>JUN 24-28, 2019</t>
  </si>
  <si>
    <t>Univ Amsterdam, Heraklion, GREECE</t>
  </si>
  <si>
    <t>ITMO Univ,Fdn Res &amp; Technol Hellas,Univ Crete</t>
  </si>
  <si>
    <t>Univ Amsterdam</t>
  </si>
  <si>
    <t>Distant Supervision; Text Classification; Bayesian Optimization</t>
  </si>
  <si>
    <t>Social networks are known to reflect users preferences and traits, for instance, in the form of posts and comments. This data can be used to solve various user profiling tasks that involve classifiers construction. State-of-the-art NLP models, despite their superior performance, still require manually labelled train and test datasets of significant, however, reduced size. The labelling with the help of user assessors may be impeded by the task complexity or lack of financial or time resources. Thus, we address an alternative distant supervision approach which helps to relatively easy acquire data, while producing noisy observations and imbalanced classes. In this work, we propose an approach to diminish the downsides of distant supervision by introducing how the subsets should be formed and how to optimize the training dataset structure. (C) 2019 The Authors. Published by Elsevier Ltd. This is an open access article under the CC BY-NC -ND license (https://creativecommons.org/licenses/by-nc-nd/4.0/) Peer-review under responsibility of the scientific committee of the 8th International Young Scientist Conference on Computational Science.</t>
  </si>
  <si>
    <t>[Khodorchenko, Maria] ITMO Univ, 49 Kronverksky Pr, St Petersburg 197101, Russia</t>
  </si>
  <si>
    <t>Khodorchenko, M (corresponding author), ITMO Univ, 49 Kronverksky Pr, St Petersburg 197101, Russia.</t>
  </si>
  <si>
    <t>mkhodorchenko@niuitmo.ru</t>
  </si>
  <si>
    <t>Khodorchenko, Maria/F-5126-2018</t>
  </si>
  <si>
    <t>Khodorchenko, Maria/0000-0001-5446-5311</t>
  </si>
  <si>
    <t>Russian Science Foundation [17-71-30029]; Bank Saint Petersburg; Russian Science Foundation [17-71-30029] Funding Source: Russian Science Foundation</t>
  </si>
  <si>
    <t>Russian Science Foundation(Russian Science Foundation (RSF)); Bank Saint Petersburg; Russian Science Foundation(Russian Science Foundation (RSF))</t>
  </si>
  <si>
    <t>This research is financially supported by The Russian Science Foundation, Agreement No17-71-30029 with co-financing of Bank Saint Petersburg.</t>
  </si>
  <si>
    <t>Radarweg 29, PO Box 211, AMSTERDAM, NETHERLANDS</t>
  </si>
  <si>
    <t>10.1016/j.procs.2019.08.192</t>
  </si>
  <si>
    <t>Computer Science, Interdisciplinary Applications; Computer Science, Software Engineering; Computer Science, Theory &amp; Methods; Mathematics, Applied</t>
  </si>
  <si>
    <t>BR1TO</t>
  </si>
  <si>
    <t>WOS:000635440400021</t>
  </si>
  <si>
    <t>Chen, WJ; Gu, YL; Ren, ZC; He, XN; Xie, HT; Guo, T; Yin, DW; Zhang, YD</t>
  </si>
  <si>
    <t>Kraus, S</t>
  </si>
  <si>
    <t>Chen, Weijian; Gu, Yulong; Ren, Zhaochun; He, Xiangnan; Xie, Hongtao; Guo, Tong; Yin, Dawei; Zhang, Yongdong</t>
  </si>
  <si>
    <t>Semi-supervised User Profiling with Heterogeneous Graph Attention Networks</t>
  </si>
  <si>
    <t>PROCEEDINGS OF THE TWENTY-EIGHTH INTERNATIONAL JOINT CONFERENCE ON ARTIFICIAL INTELLIGENCE</t>
  </si>
  <si>
    <t>28th International Joint Conference on Artificial Intelligence</t>
  </si>
  <si>
    <t>AUG 10-16, 2019</t>
  </si>
  <si>
    <t>Macao, PEOPLES R CHINA</t>
  </si>
  <si>
    <t>Int Joint Conf Artifical Intelligence</t>
  </si>
  <si>
    <t>Aiming to represent user characteristics and personal interests, the task of user profiling is playing an increasingly important role for many real-world applications, e.g., e-commerce and social networks platforms. By exploiting the data like texts and user behaviors, most existing solutions address user profiling as a classification task, where each user is formulated as an individual data instance. Nevertheless, a user's profile is not only reflected from her/his affiliated data, but also can be inferred from other users, e.g., the users that have similar co-purchase behaviors in e-commerce, the friends in social networks, etc. In this paper, we approach user profiling in a semi-supervised manner, developing a generic solution based on heterogeneous graph learning. On the graph, nodes represent the entities of interest (e.g., users, items, attributes of items, etc.), and edges represent the interactions between entities. Our heterogeneous graph attention networks (HGAT) method learns the representation for each entity by accounting for the graph structure, and exploits the attention mechanism to discriminate the importance of each neighbor entity. Through such a learning scheme, HGAT can leverage both unsupervised information and limited labels of users to build the predictor. Extensive experiments on a real-world e-commerce dataset verify the effectiveness and rationality of our HGAT for user profiling.</t>
  </si>
  <si>
    <t>[Chen, Weijian; He, Xiangnan; Xie, Hongtao; Guo, Tong; Zhang, Yongdong] Univ Sci &amp; Technol China, Hefei, Peoples R China; [Gu, Yulong; Yin, Dawei] JD Com, Beijing, Peoples R China; [Ren, Zhaochun] Shandong Univ, Jinan, Peoples R China</t>
  </si>
  <si>
    <t>Chinese Academy of Sciences; University of Science &amp; Technology of China, CAS; Shandong University</t>
  </si>
  <si>
    <t>He, XN (corresponding author), Univ Sci &amp; Technol China, Hefei, Peoples R China.;Ren, ZC (corresponding author), Shandong Univ, Jinan, Peoples R China.</t>
  </si>
  <si>
    <t>naure@mail.ustc.edu.cn; guyulongcs@gmail.com; zhaochun.ren@sdu.edu.cn; xiangnanhe@gmail.com; htxie@ustc.edu.cn; gt1996@mail.ustc.edu.cn; yindawei@acm.org; zhyd73@ustc.edu.cn</t>
  </si>
  <si>
    <t>Zhang, Yongdong/ADH-3314-2022</t>
  </si>
  <si>
    <t>Chen, Weijian/0000-0001-8639-3965; Gu, Yulong/0000-0001-7288-6910; Ren, Zhaochun/0000-0002-9076-6565; Yin, Dawei/0000-0002-0684-6205</t>
  </si>
  <si>
    <t>National Key Research and Development Program of China [2017YFC0820600]; National Defense Science and Technology Fund for Distinguished Young Scholars [2017-JCJQ-ZQ-022]; National Nature Science Foundation of China [61525206, 61771468]; Youth Innovation Promotion Association Chinese Academy of Sciences [2017209]</t>
  </si>
  <si>
    <t>National Key Research and Development Program of China(National Key Research &amp; Development Program of China); National Defense Science and Technology Fund for Distinguished Young Scholars; National Nature Science Foundation of China(National Natural Science Foundation of China (NSFC)); Youth Innovation Promotion Association Chinese Academy of Sciences</t>
  </si>
  <si>
    <t>This work is supported by the National Key Research and Development Program of China (2017YFC0820600), National Defense Science and Technology Fund for Distinguished Young Scholars (2017-JCJQ-ZQ-022), the National Nature Science Foundation of China (61525206, 61771468), the Youth Innovation Promotion Association Chinese Academy of Sciences (2017209).</t>
  </si>
  <si>
    <t>978-0-9992411-4-1</t>
  </si>
  <si>
    <t>BS7HT</t>
  </si>
  <si>
    <t>WOS:000761735102036</t>
  </si>
  <si>
    <t>Yang, LQ; Hsieh, CK; Estrin, D</t>
  </si>
  <si>
    <t>Yang, Longqi; Hsieh, Cheng-Kang; Estrin, Deborah</t>
  </si>
  <si>
    <t>Beyond Classification: Latent User Interests Profiling from Visual Contents Analysis</t>
  </si>
  <si>
    <t>visual preference; personalization; siamese CNN</t>
  </si>
  <si>
    <t>User preference profiling is an important task in modern online social networks (OSN). With the proliferation of image-centric social platforms, such as Pinterest, visual contents have become one of the most informative data streams for understanding user preferences. Traditional approaches usually treat visual content analysis as a general classification problem where one or more labels are assigned to each image. Although such an approach simplifies the process of image analysis, it misses the rich context and visual cues that play an important role in people's perception of images. In this paper, we explore the possibilities of learning a user's latent visual preferences directly from image contents. We propose a distance metric learning method based on Deep Convolutional Neural Networks (CNN) to directly extract similarity information from visual contents and use the derived distance metric to mine individual users' fine-grained visual preferences. Through our preliminary experiments using data from 5,790 Pinterest users, we show that even for the images within the same category, each user possesses distinct and individually-identifiable visual preferences that are consistent over their lifetime. Our results underscore the untapped potential of finer-grained visual preference profiling in understanding users' preferences.</t>
  </si>
  <si>
    <t>[Yang, Longqi; Estrin, Deborah] Cornell Tech, Dept Comp Sci, New York, NY 10011 USA; [Hsieh, Cheng-Kang] Univ Calif Los Angeles, Dept Comp Sci, Los Angeles, CA 90024 USA</t>
  </si>
  <si>
    <t>Yang, LQ (corresponding author), Cornell Tech, Dept Comp Sci, New York, NY 10011 USA.</t>
  </si>
  <si>
    <t>ylongqi@cs.cornell.edu; changun@cs.ucla.edu; destrin@cs.cornell.edu</t>
  </si>
  <si>
    <t>Yang, Longqi/AAG-5184-2021</t>
  </si>
  <si>
    <t>10.1109/ICDMW.2015.160</t>
  </si>
  <si>
    <t>WOS:000380556700192</t>
  </si>
  <si>
    <t>Wang, SK; Li, XT; Ye, YM; Feng, SS; Lau, RYK; Huang, XH; Du, XL</t>
  </si>
  <si>
    <t>Wang, Shaokai; Li, Xutao; Ye, Yunming; Feng, Shanshan; Lau, Raymond Y. K.; Huang, Xiaohui; Du, Xiaolin</t>
  </si>
  <si>
    <t>Anchor Link Prediction across Attributed Networks via Network Embedding</t>
  </si>
  <si>
    <t>anchor link prediction; network embedding; attributed network</t>
  </si>
  <si>
    <t>Presently, many users are involved in multiple social networks. Identifying the same user in different networks, also known as anchor link prediction, becomes an important problem, which can serve numerous applications, e.g., cross-network recommendation, user profiling, etc. Previous studies mainly use hand-crafted structure features, which, if not carefully designed, may fail to reflect the intrinsic structure regularities. Moreover, most of the methods neglect the attribute information of social networks. In this paper, we propose a novel semi-supervised network-embedding model to address the problem. In the model, each node of the multiple networks is represented by a vector for anchor link prediction, which is learnt with awareness of observed anchor links as semi-supervised information, and topology structure and attributes as input. Experimental results on the real-world data sets demonstrate the superiority of the proposed model compared to state-of-the-art techniques.</t>
  </si>
  <si>
    <t>[Wang, Shaokai] Peking Univ, Guanghua Sch Management, Beijing 100871, Peoples R China; [Wang, Shaokai] Harvest Fund Management Co Ltd, Beijing 100005, Peoples R China; [Li, Xutao; Ye, Yunming] Harbin Inst Technol, Sch Comp Sci &amp; Technol, Shenzhen 518055, Peoples R China; [Feng, Shanshan] Tencent, Shenzhen 518057, Peoples R China; [Lau, Raymond Y. K.] City Univ Hong Kong, Dept Informat Syst, Kowloon Tong, Hong Kong, Peoples R China; [Huang, Xiaohui] East China Jiaotong Univ, Sch Informat Engn Dept, Nanchang 330013, Jiangxi, Peoples R China; [Du, Xiaolin] Beijing Univ Technol, Coll Comp Sci, Beijing 100124, Peoples R China</t>
  </si>
  <si>
    <t>Peking University; Harbin Institute of Technology; Tencent; City University of Hong Kong; East China Jiaotong University; Beijing University of Technology</t>
  </si>
  <si>
    <t>Ye, YM (corresponding author), Harbin Inst Technol, Sch Comp Sci &amp; Technol, Shenzhen 518055, Peoples R China.</t>
  </si>
  <si>
    <t>wangsk@pku.edu.cn; lixutao@hit.edu.cn; yeyunming@hit.edu.cn; sfeng003@e.ntu.edu.sg; raylau@cityu.edu.hk; hxh016@gmail.com; du_xiaolin@bjut.edu.cn</t>
  </si>
  <si>
    <t>huang, xiaohui/KRP-2903-2024; Ye, Yunming/N-8557-2015</t>
  </si>
  <si>
    <t>NSFC [U1836107, 61602132, 61562027, 61572158]; Natural Science Foundation of Jiangxi Province [20181BAB202024]; Education Department of Jiangxi Province [GJJ170413]; China Postdoctoral Science Foundation [2018M640368]; RGC of the Hong Kong SAR [CityU 11502115, CityU 11525716]; NSFC Basic Research Program [71671155]; CityU Shenzhen Research Institute</t>
  </si>
  <si>
    <t>NSFC(National Natural Science Foundation of China (NSFC)); Natural Science Foundation of Jiangxi Province(Natural Science Foundation of Jiangxi Province); Education Department of Jiangxi Province; China Postdoctoral Science Foundation(China Postdoctoral Science Foundation); RGC of the Hong Kong SAR; NSFC Basic Research Program; CityU Shenzhen Research Institute</t>
  </si>
  <si>
    <t>This research was funded by the NSFC under Grant No. U1836107, 61602132, 61562027 and 61572158, the Natural Science Foundation of Jiangxi Province under Grant No. 20181BAB202024, and Education Department of Jiangxi Province under Grant No. GJJ170413, China Postdoctoral Science Foundation (Grant No. 2018M640368). Lau's work is supported by grants from the RGC of the Hong Kong SAR (Projects: CityU 11502115 and CityU 11525716), the NSFC Basic Research Program (Project: 71671155), and the CityU Shenzhen Research Institute.</t>
  </si>
  <si>
    <t>10.3390/e21030254</t>
  </si>
  <si>
    <t>HU9DV</t>
  </si>
  <si>
    <t>WOS:000465594700005</t>
  </si>
  <si>
    <t>Jiang, JQ; Huang, KX; Zhou, HQ; Lu, HY; An, PC</t>
  </si>
  <si>
    <t>Jiang, Jiaqi; Huang, Kexin; Zhou, Hanqing; Lu, Huiying; An, Pengcheng</t>
  </si>
  <si>
    <t>Visiobo Demo: Augmenting Static Prints with Projection-based Visual Cueing and Concept Mapping via LLM Reasoning</t>
  </si>
  <si>
    <t>EXTENDED ABSTRACTS OF THE 2025 CHI CONFERENCE ON HUMAN FACTORS IN COMPUTING SYSTEMS, CHI 2025</t>
  </si>
  <si>
    <t>2025 Conference on Human Factors in Computing Systems-CHI</t>
  </si>
  <si>
    <t>APR 26-MAY 01, 2025</t>
  </si>
  <si>
    <t>Yokohama, JAPAN</t>
  </si>
  <si>
    <t>ACM SIGCHI</t>
  </si>
  <si>
    <t>Interactive posters; Visual enhancements; Conversational agents; Cueing</t>
  </si>
  <si>
    <t>Posters are widely used for information dissemination, but their static nature and limited interactivity often hinder engagement and personalized learning experiences. We introduce a guide agent Visiobo designed to enhance poster reading by providing personalized support and dynamic visual augmentations. Visiobo overlays cueing (e.g., highlights, arrows) to help users quickly locate key information and employs concept mapping to address the content limitations of static posters by offering structured, relevant information. The user study with 12 participants demonstrated that by dynamically adapting to user interests and seamlessly integrating voice interaction with visual overlay cueing and concept mapping, Visiobo provides an engaging and enriched poster reading experience.</t>
  </si>
  <si>
    <t>[Jiang, Jiaqi; Huang, Kexin; Zhou, Hanqing; An, Pengcheng] Southern Univ Sci &amp; Technol, Sch Design, Shenzhen, Peoples R China; [Lu, Huiying] Harbin Inst Technol, Harbin, Peoples R China</t>
  </si>
  <si>
    <t>Southern University of Science &amp; Technology; Harbin Institute of Technology</t>
  </si>
  <si>
    <t>An, PC (corresponding author), Southern Univ Sci &amp; Technol, Sch Design, Shenzhen, Peoples R China.</t>
  </si>
  <si>
    <t>jiangjiaqi1206@gmail.com; 12333220@mail.sustech.edu.cn; 12331483@mail.sustech.edu.cn; 24s034086@stu.hit.edu.cn; anpc@sustech.edu.cn</t>
  </si>
  <si>
    <t>Huang, Kexin/AAM-4395-2020; lu, huiying/QQY-7030-2026</t>
  </si>
  <si>
    <t>Zhou, Hanqing/0009-0004-2077-6030;</t>
  </si>
  <si>
    <t>979-8-4007-1395-8</t>
  </si>
  <si>
    <t>10.1145/3706599.3721169</t>
  </si>
  <si>
    <t>Computer Science, Information Systems; Computer Science, Theory &amp; Methods; Robotics</t>
  </si>
  <si>
    <t>BY7VV</t>
  </si>
  <si>
    <t>WOS:001496972000850</t>
  </si>
  <si>
    <t>Karidi, DP; Stavrakas, Y; Vassiliou, Y</t>
  </si>
  <si>
    <t>Karidi, Danae Pla; Stavrakas, Yannis; Vassiliou, Yannis</t>
  </si>
  <si>
    <t>Tweet and followee personalized recommendations based on knowledge graphs</t>
  </si>
  <si>
    <t>Social recommendation; Content based recommender systems; Knowledge graph; Tweet recommendation; User recommendation</t>
  </si>
  <si>
    <t>TOPOLOGY-BASED RECOMMENDATION; REAL-TIME; USERS</t>
  </si>
  <si>
    <t>Twitter users get the latest tweets of their followees on their timeline. However, they are often overwhelmed by the large number of tweets, which makes it difficult for them to find interesting information among them. In this work, we present an efficient semantic recommendation method that helps users filter the Twitter stream for interesting content. The foundation of this method is a knowledge graph (KG) that can represent all user topics of interest as a variety of concepts, objects, events, persons, entities, locations and the relations between them. Our method uses the KG and graph theory algorithms not yet applied in social network analysis in order to construct user interest profiles by retrieving semantic information from tweets. Next, it produces ranked tweet recommendations. In addition, we use the KG to calculate interest similarity between users, and we present a followee recommender based on the same underlying principles. An important advantage of our method is that it reduces the effects of problems such as over-recommendation and over-specialization. As another advantage, our method is not impaired by the limitations posed by Twitter on the availability of the user graph data. We implemented from scratch the best-known state-of-the-art approaches in order to compare with them and assess our method. Moreover, we evaluate the efficiency and runtime scalability of our method.</t>
  </si>
  <si>
    <t>[Karidi, Danae Pla; Stavrakas, Yannis] Athena RC, IMIS, Athens, Greece; [Vassiliou, Yannis] NTUA, Athens, Greece</t>
  </si>
  <si>
    <t>National Technical University of Athens</t>
  </si>
  <si>
    <t>Karidi, DP (corresponding author), Athena RC, IMIS, Athens, Greece.</t>
  </si>
  <si>
    <t>danae@imis.athena-innovation.gr; yannis@imis.athena-innovation.gr; yv@cs.ntua.gr</t>
  </si>
  <si>
    <t>Pla Karidi, Danae/0000-0002-3154-6212; Stavrakas, Yannis/0000-0002-7445-094X</t>
  </si>
  <si>
    <t>10.1007/s12652-017-0491-7</t>
  </si>
  <si>
    <t>GW2QT</t>
  </si>
  <si>
    <t>WOS:000446730900021</t>
  </si>
  <si>
    <t>Bland, T; Guo, MZ; Dousay, TA</t>
  </si>
  <si>
    <t>Bland, Tyler; Guo, Meize; Dousay, Tonia A.</t>
  </si>
  <si>
    <t>Multimedia design for learner interest and achievement: a visual guide to pharmacology</t>
  </si>
  <si>
    <t>BMC MEDICAL EDUCATION</t>
  </si>
  <si>
    <t>Multimedia learning; Design principles; Situational interest; Student motivation; Student achievement</t>
  </si>
  <si>
    <t>SITUATIONAL INTEREST; METAANALYSIS; PRINCIPLES; MODEL</t>
  </si>
  <si>
    <t>Background Medical education increasingly relies on digital learning materials. Despite recognition by the Association of American Medical Colleges Institute for Improving Medical Education, medical education design often fails to consider quality multimedia design principles. Further, the AAMC-IIME issued a call to study the role of design principles in medical education. Thus, the current study investigated the cognitive and affective effects of redesigning PowerPoint slides used to support pharmacology content during the preclinical years of medical school training. Methods Researchers implemented a quasi-experimental design, using traditionally-designed (original) slides with a Traditional group (n = 100) and slides redesigned to follow principles from the Cognitive Theory of Multimedia Learning with an Experimental group (n = 40). Participants in the Experimental group completed a post-survey incorporating the Situational Interest Survey for Multimedia to indicate motivational engagement with the media. Students in the Experimental group also responded to additional preference questions. Researchers analyzed survey responses and students' scores in pharmacology-related coursework across the preclinical Foundations Phase of training to determine the impact on achievement and motivation. Results Findings related to learner achievement showed a modest but significant increase in the Experimental group compared to the Traditional group in the Cardiac, Pulmonary, and Renal (CPR) educational block (105%, normalized to Traditional group, p = 0.013) and cumulative pharmacology grades (101%, normalized to Traditional group, p = 0.043). Additionally, participants in the Experimental group indicated a significantly higher average triggered situational interest in redesigned slides (M = 4.85, SD = 0.25) than the original slides (M = 3.23, SD = 1.40, t=-6.33, p &lt; 0.001). Similarly, the interest rating of the redesigned slides (M = 4.87, SD = 0.24) was significantly greater than that of the original slides (M = 3.89, SD = 0.86, t=-6.824, p &lt; 0.001). Moreover, results further indicated significant differences in the maintained-feeling and maintained-value constructs, and all participants in the Experimental group indicated a preference for the redesigned slides. Conclusions The findings provide strong evidence in support of using the Cognitive Theory of Multimedia Learning design principles to intentionally design media in medical education. In addition to increased achievement scores, students in the Experimental group demonstrated significantly higher levels of situational interest in the redesigned slides, especially triggered interest and maintained-feeling interest. Medical education learning designers should seriously consider redesigning media to achieve similar results.</t>
  </si>
  <si>
    <t>[Bland, Tyler] Univ Idaho, WWAMI Med Educ Program, Moscow, ID 83844 USA; [Guo, Meize] Univ Florida, Coll Educ, Kenneth C Griffin Comp Sci Educ All Initiat, Gainesville, FL USA; [Dousay, Tonia A.] Univ Alaska Anchorage, Sch Educ, Anchorage, AK USA</t>
  </si>
  <si>
    <t>University of Idaho; State University System of Florida; University of Florida; University of Alaska System; University of Alaska Anchorage</t>
  </si>
  <si>
    <t>Bland, T (corresponding author), Univ Idaho, WWAMI Med Educ Program, Moscow, ID 83844 USA.</t>
  </si>
  <si>
    <t>tbland@uidaho.edu</t>
  </si>
  <si>
    <t>; /S-7494-2019; Dousay, Tonia/D-1112-2018</t>
  </si>
  <si>
    <t>Guo, Meize/0000-0002-3013-964X; Dousay, Tonia/0000-0002-1695-0479</t>
  </si>
  <si>
    <t>University of Idaho WWAMI Medical Education Program</t>
  </si>
  <si>
    <t>Acknowledgments are not applicable to this study.</t>
  </si>
  <si>
    <t>BMC</t>
  </si>
  <si>
    <t>CAMPUS, 4 CRINAN ST, LONDON N1 9XW, ENGLAND</t>
  </si>
  <si>
    <t>1472-6920</t>
  </si>
  <si>
    <t>BMC MED EDUC</t>
  </si>
  <si>
    <t>BMC Med. Educ.</t>
  </si>
  <si>
    <t>10.1186/s12909-024-05077-y</t>
  </si>
  <si>
    <t>HF7M3</t>
  </si>
  <si>
    <t>WOS:001158143000004</t>
  </si>
  <si>
    <t>Zhao, K; Wang, X; Cha, S; Cohn, AM; Papandonatos, GD; Amato, MS; Pearson, JL; Graham, AL</t>
  </si>
  <si>
    <t>Zhao, Kang; Wang, Xi; Cha, Sarah; Cohn, Amy M.; Papandonatos, George D.; Amato, Michael S.; Pearson, Jennifer L.; Graham, Amanda L.</t>
  </si>
  <si>
    <t>A Multirelational Social Network Analysis of an Online Health Community for Smoking Cessation</t>
  </si>
  <si>
    <t>JOURNAL OF MEDICAL INTERNET RESEARCH</t>
  </si>
  <si>
    <t>social networks; smoking cessation; community networks</t>
  </si>
  <si>
    <t>SUPPORT GROUP; VIRTUAL COMMUNITIES; INTERNET; COMMUNICATION; BEHAVIOR; FORUM</t>
  </si>
  <si>
    <t>Background: Online health communities (OHCs) provide a convenient and commonly used way for people to connect around shared health experiences, exchange information, and receive social support. Users often interact with peers via multiple communication methods, forming a multirelational social network. Use of OHCs is common among smokers, but to date, there have been no studies on users' online interactions via different means of online communications and how such interactions are related to smoking cessation. Such information can be retrieved in multirelational social networks and could be useful in the design and management of OHCs. Objective: To examine the social network structure of an OHC for smoking cessation using a multirelational approach, and to explore links between subnetwork position (ie, centrality) and smoking abstinence. Methods: We used NetworkX to construct 4 subnetworks based on users' interactions via blogs, group discussions, message boards, and private messages. We illustrated topological properties of each subnetwork, including its degree distribution, density, and connectedness, and compared similarities among these subnetworks by correlating node centrality and measuring edge overlap. We also investigated coevolution dynamics of this multirelational network by analyzing tie formation sequences across subnetworks. In a subset of users who participated in a randomized, smoking cessation treatment trial, we conducted user profiling based on users' centralities in the 4 subnetworks and identified user groups using clustering techniques. We further examined 30-day smoking abstinence at 3 months postenrollment in relation to users' centralities in the 4 subnetworks. Results: The 4 subnetworks have different topological characteristics, with message board having the most nodes (36,536) and group discussion having the highest network density (4.35x10(-3)). Blog and message board subnetworks had the most similar structures with an in-degree correlation of .45, out-degree correlation of .55, and Jaccard coefficient of .23 for edge overlap. A new tie in the group discussion subnetwork had the lowest probability of triggering subsequent ties among the same two users in other subnetworks: 6.33% (54,142/855,893) for 2-tie sequences and 2.13% (18,207/855,893) for 3-tie sequences. Users' centralities varied across the 4 subnetworks. Among a subset of users enrolled in a randomized trial, those with higher centralities across subnetworks generally had higher abstinence rates, although high centrality in the group discussion subnetwork was not associated with higher abstinence rates. Conclusions: A multirelational approach revealed insights that could not be obtained by analyzing the aggregated network alone, such as the ineffectiveness of group discussions in triggering social ties of other types, the advantage of blogs, message boards, and private messages in leading to subsequent social ties of other types, and the weak connection between one's centrality in the group discussion subnetwork and smoking abstinence. These insights have implications for the design and management of online social networks for smoking cessation.</t>
  </si>
  <si>
    <t>[Zhao, Kang] Univ Iowa, Dept Management Sci, Tippie Coll Business, S224 PBB, Iowa City, IA 52242 USA; [Wang, Xi] Univ Iowa, Interdisciplinary Grad Program Informat, Iowa City, IA USA; [Cha, Sarah; Cohn, Amy M.; Amato, Michael S.; Pearson, Jennifer L.; Graham, Amanda L.] Truth Initiat, Schroeder Inst Tobacco Res &amp; Policy Studies, Washington, DC USA; [Cohn, Amy M.; Graham, Amanda L.] Georgetown Univ, Med Ctr, Dept Oncol, Canc Prevent &amp; Control Program,Lombardi Comprehen, Washington, DC 20007 USA; [Papandonatos, George D.] Brown Univ, Ctr Stat Sci, Providence, RI 02912 USA; [Pearson, Jennifer L.] Johns Hopkins Univ, Bloomberg Sch Publ Hlth, Dept Hlth Behav &amp; Soc, Baltimore, MD USA</t>
  </si>
  <si>
    <t>University of Iowa; University of Iowa; Georgetown University; Brown University; Johns Hopkins University; Johns Hopkins Bloomberg School of Public Health</t>
  </si>
  <si>
    <t>Zhao, K (corresponding author), Univ Iowa, Dept Management Sci, Tippie Coll Business, S224 PBB, Iowa City, IA 52242 USA.</t>
  </si>
  <si>
    <t>kang-zhao@uiowa.edu</t>
  </si>
  <si>
    <t>; WANG, XI/AAJ-8100-2020; Papandonatos, George Dennis/J-2328-2014; Pearson, Jennifer/AAZ-9398-2020</t>
  </si>
  <si>
    <t>Cohn, Amy M/0000-0001-9034-4293; Zhao, Kang/0000-0002-8321-2804; WANG, XI/0000-0002-7568-0851; Papandonatos, George Dennis/0000-0001-6770-932X; Pearson, Jennifer/0000-0002-1400-5932; Cha, Sarah/0000-0003-3505-3164; Graham, Amanda/0000-0003-3036-9653; Amato, Michael/0000-0002-9769-957X</t>
  </si>
  <si>
    <t>National Cancer Institute of the National Institutes of Health [R01 CA192345]</t>
  </si>
  <si>
    <t>National Cancer Institute of the National Institutes of Health(United States Department of Health &amp; Human ServicesNational Institutes of Health (NIH) - USANIH National Cancer Institute (NCI))</t>
  </si>
  <si>
    <t>This work is supported by the National Cancer Institute of the National Institutes of Health (#R01 CA192345).</t>
  </si>
  <si>
    <t>JMIR PUBLICATIONS, INC</t>
  </si>
  <si>
    <t>TORONTO</t>
  </si>
  <si>
    <t>130 QUEENS QUAY E, STE 1102, TORONTO, ON M5A 0P6, CANADA</t>
  </si>
  <si>
    <t>1438-8871</t>
  </si>
  <si>
    <t>J MED INTERNET RES</t>
  </si>
  <si>
    <t>J. Med. Internet Res.</t>
  </si>
  <si>
    <t>e233</t>
  </si>
  <si>
    <t>10.2196/jmir.5985</t>
  </si>
  <si>
    <t>EC9WT</t>
  </si>
  <si>
    <t>WOS:000388495700028</t>
  </si>
  <si>
    <t>Liu, B; Fu, YJ; Yao, ZJ; Xiong, H</t>
  </si>
  <si>
    <t>Liu, Bin; Fu, Yanjie; Yao, Zijun; Xiong, Hui</t>
  </si>
  <si>
    <t>Learning Geographical Preferences for Point-of-Interest Recommendation</t>
  </si>
  <si>
    <t>19TH ACM SIGKDD INTERNATIONAL CONFERENCE ON KNOWLEDGE DISCOVERY AND DATA MINING (KDD'13)</t>
  </si>
  <si>
    <t>19th ACM SIGKDD International Conference on Knowledge Discovery and Data Mining (KDD)</t>
  </si>
  <si>
    <t>AUG 11-14, 2013</t>
  </si>
  <si>
    <t>Chicago, IL</t>
  </si>
  <si>
    <t>Assoc Comp Machinery,ACM SIGKDD Org,ACM SIGMOD</t>
  </si>
  <si>
    <t>Location-based Social Networks; Point-of-Interest; Recommender Systems; Hunan Mobility; User Profiling</t>
  </si>
  <si>
    <t>The problem of point of interest (POI) recommendation is to provide personalized recommendations of places of interests, such as restaurants, for mobile users. Due to its complexity and its connection to location based social networks (LBSNs), the decision process of a user choose a POI is complex and can be influenced by various factors, such as user preferences, geographical influences, and user mobility behaviors. While there are some studies on POI recommendations, it lacks of integrated analysis of the joint effect of multiple factors. To this end, in this paper, we propose a novel geographical probabilistic factor analysis framework which strategically takes various factors into consideration. Specifically, this framework allows to capture the geographical influences on a user's check-in behavior. Also, the user mobility behaviors can be effectively exploited in the recommendation model. Moreover, the recommendation model can effectively make use of user check-in count data as implicity user feedback for modeling user preferences. Finally, experimental results on real-world LBSNs data show that the proposed recommendation method outperforms state-of-the-art latent factor models with a significant margin.</t>
  </si>
  <si>
    <t>[Liu, Bin; Fu, Yanjie; Yao, Zijun; Xiong, Hui] Rutgers State Univ, Rutgers Business Sch, New Brunswick, NJ 08901 USA</t>
  </si>
  <si>
    <t>Rutgers University System; Rutgers University New Brunswick</t>
  </si>
  <si>
    <t>Xiong, H (corresponding author), Rutgers State Univ, Rutgers Business Sch, New Brunswick, NJ 08901 USA.</t>
  </si>
  <si>
    <t>binben.liu@rutgers.edu; yanjie.fu@rutgers.edu; zijun.yao@rutgers.edu; hxiong@rutgers.edu</t>
  </si>
  <si>
    <t>National Science Foundation (NSF) [CCF-1018151, IIS-1256016]; Natural Science Foundation of China [71028002]</t>
  </si>
  <si>
    <t>National Science Foundation (NSF)(National Science Foundation (NSF)); Natural Science Foundation of China(National Natural Science Foundation of China (NSFC))</t>
  </si>
  <si>
    <t>This research was partially supported by National Science Foundation (NSF) via grant numbers CCF-1018151 and IIS-1256016. Also, it was supported in part by Natural Science Foundation of China (71028002).</t>
  </si>
  <si>
    <t>978-1-4503-2174-7</t>
  </si>
  <si>
    <t>BO1WP</t>
  </si>
  <si>
    <t>WOS:000502730600120</t>
  </si>
  <si>
    <t>Zhou, XK; Wang, W; Jin, Q</t>
  </si>
  <si>
    <t>Zhou, Xiaokang; Wang, Wei; Jin, Qun</t>
  </si>
  <si>
    <t>Multi-dimensional attributes and measures for dynamical user profiling in social networking environments</t>
  </si>
  <si>
    <t>User attribute description; User profiling; Social network analysis; Information behavior analysis; Social media; Information seeking</t>
  </si>
  <si>
    <t>BEHAVIOR</t>
  </si>
  <si>
    <t>In this study, we concentrate on analyzing and building the dynamical user profiling to describe users' multi-dimensional features and properties, in order to assist the individualized information seeking and recommendation process in social networking environments. A set of user attributes are introduced and defined to describe the basic user profiling in accordance with the analysis of information behaviors, and several centrality based measures are proposed and developed to describe the users' importance and contributions with regards to a group of users based on their social connections in the DSUN (Dynamically Socialized User Networking) model. The experimental results are discussed to demonstrate the feasibility and effectiveness of our proposed methods.</t>
  </si>
  <si>
    <t>[Zhou, Xiaokang; Wang, Wei; Jin, Qun] Waseda Univ, Grad Sch Human Sci, Tokorozawa, Saitama, Japan</t>
  </si>
  <si>
    <t>Waseda University</t>
  </si>
  <si>
    <t>Jin, Q (corresponding author), Waseda Univ, Grad Sch Human Sci, Tokorozawa, Saitama, Japan.</t>
  </si>
  <si>
    <t>xkzhou@ruri.waseda.jp; ougi@ruri.waseda.jp; jin@waseda.jp</t>
  </si>
  <si>
    <t>Jin, Qun/H-3752-2012</t>
  </si>
  <si>
    <t>Waseda University Grants for Special Research [2013A-6395, 2013B-207, 2014K-6214]</t>
  </si>
  <si>
    <t>Waseda University Grants for Special Research</t>
  </si>
  <si>
    <t>The work has been partly supported by 2013 and 2014 Waseda University Grants for Special Research Project No. 2013A-6395, No. 2013B-207, and No. 2014K-6214.</t>
  </si>
  <si>
    <t>10.1007/s11042-014-2230-9</t>
  </si>
  <si>
    <t>CN1XU</t>
  </si>
  <si>
    <t>WOS:000358214900002</t>
  </si>
  <si>
    <t>Ferracani, A; Pezzatini, D; Benericetti, A; Guiducci, M; Bimbo, A</t>
  </si>
  <si>
    <t>Ferracani, Andrea; Pezzatini, Daniele; Benericetti, Andrea; Guiducci, Marco; Del Bimbo, Alberto</t>
  </si>
  <si>
    <t>PITAGORA: Recommending Users and Local Experts in an Airport Social Network</t>
  </si>
  <si>
    <t>MM'15: PROCEEDINGS OF THE 2015 ACM MULTIMEDIA CONFERENCE</t>
  </si>
  <si>
    <t>ACM International Conference on Multimedia (ACM Multimedia)</t>
  </si>
  <si>
    <t>OCT 26-30, 2015</t>
  </si>
  <si>
    <t>Assoc Comp Machinery,ACM Special Interest Grp Multimedia,Natl Sci Fdn,FXPAL,Baidu,Univ Elect Sci &amp; Technol China,Google,Queensland Univ Technol,Alibaba Grp,Univ Sydney,Brisbane Mkt,Huawei,IBM Res,Microsoft Res,HTC,Facebook,Yahoo Labs</t>
  </si>
  <si>
    <t>Social Media Analysis; User Profiling; Local Experts Recommendation; Users Recommendation</t>
  </si>
  <si>
    <t>In this demo we present PITAGORAl: a mobile web contextual social network designed for the check-in area of an airport. The app provides recommendation of potential friends, local experts and targeted services. Recommendation is hybrid and combines social media analysis and collaborative filtering techniques. Users' recommendation has been evaluated through a user study with good results.</t>
  </si>
  <si>
    <t>[Ferracani, Andrea; Pezzatini, Daniele; Benericetti, Andrea; Guiducci, Marco; Del Bimbo, Alberto] Univ Florence, MICC, Florence, Italy</t>
  </si>
  <si>
    <t>Ferracani, A (corresponding author), Univ Florence, MICC, Florence, Italy.</t>
  </si>
  <si>
    <t>andrea.ferracani@unifi.it; daniele.pezzatini@unifi.it; andrea.benericetti@unifi.it; marco.guiducci@unifi.it; alberto.delbimbo@unifi.it</t>
  </si>
  <si>
    <t>Benericetti, Andrea/0009-0006-5312-8210</t>
  </si>
  <si>
    <t>978-1-4503-3459-4</t>
  </si>
  <si>
    <t>10.1145/2733373.2807980</t>
  </si>
  <si>
    <t>BG3BS</t>
  </si>
  <si>
    <t>WOS:000387861300105</t>
  </si>
  <si>
    <t>Kallio, JM; Halverson, R</t>
  </si>
  <si>
    <t>Kallio, Julie M.; Halverson, Richard</t>
  </si>
  <si>
    <t>Distributed leadership for personalized learning</t>
  </si>
  <si>
    <t>JOURNAL OF RESEARCH ON TECHNOLOGY IN EDUCATION</t>
  </si>
  <si>
    <t>Personalized learning; distributed leadership; technology; student-centered pedagogy</t>
  </si>
  <si>
    <t>Personalized learning refers to a collection of practices designed to place student interests and needs at the heart of schooling. Schools that implement personalized learning need leaders that support educators and students in redesigning the core practices of teaching and learning in K-12 schools. To answer the question of how leaders support this redesign, we use distributed leadership theory to focus on the macrotasks and microtasks that leaders enact to create the conditions for personalized learning practices. Drawing on a five-year, qualitative study of 11 personalized learning programs in the Midwest, we identify three macrotasks supporting personalized learning: reorganizing learning environments to support student voice and choice, assembling idiosyncratic technology ecosystems to distribute teaching and learning tasks, and redesigning instructional time to prioritize student's interests, agency, and learning relationships. After we describe a number of microtasks associated with each macrotask, we discuss how a consideration of these kinds of leadership tasks can open the contemporary discussion of personalized learning from a narrow focus on learning technologies to an expansive vision of student-centered school reform.</t>
  </si>
  <si>
    <t>[Kallio, Julie M.; Halverson, Richard] Univ Wisconsin, Educ Leadership &amp; Policy Anal, 1000 Bascom Mall, Madison, WI 53706 USA</t>
  </si>
  <si>
    <t>University of Wisconsin System; University of Wisconsin Madison</t>
  </si>
  <si>
    <t>Kallio, JM (corresponding author), Univ Wisconsin, Educ Leadership &amp; Policy Anal, 1000 Bascom Mall, Madison, WI 53706 USA.</t>
  </si>
  <si>
    <t>jmkallio@wisc.edu</t>
  </si>
  <si>
    <t>Joyce Foundation; Institute of Education Sciences, U.S. Department of Education [R372A150031]; University of Wisconsin-Madison</t>
  </si>
  <si>
    <t>Joyce Foundation; Institute of Education Sciences, U.S. Department of Education(US Department of Education); University of Wisconsin-Madison(University of Wisconsin Madison)</t>
  </si>
  <si>
    <t>The research reported here was supported by the Joyce Foundation, The University of Wisconsin-Madison, and Institute of Education Sciences, U.S. Department of Education (R372A150031). The opinions expressed are those of the authors and do not represent views of our supporters.</t>
  </si>
  <si>
    <t>1539-1523</t>
  </si>
  <si>
    <t>1945-0818</t>
  </si>
  <si>
    <t>J RES TECHNOL EDUC</t>
  </si>
  <si>
    <t>J. Res. Technol. Educ.</t>
  </si>
  <si>
    <t>JUL 2</t>
  </si>
  <si>
    <t>10.1080/15391523.2020.1734508</t>
  </si>
  <si>
    <t>MH8TK</t>
  </si>
  <si>
    <t>WOS:000546994400007</t>
  </si>
  <si>
    <t>Ge, JK; Qiu, YH; Chen, ZQ</t>
  </si>
  <si>
    <t>Ge, Jike; Qiu, Yuhui; Chen, Zuqin</t>
  </si>
  <si>
    <t>Cooperative Recommendation System Based on Ontology Construction</t>
  </si>
  <si>
    <t>GCC 2008: SEVENTH INTERNATIONAL CONFERENCE ON GRID AND COOPERATIVE COMPUTING, PROCEEDINGS</t>
  </si>
  <si>
    <t>7th International Conference on Grid and Cooperative Computing</t>
  </si>
  <si>
    <t>OCT 24-26, 2008</t>
  </si>
  <si>
    <t>Chinese Acad Sci, Shenzhen Inst Adv Technol,Dawning Informat Ind Co Ltd,Chinese Natl Grid,European &amp; Chinese Cooperat Grid,Chinese Acad Sci,Chinese Acad Engn</t>
  </si>
  <si>
    <t>cooperative recommendation; ontology; user interest; semantic</t>
  </si>
  <si>
    <t>In the traditional information service system, the lack of service personalization and semantic information influences the intelligence of information service, and decreases the quality of service. In this paper, we propose the cooperative recommendation system based on ontology construction. We first construct domain ontology, and construct user interest ontology by the mapping relations between user interest and domain ontology, and then we study, the user interest ontology similarity measures. Through identifying the vertical weight by user interest similarity, the horizontal weight by time novelty, we use the improved weighted association rule algorithm to mining the concepts in user interest ontology, and exploit the user interest model. At last, we realize the semantic-based cooperative recommendation oriented to content.</t>
  </si>
  <si>
    <t>[Ge, Jike; Qiu, Yuhui] Southwest Univ, Fac Comp &amp; Informat Sci, Chongqing, Peoples R China; [Chen, Zuqin] Chongqing Three Gorges Univ, Sch Econ &amp; Adm, Chongqing, Peoples R China</t>
  </si>
  <si>
    <t>Southwest University - China; Chongqing Sanxia University of Science &amp; Technology</t>
  </si>
  <si>
    <t>Ge, JK (corresponding author), Southwest Univ, Fac Comp &amp; Informat Sci, Chongqing, Peoples R China.</t>
  </si>
  <si>
    <t>gjkid@swu.edu.cn; yhqiu@swu.edu.cn; daodao@swu.edu.cn</t>
  </si>
  <si>
    <t>National Grand Fundamental Research 973 Program of China [2003CB317008]</t>
  </si>
  <si>
    <t>National Grand Fundamental Research 973 Program of China(National Basic Research Program of China)</t>
  </si>
  <si>
    <t>This research is supported financially by the National Grand Fundamental Research 973 Program of China under Grant No.2003CB317008.</t>
  </si>
  <si>
    <t>978-0-7695-3449-7</t>
  </si>
  <si>
    <t>10.1109/GCC.2008.89</t>
  </si>
  <si>
    <t>BIT11</t>
  </si>
  <si>
    <t>WOS:000262480400102</t>
  </si>
  <si>
    <t>Personalized Pricing through User Profiling in Social Networks</t>
  </si>
  <si>
    <t>2021 19TH INTERNATIONAL SYMPOSIUM ON MODELING AND OPTIMIZATION IN MOBILE, AD HOC, AND WIRELESS NETWORKS (WIOPT)</t>
  </si>
  <si>
    <t>19th International Symposium on Modeling and Optimization in Mobile, Ad hoc, and Wireless Networks (WiOpt)</t>
  </si>
  <si>
    <t>OCT 18-21, 2021</t>
  </si>
  <si>
    <t>Temple Univ, ELECTR NETWORK</t>
  </si>
  <si>
    <t>IEEE Informat Theory Soc,IEEE Control Syst Soc,IFIP Commun Syst Tech Comm, Performance Commun Syst Working Grp</t>
  </si>
  <si>
    <t>Temple Univ</t>
  </si>
  <si>
    <t>social networks; user profiling; personalized pricing; dynamic Bayesian game</t>
  </si>
  <si>
    <t>PRIVACY</t>
  </si>
  <si>
    <t>User profiling allows product sellers to identify users' willingness to pay and enable personalized pricing. However, users' information exploited in profiling is usually private and hard to obtain accurately due to users' privacy concerns. With the increasing popularity of social networks, where users reveal their private information through social interactions, more sellers today profile users through their social data. This paper is the first to study how a seller optimizes personalized pricing through user profiling on social networks, where users proactively react by controlling their social activities and information leakage. We formulate and analyze a dynamic Bayesian game played between users and the seller. First, users decide their social activities by trading off the social network benefit against the potential risk of revealing private information. Then, the seller exploits users' profiles to determine the personalized prices for the profiled users and a uniform price for the non-profiled users. It is challenging to analyze the Perfect Bayesian Equilibrium (PBE) of this game due to i) the randomness in user profiling, and ii) the coupling among users' activity levels and that between the seller's pricing decisions and users' social activities. Despite the difficulty, we propose to alternate backward induction and forward induction to successfully solve the PBE. We show the surprising result that users' activity levels do not monotonically decrease as the profiling technology improves. Instead, when user profiling is of high accuracy, the seller strategically chooses a high uniform price to stimulate their increased social activities to profile more users.</t>
  </si>
  <si>
    <t>[Lin, Qinqi; Huang, Jianwei] Chinese Univ Hong Kong, Shenzhen Inst Artificial Intelligence &amp; Robot Soc, Shenzhen, Peoples R China; [Lin, Qinqi; Huang, Jianwei] Chinese Univ Hong Kong, Sch Sci &amp; Engn, Shenzhen, Peoples R China; [Duan, Lingjie] Singapore Univ Technol &amp; Design, Engn Syst &amp; Design Pillar, Singapore, Singapore</t>
  </si>
  <si>
    <t>Shenzhen Institute of Artificial Intelligence &amp; Robotics for Society; The Chinese University of Hong Kong, Shenzhen; The Chinese University of Hong Kong, Shenzhen; Singapore University of Technology &amp; Design</t>
  </si>
  <si>
    <t>Huang, JW (corresponding author), Chinese Univ Hong Kong, Shenzhen Inst Artificial Intelligence &amp; Robot Soc, Shenzhen, Peoples R China.;Huang, JW (corresponding author), Chinese Univ Hong Kong, Sch Sci &amp; Engn, Shenzhen, Peoples R China.</t>
  </si>
  <si>
    <t>Duan, Lingjie/AHA-6540-2022; Huang, Jianwei/C-1303-2008</t>
  </si>
  <si>
    <t>Shenzhen Institute of Artificial Intelligence and Robotics for Society; Chinese University of Hong Kong, Shenzhen</t>
  </si>
  <si>
    <t>Q. Lin and J. Huang (corresponding author) are with the Shenzhen Institute of Artificial Intelligence and Robotics for Society (AIRS) and the School of Science and Engineering, The Chinese University of Hong Kong, Shenzhen, Email: fqinqilin@link.cuhk.edu.cn,jianweihuang@cuhk.edu.cn g; L. Duan is with Engineering Systems and Design Pillar, Singapore University of Technology and Design, Singapore, Email: lingjie duan@sutd.edu.sg.This work is supported by the Shenzhen Institute of Artificial Intelligence and Robotics for Society, and the Presidential Fund from the Chinese University of Hong Kong, Shenzhen.</t>
  </si>
  <si>
    <t>978-3-903176-37-9</t>
  </si>
  <si>
    <t>Computer Science, Information Systems; Mathematics, Applied; Telecommunications</t>
  </si>
  <si>
    <t>Computer Science; Mathematics; Telecommunications</t>
  </si>
  <si>
    <t>BS7TQ</t>
  </si>
  <si>
    <t>WOS:000766966900024</t>
  </si>
  <si>
    <t>Lei, CY; Liu, D; Li, WP</t>
  </si>
  <si>
    <t>Lei, Chenyi; Liu, Dong; Li, Weiping</t>
  </si>
  <si>
    <t>Social Diffusion Analysis With Common-Interest Model for Image Annotation</t>
  </si>
  <si>
    <t>Common-interest; image annotation; learning to rank; social diffusion analysis; social media</t>
  </si>
  <si>
    <t>Automatic image annotation has been extensively studied, mostly from a content-based approach, whose effectiveness is restricted by the semantic gap between low-level image features and semantic annotations, and by the irrelevance of annotations to image content. We propose a social diffusion analysis approach to image annotation, which exploits abundant social diffusion records about how images are disseminated within online social networks. Specifically, we propose a common-interest model to analyze social diffusion records, with the assumption that the diffusion pattern of an image in social networks is highly related to the relevance between image annotations and user preferences. In our proposed model, user preferences are represented as common interests of pairwise users instead of individual user interests. We find the notion of common interests not only facilitates the analysis of social diffusion patterns, but also leads to more accurate profiling of user preferences compared to individual interests. Based on the common-interest model, we design an image annotation framework via social diffusion analysis, which consists of the mining of common interests from social diffusion records, the feature extraction from diffusion graphs and common interests, and the automatic annotation by the learning-to-rank method. Experimental results on real-world data sets show that our proposed common-interest based approach outperforms individual-interest based methods, and also achieves superior performance than state-of-the-art content-based image annotation methods.</t>
  </si>
  <si>
    <t>[Lei, Chenyi; Liu, Dong; Li, Weiping] Univ Sci &amp; Technol China, CAS Key Lab Technol Geospatial Informat Proc &amp; Ap, Hefei 230027, Peoples R China</t>
  </si>
  <si>
    <t>Chinese Academy of Sciences; University of Science &amp; Technology of China, CAS</t>
  </si>
  <si>
    <t>Lei, CY; Liu, D; Li, WP (corresponding author), Univ Sci &amp; Technol China, CAS Key Lab Technol Geospatial Informat Proc &amp; Ap, Hefei 230027, Peoples R China.</t>
  </si>
  <si>
    <t>leichy@mail.ustc.edu.cn; dongeliu@ustc.edu.cn; wpli@ustc.edu.cn</t>
  </si>
  <si>
    <t>Liu, Dong/K-7488-2012</t>
  </si>
  <si>
    <t>Liu, Dong/0000-0001-9100-2906</t>
  </si>
  <si>
    <t>National Program on Key Basic Research Projects (973 Program) [2015CB351800]; Natural Science Foundation of China (NSFC) [61303149, 61331017, 61390512]; Fundamental Research Funds for Central Universities [WK2100060011, WK3490000001]</t>
  </si>
  <si>
    <t>National Program on Key Basic Research Projects (973 Program)(National Basic Research Program of China); Natural Science Foundation of China (NSFC)(National Natural Science Foundation of China (NSFC)); Fundamental Research Funds for Central Universities(Fundamental Research Funds for the Central Universities)</t>
  </si>
  <si>
    <t>This work was supported by the National Program on Key Basic Research Projects (973 Program) under Grant 2015CB351800, by the Natural Science Foundation of China (NSFC) under Grant 61303149, Grant 61331017, and Grant 61390512, and by the Fundamental Research Funds for the Central Universities under Grant WK2100060011 and Grant WK3490000001. This paper was presented at the 2014 IEEE International Workshop on Frontier of Crowdsourcing in Multimedia Computing, Chengdu, China, July 2014. The associate editor coordinating the review of this manuscript and approving it for publication was Dr. Martha Larson.</t>
  </si>
  <si>
    <t>10.1109/TMM.2015.2477277</t>
  </si>
  <si>
    <t>DH4XZ</t>
  </si>
  <si>
    <t>WOS:000372790300011</t>
  </si>
  <si>
    <t>Carusotto, VE; Pilato, G; Persia, F; Ge, MZ</t>
  </si>
  <si>
    <t>Carusotto, Vincenzo Emanuele; Pilato, Giovanni; Persia, Fabio; Ge, Mouzhi</t>
  </si>
  <si>
    <t>User Profiling for Tourist Trip Recommendations using Social Sensing</t>
  </si>
  <si>
    <t>23RD IEEE INTERNATIONAL SYMPOSIUM ON MULTIMEDIA (ISM 2021)</t>
  </si>
  <si>
    <t>IEEE International Symposium on Multimedia-ISM</t>
  </si>
  <si>
    <t>23rd IEEE International Symposium on Multimedia (ISM)</t>
  </si>
  <si>
    <t>NOV 29-DEC 01, 2021</t>
  </si>
  <si>
    <t>Social sensing; POI recommendation; user preference; semantic similarity; user profiling</t>
  </si>
  <si>
    <t>For Point of Interest (POI) recommendations or touristic orienteering applications, it is essential to explore the user preference or potential interests to predict potential POIs or touristic routes. One of the state-of-the-art approaches for inferring the user's interests is social sensing, which is based on implicit feedback and semantic similarities to extract the user preference. In this paper, we profile the user preferences by social sensing to exploit the similarity between users' reviews and POI descriptions. The experiment is based on the Yelp! dataset and provides the labels associated with different businesses considered in the Yelp! Social Network. The preliminary results show that the proposed model can automatically estimate the user interests and improve the effectiveness of the user profiling procedure. The results also indicate that our proposed model can offer a foundational approach for ranking POIs and touristic routes.</t>
  </si>
  <si>
    <t>[Carusotto, Vincenzo Emanuele] Univ Palermo, Dept Math &amp; Comp Sci, Palermo, Italy; [Pilato, Giovanni] Natl Res Council Italy, Inst High Performance Comp &amp; Networking, Palermo, Italy; [Persia, Fabio] Univ Aquila, Dept Informat Engn Comp Sci &amp; Math, Laquila, Italy; [Ge, Mouzhi] Deggendorf Inst Technol, Fac European Campus Rottal Inn, Deggendorf, Germany</t>
  </si>
  <si>
    <t>University of Palermo; Consiglio Nazionale delle Ricerche (CNR); Istituto di Calcolo e Reti ad Alte Prestazioni (ICAR-CNR); University of L'Aquila</t>
  </si>
  <si>
    <t>Carusotto, VE (corresponding author), Univ Palermo, Dept Math &amp; Comp Sci, Palermo, Italy.</t>
  </si>
  <si>
    <t>vincenzoemanuele.carusotto@community.unipa.it; giovanni.pilato@cnr.it; fabio.persia@univaq.it; mouzhi.ge@th-deg.de</t>
  </si>
  <si>
    <t>978-1-6654-3734-9</t>
  </si>
  <si>
    <t>IEEE INT SYM MULTIM</t>
  </si>
  <si>
    <t>10.1109/ISM52913.2021.00036</t>
  </si>
  <si>
    <t>Computer Science, Hardware &amp; Architecture; Computer Science, Information Systems; Computer Science, Software Engineering; Imaging Science &amp; Photographic Technology; Telecommunications</t>
  </si>
  <si>
    <t>Computer Science; Imaging Science &amp; Photographic Technology; Telecommunications</t>
  </si>
  <si>
    <t>BT0ZB</t>
  </si>
  <si>
    <t>WOS:000794252400029</t>
  </si>
  <si>
    <t>Patsakis, C; Zigomitros, A; Solanas, A</t>
  </si>
  <si>
    <t>Boumerdassi, S; Bouzefrane, S; Renault, E</t>
  </si>
  <si>
    <t>Patsakis, Constantinos; Zigomitros, Athanasios; Solanas, Agusti</t>
  </si>
  <si>
    <t>Analysis of Privacy and Security Exposure in Mobile Dating Applications</t>
  </si>
  <si>
    <t>MOBILE, SECURE, AND PROGRAMMABLE NETWORKING, MSPN 2015</t>
  </si>
  <si>
    <t>1st International Conference on Mobile, Secure, and Programmable Networking (MSPN)</t>
  </si>
  <si>
    <t>JUN 15-17, 2015</t>
  </si>
  <si>
    <t>Conservatoire Natl Arts Metiers Paris, CEDRIC Lab,Telecom SudParis, Institut Mines Telecom, Wireless Networks &amp; Multimedia Serv Dept,IFIP Working Grp 11 2 Pervas Syst Secur</t>
  </si>
  <si>
    <t>User profiling; Location privacy; Online social networks; Security and privacy exposure</t>
  </si>
  <si>
    <t>Millions of people around the globe try to find their other half using Information and Communication Technologies. Although this goal could be partially sought in social networks, specialized applications have been developed for this very purpose. Dating applications and more precisely mobile dating applications are experiencing a continuous growth in the number of registered users worldwide. Thanks to the GPS and other sensors embedded in off-the-shelves mobile devices, dating mobile apps can provide location aware content, not only about the surroundings, but also about nearby users. Even if these applications have millions of registered users, it can hardly be said that they are using the best standards of security and privacy protection. In this work we study some of the major dating applications and we report some of the risks to which their users are exposed to. Our findings indicate that a malicious user could easily obtain significant amounts of fine-grained personal information about users.</t>
  </si>
  <si>
    <t>[Patsakis, Constantinos; Zigomitros, Athanasios] Univ Piraeus, Dept Informat, Piraeus, Greece; [Solanas, Agusti] Univ Rovira &amp; Virgili, Dept Comp Engn &amp; Math, Smart Hlth Res Grp, Catalonia, Spain</t>
  </si>
  <si>
    <t>University of Piraeus; Universitat Rovira i Virgili</t>
  </si>
  <si>
    <t>Patsakis, C (corresponding author), Univ Piraeus, Dept Informat, Piraeus, Greece.</t>
  </si>
  <si>
    <t>kpatsak@gmail.com; azigomit@unipi.gr; agusti.solanas@urv.cat</t>
  </si>
  <si>
    <t>Solanas, Agusti/A-1441-2014; Patsakis, Constantinos/U-4695-2019; Zigomitros, Athanasios/W-8132-2019</t>
  </si>
  <si>
    <t>Solanas, Agusti/0000-0002-4881-6215; Patsakis, Constantinos/0000-0002-4460-9331; Zigomitros, Athanasios/0000-0003-1622-2815</t>
  </si>
  <si>
    <t>978-3-319-25744-0; 978-3-319-25743-3</t>
  </si>
  <si>
    <t>10.1007/978-3-319-25744-0_13</t>
  </si>
  <si>
    <t>Computer Science, Information Systems; Computer Science, Software Engineering; Computer Science, Theory &amp; Methods</t>
  </si>
  <si>
    <t>BE0ZU</t>
  </si>
  <si>
    <t>WOS:000367590900013</t>
  </si>
  <si>
    <t>Wu, Wenbo; Ghazali, Masitah; Hazlin Huspi, Sharin</t>
  </si>
  <si>
    <t>A Review of User Profiling Based on Social Networks</t>
  </si>
  <si>
    <t>Social networking (online); Reviews; Web sites; Information systems; Data collection; Blogs; Multimedia communication; Recommender systems; User experience; Recommendation system; social network; user modeling; user profiling</t>
  </si>
  <si>
    <t>RECOMMENDATION ALGORITHM; CONVOLUTIONAL NETWORKS; INTERESTS; TOPICS; MODEL</t>
  </si>
  <si>
    <t>The rapid development of the internet and smartphones has enabled people to access numerous information systems and large volumes of data. User profiling technology can meet the dual challenge of analyzing user characteristics, interests, or preferences and recommending corresponding resources. Nevertheless, the insufficiency and isolation of data in traditional information systems limit the effect of user profiling, and social networks can compensate for this deficiency. With massive quantities of data in text, images, videos, and relationships in social networks, user profiling can achieve highly accurate analytical results. This review comprehensively discusses user profiling for social networks, defines its criteria, and expounds on the entire process, from data collection to the profiling model and performance evaluation. It includes various models with advantages and disadvantages and corresponding application scenarios. Additionally, considering that technology serves humans, this review provides users with multiple applications in the industry for user profiling based on social networks. Furthermore, it discusses the ethical and legal issues associated with user profiling. Finally, this review highlights possible future research directions in this field. Overall, this review can help researchers enhance their understanding of the current state of research in the field of user profiling and gain ideas for further study.</t>
  </si>
  <si>
    <t>[Wu, Wenbo; Hazlin Huspi, Sharin] Univ Teknol Malaysia, Fac Comp, Skudai 81310, Johor Bahru, Malaysia; [Wu, Wenbo] Minnan Sci &amp; Technol Coll, Sch Comp Informat, Quanzhou 362332, Peoples R China; [Ghazali, Masitah] Univ Teknol Malaysia, Malaysia Japan Int Inst Technol, Kuala Lumpur 54100, Malaysia</t>
  </si>
  <si>
    <t>Universiti Teknologi Malaysia; Minnan Science &amp; Technology College; Universiti Teknologi Malaysia</t>
  </si>
  <si>
    <t>Wu, WB (corresponding author), Univ Teknol Malaysia, Fac Comp, Skudai 81310, Johor Bahru, Malaysia.;Wu, WB (corresponding author), Minnan Sci &amp; Technol Coll, Sch Comp Informat, Quanzhou 362332, Peoples R China.</t>
  </si>
  <si>
    <t>Department of Education, Fujian, China [FBJG20210123, JAT231173]</t>
  </si>
  <si>
    <t>Department of Education, Fujian, China</t>
  </si>
  <si>
    <t>This work was supported in part by the Department of Education, Fujian, China, under Grant FBJG20210123 and Grant JAT231173.</t>
  </si>
  <si>
    <t>10.1109/ACCESS.2024.3430987</t>
  </si>
  <si>
    <t>F6F2X</t>
  </si>
  <si>
    <t>WOS:001310750900001</t>
  </si>
  <si>
    <t>Pan, H; Bi, SX; Wang, WJ; Li, HX; Wu, P; Feng, FL</t>
  </si>
  <si>
    <t>Pan, Hang; Bi, Shuxian; Wang, Wenjie; Li, Haoxuan; Wu, Peng; Feng, Fuli</t>
  </si>
  <si>
    <t>Proactive Recommendation in Social Networks: Steering user interest with causal inference</t>
  </si>
  <si>
    <t>AI OPEN</t>
  </si>
  <si>
    <t>Proactive recommendation; Causal recommendation; Network interference</t>
  </si>
  <si>
    <t>Recommending items that solely cater to users' historical interests narrows users' horizons. Recent works have considered steering target users beyond their historical interests by directly adjusting items exposed to them. However, the recommended items for direct steering might not align perfectly with the evolution of users' interests, detrimentally affecting the target users' experience. To avoid this issue, we propose a new task named Proactive Recommendation in Social Networks (PRSN) that indirectly steers users' interest by utilizing the influence of social neighbors, i.e., indirect steering by adjusting the exposure of a target item to target users' neighbors. The key to PRSN lies in answering an interventional question: what would a target user's feedback be on a target item if the item is exposed to the user's different neighbors? To answer this question, we resort to causal inference and formalize PRSN as: (1) estimating the potential feedback of a user on an item, under the network interference by the item's exposure to the user's neighbors; and (2) adjusting the exposure of a target item to target users' neighbors to trade-off steering performance and the damage to the neighbors' experience. To this end, we propose a Neighbor Interference Recommendation (NIRec) framework with two modules: (1) an interference representation-based estimation module for modeling potential feedback; (2) a post-learning-based optimization module for adjusting a target item's exposure to trade-off steering performance and the neighbors' experience through greedy search. We conduct extensive semi-simulation experiments on real-world datasets, validating the steering effectiveness of NIRec. The code is available at https://github.com/HungPaan/NIRec.</t>
  </si>
  <si>
    <t>[Pan, Hang; Bi, Shuxian; Wang, Wenjie; Feng, Fuli] Univ Sci &amp; Technol China, Hefei, Peoples R China; [Li, Haoxuan] Peking Univ, Beijing, Peoples R China; [Wu, Peng] Beijing Technol &amp; Business Univ, Beijing, Peoples R China</t>
  </si>
  <si>
    <t>Chinese Academy of Sciences; University of Science &amp; Technology of China, CAS; Peking University; Beijing Technology &amp; Business University</t>
  </si>
  <si>
    <t>Wang, WJ; Feng, FL (corresponding author), Univ Sci &amp; Technol China, Hefei, Peoples R China.</t>
  </si>
  <si>
    <t>hungpaan@mail.ustc.edu.cn; shuxianbi@mail.ustc.edu.cn; wenjiewang96@gmail.com; hxli@stu.pku.edu.cn; pengwu@btbu.edu.cn; fulifeng93@gmail.com</t>
  </si>
  <si>
    <t>Yang, jinhua/0009-0005-8469-8892; Li, Haoxuan/0000-0003-3620-3769</t>
  </si>
  <si>
    <t>National Natural Science Foundation of China [62572451]</t>
  </si>
  <si>
    <t>Acknowledgment This work is supported by the National Natural Science Foundation of China (62572451) .</t>
  </si>
  <si>
    <t>KEAI PUBLISHING LTD</t>
  </si>
  <si>
    <t>BEIJING</t>
  </si>
  <si>
    <t>16 DONGHUANGCHENGGEN NORTH ST, Building 5, Room 411, BEIJING, DONGCHENG DISTRICT 100009, PEOPLES R CHINA</t>
  </si>
  <si>
    <t>2666-6510</t>
  </si>
  <si>
    <t>AI Open</t>
  </si>
  <si>
    <t>10.1016/j.aiopen.2025.08.003</t>
  </si>
  <si>
    <t>SEP 2025</t>
  </si>
  <si>
    <t>8VS0J</t>
  </si>
  <si>
    <t>WOS:001598463300001</t>
  </si>
  <si>
    <t>Xu, XV; Zhang, YF; Zhou, F; Song, JK</t>
  </si>
  <si>
    <t>Walsh, T; Shah, J; Kolter, Z</t>
  </si>
  <si>
    <t>Xu, Xovee; Zhang, Yifan; Zhou, Fan; Song, Jingkuan</t>
  </si>
  <si>
    <t>Improving Multimodal Social Media Popularity Prediction via Selective Retrieval Knowledge Augmentation</t>
  </si>
  <si>
    <t>THIRTY-NINTH AAAI CONFERENCE ON ARTIFICIAL INTELLIGENCE, AAAI-25, VOL 39 NO 1</t>
  </si>
  <si>
    <t>39th AAAI Conference on Artificial Intelligence</t>
  </si>
  <si>
    <t>FEB 25-MAR 04, 2025</t>
  </si>
  <si>
    <t>Understanding and predicting the popularity of online User-Generated Content (UGC) is critical for various social and recommendation systems. Existing efforts have focused on extracting predictive features and using pre-trained deep models to learn and fuse multimodal UGC representations. However, the dissemination of social UGCs is not an isolated process in social network; rather, it is influenced by contextual relevant UGCs and various exogenous factors, including social ties, trends, user interests, and platform algorithms. In this work, we propose a retrieval-based framework to enhance the popularity prediction of multimodal UGCs. Our framework extends beyond a simple semantic retrieval, incorporating a meta retrieval strategy that queries a diverse set of relevant UGCs by considering multimodal content semantics, and metadata from user and post. Moreover, to eliminate irrelevant and noisy UGCs in retrieval, we introduce a new measure called Relative Retrieval Contribution to Prediction (RRCP), which selectively refines the retrieved UGCs. We then aggregate the contextual UGC knowledge using vision-language graph neural networks, and fuse them with an RRCP-Attention-based prediction network. Extensive experiments on three large-scale social media datasets demonstrate significant improvements ranging from 26.68% to 48.19% across all metrics compared to strong baselines.</t>
  </si>
  <si>
    <t>[Xu, Xovee; Zhang, Yifan; Zhou, Fan; Song, Jingkuan] Univ Elect Sci &amp; Technol China, Chengdu 610054, Sichuan, Peoples R China</t>
  </si>
  <si>
    <t>University of Electronic Science &amp; Technology of China</t>
  </si>
  <si>
    <t>Song, JK (corresponding author), Univ Elect Sci &amp; Technol China, Chengdu 610054, Sichuan, Peoples R China.</t>
  </si>
  <si>
    <t>xovee.xu@gmail.com; yifanzhang@std.uestc.edu.cn; fan.zhou@uestc.edu.cn; jingkuan.song@gmail.com</t>
  </si>
  <si>
    <t>Xu, Xovee/AAV-6949-2020; Zhou, Fan/AAG-9824-2019</t>
  </si>
  <si>
    <t>Xu, Xovee/0000-0001-6415-7558;</t>
  </si>
  <si>
    <t>National Natural Science Foundation of China [U22A2097, 62072077, 62186043]</t>
  </si>
  <si>
    <t>This work is supported in part by the National Natural Science Foundation of China under Grant Nos. U22A2097, 62072077, and 62186043.</t>
  </si>
  <si>
    <t>978-1-57735-897-8</t>
  </si>
  <si>
    <t>BY6GB</t>
  </si>
  <si>
    <t>WOS:001478149100105</t>
  </si>
  <si>
    <t>Tiwari, S; Saini, A; Paliwal, V; Singh, A; Gupta, R; Mattoo, R</t>
  </si>
  <si>
    <t>Singh, V; Asari, VK; Li, KC</t>
  </si>
  <si>
    <t>Tiwari, Sunita; Saini, Anu; Paliwal, Vaibhav; Singh, Ajay; Gupta, Rajat; Mattoo, Ruchika</t>
  </si>
  <si>
    <t>Implicit Preferences Discovery for Biography Recommender System Using Twitter</t>
  </si>
  <si>
    <t>INTERNATIONAL CONFERENCE ON COMPUTATIONAL INTELLIGENCE AND DATA SCIENCE</t>
  </si>
  <si>
    <t>International Conference on Computational Intelligence and Data Science (ICCIDS)</t>
  </si>
  <si>
    <t>SEP 06-07, 2019</t>
  </si>
  <si>
    <t>NorthCap Univ, Gurugram, INDIA</t>
  </si>
  <si>
    <t>NorthCap Univ</t>
  </si>
  <si>
    <t>User Profile Discovery; Cold Start Problem; Twitter; Personalization; Implicit Ratings; Collaborative Filtering</t>
  </si>
  <si>
    <t>With the dawn of the information age, the number of choices that each person has to make each day has seen an explosive growth. Every minute, users are bombarded with so many different options for everything user do, from buying clothes to watching TV, that one live in a state of constant information overload, feeling stressed out by this imposed free will then be liberated by it. One ways in which user have now become used to mitigating this constant barrage of incessant information is by the usage of Recommender Systems. These systems are software components that use some form of rating provided by a user to generate recommendations for items that they may be interested in. Unfortunately, recommender systems face a major problem called the Cold - Start problem, which essentially means that a recommender system in an online setting has no information about the user when the user first signs up. Many approaches have been proposed to solve this, but the one this paper shall be taking is to use information from social networks, specifically Twitter, to get this initial information. Implicitly infer user interest with good accuracy is proposed here and this understanding of interests can later be updated by observing user actions as they interact with the system. We leverage the power of the categorical information stored in the Wikipedia database to allow us to assign relative weights to entities that a user follows on Twitter. This proposed approach for creating the rating vector for each user by mining the Twitter account of the users' is evaluated using the RMSE and MAE metrics. (C) 2020 The Authors. Published by Elsevier B.V.</t>
  </si>
  <si>
    <t>[Tiwari, Sunita; Saini, Anu; Paliwal, Vaibhav; Singh, Ajay; Gupta, Rajat; Mattoo, Ruchika] GB Pant Govt Engn Coll, Delhi, India</t>
  </si>
  <si>
    <t>Tiwari, S (corresponding author), GB Pant Govt Engn Coll, Delhi, India.</t>
  </si>
  <si>
    <t>sunita.tiwari@gbpec.edu.in</t>
  </si>
  <si>
    <t>Tiwari, Sunita/GXF-6638-2022</t>
  </si>
  <si>
    <t>Tiwari, Sunita/0000-0003-1875-7928</t>
  </si>
  <si>
    <t>10.1016/j.procs.2020.03.352</t>
  </si>
  <si>
    <t>BQ2YR</t>
  </si>
  <si>
    <t>WOS:000582710700144</t>
  </si>
  <si>
    <t>Grbovic, M; Djuric, N; Radosavljevic, V; Bhamidipati, N; Hawker, J; Johnson, C</t>
  </si>
  <si>
    <t>Grbovic, Mihajlo; Djuric, Nemanja; Radosavljevic, Vladan; Bhamidipati, Narayan; Hawker, Jordan; Johnson, Caleb</t>
  </si>
  <si>
    <t>queryCategorizr: A Large-Scale Semi-Supervised System for Categorization of Web Search Queries</t>
  </si>
  <si>
    <t>Query categorization; word2vec; query embeddings</t>
  </si>
  <si>
    <t>Understanding interests expressed through user's search query is a task of critical importance for many internet applications. To help identify user interests, web engines commonly utilize classification of queries into one or more predefined interest categories. However, majority of the queries are noisy short texts, making accurate classification a challenging task. In this demonstration, we present queryCategorizr, a novel semi-supervised learning system that embeds queries into low-dimensional vector space using a neural language model applied on search log sessions, and classifies them into general interest categories while relying on a small set of labeled queries. Empirical results on large-scale data show that queryCategorizr outperforms the current stateof-the-art approaches. In addition, we describe a Graphical User Interface (GUI) that allows users to query the system and explore classification results in an interactive manner.</t>
  </si>
  <si>
    <t>[Grbovic, Mihajlo; Djuric, Nemanja; Radosavljevic, Vladan; Bhamidipati, Narayan] Yahoo Labs, 701 First Ave, Sunnyvale, CA 94089 USA; [Hawker, Jordan; Johnson, Caleb] Yahoo Inc, Sunnyvale, CA USA</t>
  </si>
  <si>
    <t>Grbovic, M (corresponding author), Yahoo Labs, 701 First Ave, Sunnyvale, CA 94089 USA.</t>
  </si>
  <si>
    <t>mihajlo@yahoo-inc.com; nemanja@yahoo-inc.com; vladan@yahoo-inc.com; narayanb@yahoo-inc.com; hawkerj@yahoo-inc.com; calebj@yahoo-inc.com</t>
  </si>
  <si>
    <t>10.1145/2740908.2742850</t>
  </si>
  <si>
    <t>WOS:000382666600085</t>
  </si>
  <si>
    <t>Zhong, Y; Yuan, NJ; Zhong, W; Zhang, FZ; Xie, X</t>
  </si>
  <si>
    <t>Zhong, Yuan; Yuan, Nicholas Jing; Zhong, Wen; Zhang, Fuzheng; Xie, Xing</t>
  </si>
  <si>
    <t>You Are Where You Go: Inferring Demographic Attributes from Location Check-ins</t>
  </si>
  <si>
    <t>WSDM'15: PROCEEDINGS OF THE EIGHTH ACM INTERNATIONAL CONFERENCE ON WEB SEARCH AND DATA MINING</t>
  </si>
  <si>
    <t>8th ACM International Conference on Web Search and Data Mining (WSDM)</t>
  </si>
  <si>
    <t>JAN 31-FEB 06, 2015</t>
  </si>
  <si>
    <t>Shanghai, PEOPLES R CHINA</t>
  </si>
  <si>
    <t>Assoc Comp Machinery,Assoc Comp Machinery Special Interest Grp Informat Retrieval,Assoc Comp Machinery SIGMOD,Assoc Comp Machinery SIGWEB,Assoc Comp Machinery SIGKDD</t>
  </si>
  <si>
    <t>Demographics; spatiality; temporality; location knowledge; tensor facotorization; prediction</t>
  </si>
  <si>
    <t>PERSONALITY</t>
  </si>
  <si>
    <t>User profiling is crucial to many online services. Several recent studies suggest that demographic attributes are predictable from different online behavioral data, such as users' Likes on Facebook, friendship relations, and the linguistic characteristics of tweets. But location check-ins, as a bridge of users' offline and online lives, have by and large been overlooked in inferring user profiles. In this paper, we investigate the predictive power of location check-ins for inferring users' demographics and propose a simple yet general location to profile (L2P) framework. More specifically, we extract rich semantics of users' check-ins in terms of spatiality, temporality, and location knowledge, where the location knowledge is enriched with semantics mined from heterogeneous domains including both online customer review sites and social networks. Additionally, tensor factorization is employed to draw out low dimensional representations of users' intrinsic check-in preferences considering the above factors. Meanwhile, the extracted features are used to train predictive models for inferring various demographic attributes. We collect a large dataset consisting of profiles of 159, 530 verified users from an online social network. Extensive experimental results based upon this dataset validate that: 1) Location check-ins are diagnostic representations of a variety of demographic attributes, such as gender, age, education background, and marital status; 2) The proposed framework substantially outperforms compared models for profile inference in terms of various evaluation metrics, such as precision, recall, F-measure, and AUC.</t>
  </si>
  <si>
    <t>[Zhong, Yuan; Yuan, Nicholas Jing; Zhong, Wen; Zhang, Fuzheng; Xie, Xing] Microsoft Res, Beijing, Peoples R China; [Zhong, Yuan] Northeastern Univ, Boston, MA 02115 USA; [Zhong, Wen] SUNY Stony Brook, Stony Brook, NY 11794 USA; [Zhang, Fuzheng] Univ Sci &amp; Technol China, Hefei, Anhui, Peoples R China</t>
  </si>
  <si>
    <t>Microsoft; Microsoft China; Northeastern University; State University of New York (SUNY) System; Stony Brook University; Chinese Academy of Sciences; University of Science &amp; Technology of China, CAS</t>
  </si>
  <si>
    <t>Zhong, Y (corresponding author), Microsoft Res, Beijing, Peoples R China.</t>
  </si>
  <si>
    <t>zhong.yu@husky.neu.edu; nicholas.yuan@microsoft.com; wen.zhong@stonybrook.edu; zhfzh@mail.ustc.edu.cn; xingx@microsoft.com</t>
  </si>
  <si>
    <t>Xie, Xing/0009-0009-3257-3077</t>
  </si>
  <si>
    <t>978-1-4503-3317-7</t>
  </si>
  <si>
    <t>10.1145/2684822.2685287</t>
  </si>
  <si>
    <t>BN6JI</t>
  </si>
  <si>
    <t>WOS:000485486900036</t>
  </si>
  <si>
    <t>Song, XM</t>
  </si>
  <si>
    <t>Song, Xuemeng</t>
  </si>
  <si>
    <t>Enrichment of User Profiles across Multiple Online Social Networks for Volunteerism Matching for Social Enterprise</t>
  </si>
  <si>
    <t>SIGIR'14: PROCEEDINGS OF THE 37TH INTERNATIONAL ACM SIGIR CONFERENCE ON RESEARCH AND DEVELOPMENT IN INFORMATION RETRIEVAL</t>
  </si>
  <si>
    <t>37th Annual International ACM Special Interest Group on Information Retrieval Conference on Research and Development in Information Retrieval</t>
  </si>
  <si>
    <t>JUL 06-11, 2014</t>
  </si>
  <si>
    <t>ACM Special Interest Grp Informat Retrieval,Baidu,Google,Microsoft Res,Tourism &amp; Events Queensland,eBay,Huawei,Seznam cz,Facebook,IBM,Pivotal,Yahoo,Labs,Yandex,Queensland Univ Technol,RMIT Univ,Univ Melbourne,Univ Otago</t>
  </si>
  <si>
    <t>Volunteerism matching; Multiple sources; User profiling</t>
  </si>
  <si>
    <t>[Song, Xuemeng] Natl Univ Singapore, Sch Comp, Singapore, Singapore</t>
  </si>
  <si>
    <t>National University of Singapore</t>
  </si>
  <si>
    <t>Song, XM (corresponding author), Natl Univ Singapore, Sch Comp, Singapore, Singapore.</t>
  </si>
  <si>
    <t>a0095661@nus.edu.sg</t>
  </si>
  <si>
    <t>978-1-4503-2259-1</t>
  </si>
  <si>
    <t>10.1145/2600428.2610383</t>
  </si>
  <si>
    <t>BL4SB</t>
  </si>
  <si>
    <t>WOS:000450717600212</t>
  </si>
  <si>
    <t>Abbas, R; Hassan, GM; Al-Razgan, M; Zhang, MW; Amran, GA; Al Bakhrani, AA; Alfakih, T; Al-Sanabani, H; Rahman, SMM</t>
  </si>
  <si>
    <t>Abbas, Rizwan; Hassan, Ghassan Muslim; Al-Razgan, Muna; Zhang, Mingwei; Amran, Gehad Abdullah; Al Bakhrani, Ali Ahmed; Alfakih, Taha; Al-Sanabani, Hussein; Rahman, Sk Md Mizanur</t>
  </si>
  <si>
    <t>A Serendipity-Oriented Personalized Trip Recommendation Model</t>
  </si>
  <si>
    <t>ELECTRONICS</t>
  </si>
  <si>
    <t>serendipity; trip recommendation; location-based social networks; POIs sequence recommendation</t>
  </si>
  <si>
    <t>Personalized trip recommendation attempts to recommend a sequence of Points of Interest (POIs) to a user. Compared with a single POI recommendation, the POIs sequence recommendation is challenging. There are only a couple of studies focusing on POIs sequence recommendations. It is a challenge to generate a reliable sequence of POIs. The two consecutive POIs should not be similar or from the same category. In developing the sequence of POIs, it is necessary to consider the categories of consecutive POIs. The user with no recorded history is also a challenge to address in trip recommendations. Another problem is that recommending the exact and accurate location makes the users bored. Looking at the same kind of POIs, again and again, is sometimes irritating and tedious. To address these issues in recommendation lies in searching for the sequential, relevant, novel, and unexpected (with high satisfaction) Points of Interest (POIs) to plan a personalized trip. To generate sequential POIs, we will consider POI similarity and category differences among consecutive POIs. We will use serendipity in our trip recommendation. To deal with the challenges of discovering and evaluating user satisfaction, we proposed a Serendipity-Oriented Personalized Trip Recommendation (SOTR). A compelling recommendation algorithm should not just prescribe what we are probably going to appreciate but additionally recommend random yet objective elements to assist with keeping an open window to different worlds and discoveries. We evaluated our algorithm using information acquired from a real-life dataset and user travel histories extracted from a Foursquare dataset. It has been observationally confirmed that serendipity impacts and increases user satisfaction and social goals. Based on that, SOTR recommends a trip with high user satisfaction to maximize user experience. We show that our algorithm outperforms various recommendation methods by satisfying user interests in the trip.</t>
  </si>
  <si>
    <t>[Abbas, Rizwan; Zhang, Mingwei] Northeastern Univ, Coll Software Engn, Shenyang 110169, Peoples R China; [Hassan, Ghassan Muslim] Univ Al Mustansiriyah, Dept Comp Sci, Baghdad 10081, Iraq; [Al-Razgan, Muna] King Saud Univ, Coll Comp &amp; Informat Sci, Dept Software Engn, Riyadh 11345, Saudi Arabia; [Amran, Gehad Abdullah] Dalian Univ Technol, Fac Management &amp; Econ, Dept Management Sci Engn, Dalian 116024, Peoples R China; [Amran, Gehad Abdullah; Al-Sanabani, Hussein] Thamar Univ, Fac Comp Sci &amp; Informat Syst, Dept Informat Technol, Dhamar 967, Yemen; [Al Bakhrani, Ali Ahmed] Tech Leaders Coll, Dept Comp Sci, Sanaa 31220, Yemen; [Al Bakhrani, Ali Ahmed] Albaydha Univ, Fac Adm &amp; Comp Sci, Al Bayda 14517, Yemen; [Alfakih, Taha] King Saud Univ, Coll Comp &amp; Informat Sci, Dept Informat Syst, Riyadh 11345, Saudi Arabia; [Al-Sanabani, Hussein] Sakarya Univ, Fac Comp &amp; Informat Sci, Dept Comp Engn, TR-54050 Serdivan, Turkey; [Rahman, Sk Md Mizanur] Centennial Coll, Sch Engn Technol &amp; Appl Sci, Informat &amp; Commun Engn Technol, Toronto, ON 66777, Canada</t>
  </si>
  <si>
    <t>Northeastern University - China; Mustansiriya University; King Saud University; Dalian University of Technology; King Saud University; Sakarya University</t>
  </si>
  <si>
    <t>Abbas, R (corresponding author), Northeastern Univ, Coll Software Engn, Shenyang 110169, Peoples R China.;Al-Razgan, M (corresponding author), King Saud Univ, Coll Comp &amp; Informat Sci, Dept Software Engn, Riyadh 11345, Saudi Arabia.;Amran, GA (corresponding author), Dalian Univ Technol, Fac Management &amp; Econ, Dept Management Sci Engn, Dalian 116024, Peoples R China.;Amran, GA (corresponding author), Thamar Univ, Fac Comp Sci &amp; Informat Syst, Dept Informat Technol, Dhamar 967, Yemen.</t>
  </si>
  <si>
    <t>rizwanabbas@stumail.neu.edu.cn; gmhalsaddi@uomustansiriyah.edu.iq; malrazgan@ksu.edu.sa; zhangmw@swc.neu.edu.cn; jehad.westran@gmail.com; albakhrani2017@gmail.com; talfakih@ksu.edu.sa; hussein.sanabani@ogr.sakarya.edu.tr; srahman@centennialcollege.car</t>
  </si>
  <si>
    <t>; A. AL-Bakhrani, Ali/MVU-1254-2025; Hassan, Ghassan/AAX-5192-2020; Alsanabani, Hussein/GPT-4431-2022; Abbas, Rizwan/LWJ-0721-2024; AlRazgan, Muna/M-7736-2014; Alfakih, Taha/AGJ-8237-2022</t>
  </si>
  <si>
    <t>Zhang, Mingwei/0000-0002-8106-9653; A. AL-Bakhrani, Ali/0000-0003-1360-8640; Al-Saadi, Ass Ghassan Muslim Hassan/0000-0002-1480-091X; Abbas, Rizwan/0000-0001-8324-9175; AlRazgan, Muna/0000-0002-9705-3867; Alfakih, Taha/0000-0003-0366-5932</t>
  </si>
  <si>
    <t>King Saud University, Riyadh, Saudi Arabia [RSP-2021/206]</t>
  </si>
  <si>
    <t>King Saud University, Riyadh, Saudi Arabia(King Saud University)</t>
  </si>
  <si>
    <t>This research was supported by the Researchers Supporting Project number (RSP-2021/206), King Saud University, Riyadh, Saudi Arabia.</t>
  </si>
  <si>
    <t>2079-9292</t>
  </si>
  <si>
    <t>ELECTRONICS-SWITZ</t>
  </si>
  <si>
    <t>Electronics</t>
  </si>
  <si>
    <t>10.3390/electronics11101660</t>
  </si>
  <si>
    <t>Computer Science, Information Systems; Engineering, Electrical &amp; Electronic; Physics, Applied</t>
  </si>
  <si>
    <t>Computer Science; Engineering; Physics</t>
  </si>
  <si>
    <t>1O7ZX</t>
  </si>
  <si>
    <t>WOS:000801546300001</t>
  </si>
  <si>
    <t>GayathriDevi, B; Pattabiraman, V</t>
  </si>
  <si>
    <t>Nithyanandam, P; Parvathi, R; Kannan, RJ; Khan, AN</t>
  </si>
  <si>
    <t>GayathriDevi, B.; Pattabiraman, V.</t>
  </si>
  <si>
    <t>Towards User Profiling From Multiple Online Social Networks</t>
  </si>
  <si>
    <t>2ND INTERNATIONAL CONFERENCE ON RECENT TRENDS IN ADVANCED COMPUTING ICRTAC -DISRUP - TIV INNOVATION , 2019</t>
  </si>
  <si>
    <t>2nd International Conference on Recent Trends in Advanced Computing, Disruptive Innovation (ICRTAC-DTI)</t>
  </si>
  <si>
    <t>NOV 11-12, 2019</t>
  </si>
  <si>
    <t>Vellore Inst Technol, Chennai Campus, Chennai, INDIA</t>
  </si>
  <si>
    <t>Vellore Inst Technol, Chennai Campus</t>
  </si>
  <si>
    <t>Social network; user profiling; clustering; behavior analysis</t>
  </si>
  <si>
    <t>Social media networks are exponentially growing and it leads us to challenging issues in independent user assign assumption from the Big Data prospect. The main objective of the user profile is to generate a profile for the users by grouping user intelligence. For effective marketing and advertisement accurate user profiling is necessary in personalized endorsement system. For Instance, Twitter users can address their profile with 'narrative tags. The tags deliver a user explanation and used to retrieve smoothen data and another implementation of Yelp. On food, users desire accurate profiling for example, it will notably upgrade presentation on suggesting restaurants to the user. This work, we endorse a hypothesis for providing a profile user perception in online social medias. The mechanism may vary in profiling users by depending on its purpose and applications. The study of dissimilar implementations used in user profiling is under the extent of fortune aspires. The proposed model is used to attain the advanced activity to endorse modules in groups of members. (C) 2019 The Authors. Published by Elsevier B.V.</t>
  </si>
  <si>
    <t>[GayathriDevi, B.; Pattabiraman, V.] Vellore Inst Technol, Chennai, Tamil Nadu, India</t>
  </si>
  <si>
    <t>Vellore Institute of Technology (VIT); VIT Chennai</t>
  </si>
  <si>
    <t>GayathriDevi, B (corresponding author), Vellore Inst Technol, Chennai, Tamil Nadu, India.</t>
  </si>
  <si>
    <t>gayathrimtechcse@gmail.com</t>
  </si>
  <si>
    <t>Venkatasubbu, Pattabiraman/ABI-7573-2020</t>
  </si>
  <si>
    <t>Venkatasubbu, Pattabiraman/0000-0001-8734-2203</t>
  </si>
  <si>
    <t>10.1016/j.procs.2020.01.006</t>
  </si>
  <si>
    <t>BQ2PB</t>
  </si>
  <si>
    <t>WOS:000582556800061</t>
  </si>
  <si>
    <t>Mouchotte, J; Delong, M; Sliman, L</t>
  </si>
  <si>
    <t>Mouchotte, Jean; Delong, Maxence; Sliman, Layth</t>
  </si>
  <si>
    <t>Beyond the Screen: Exploring Privacy Boundaries through Automated User Profiling</t>
  </si>
  <si>
    <t>ACM TRANSACTIONS ON PRIVACY AND SECURITY</t>
  </si>
  <si>
    <t>Privacy; SOCMINT; data protection; governance; user profiling; social networks</t>
  </si>
  <si>
    <t>SOCIAL NETWORKS; GENERATED CONTENT; ACCOUNTS</t>
  </si>
  <si>
    <t>Social Media Intelligence (SOCMINT) is widely used for gathering sensitive information about individuals, companies, or organizations, fueling potential attacks. This study highlights the inadequacy of current privacy protection measures and proposes an automated, sustainable approach to correlate user profiles, including homonyms and pseudonyms, solely through publicly available data. A sustainable method presents a solution to bypass API privatization and anti-scraping measures for data collection and formatting, emphasizing data correlation and the creation of cross-referenced dictionaries. Aggregated data enables indirect correlations, enhancing accuracy and relevance compared to existing methods. The purpose of this study is to create a self-learning knowledge base that addresses acronyms, homonyms, and pseudonyms while incorporating context to establish deeper connections between data. Comparisons will account for contextual relevance rather than relying solely on distances or metrics. Despite challenges posed by GDPR implementation and diminishing exploitable data, analysis of a database containing 7,600 accounts from major social platforms reveals over 90% accuracy in user-to-profile associations with 30% of homonyms and unpredictable pseudonyms or user-names. Notably, the study unveils the feasibility of retrieving information from private profiles solely through the application of dictionaries. The study demonstrates the limits of privacy on social networks, with users playing a passive role in the extensive dissemination of their data. Therefore, governance structures require innovative solutions to guarantee end-to-end protection and privacy.</t>
  </si>
  <si>
    <t>[Mouchotte, Jean] Onepoint, Rennes, France; [Mouchotte, Jean] Univ Paris 2 Pantheon Assas, Efrei Res Lab, Paris, France; [Delong, Maxence] Ecole Natl Super Arts &amp; Metiers, Esiea, Paris, France; [Sliman, Layth] Efrei Paris, Villejuif, France; [Sliman, Layth] Univ Paris 2 Pantheon Assas, Paris, France</t>
  </si>
  <si>
    <t>Universite Paris-Pantheon-Assas; heSam Universite; Arts et Metiers Institute of Technology; Conservatoire National Arts &amp; Metiers (CNAM); Universite Paris-Pantheon-Assas</t>
  </si>
  <si>
    <t>Mouchotte, J (corresponding author), Onepoint, Rennes, France.</t>
  </si>
  <si>
    <t>j.mouchotte@groupeonepoint.com; maxence.delong@esiea.fr; layth.sliman@efrei.fr</t>
  </si>
  <si>
    <t>Mouchotte, Jean/0000-0003-2149-5367</t>
  </si>
  <si>
    <t>2471-2566</t>
  </si>
  <si>
    <t>2471-2574</t>
  </si>
  <si>
    <t>ACM T PRIV SECUR</t>
  </si>
  <si>
    <t>ACM Trans. Priv. Secur.</t>
  </si>
  <si>
    <t>10.1145/3725813</t>
  </si>
  <si>
    <t>Computer Science, Information Systems; Fisheries</t>
  </si>
  <si>
    <t>Computer Science; Fisheries</t>
  </si>
  <si>
    <t>6VM5L</t>
  </si>
  <si>
    <t>WOS:001563001900004</t>
  </si>
  <si>
    <t>Arnaboldi, V; Campana, MG; Delmastro, F; Pagani, E</t>
  </si>
  <si>
    <t>Arnaboldi, Valerio; Campana, Mattia G.; Delmastro, Franca; Pagani, Elena</t>
  </si>
  <si>
    <t>A personalized recommender system for pervasive social networks</t>
  </si>
  <si>
    <t>PERVASIVE AND MOBILE COMPUTING</t>
  </si>
  <si>
    <t>Pervasive content sharing; Mobile social networks; Opportunistic networks; Personalized recommender systems</t>
  </si>
  <si>
    <t>The current availability of interconnected portable devices, and the advent of the Web 2.0, raise the problem of supporting anywhere and anytime access to a huge amount of content, generated and shared by mobile users. On the one hand, users tend to be always connected for sharing experiences and conducting their social interactions with friends and acquaintances, through so-called Mobile Social Networks, further improving their social inclusion. On the other hand, the pervasiveness of communication infrastructures spreading data (cellular networks, direct device-to-device contacts, interactions with ambient devices as in the Internet-of-Things) makes compulsory the deployment of solutions able to filter off undesired information and to select what content should be addressed to which users, for both (i) better user experience, and (ii) resource saving of both devices and network. In this work, we propose a novel framework for pervasive social networks, called Pervasive PLIERS (p-PLIERS), able to discover and select, in a highly personalized way, contents of interest for single mobile users. p-PLIERS exploits the recently proposed PLIERS tag-based recommender system (Arnaboldi et al., 2016) as a context reasoning tool able to adapt recommendations to heterogeneous interest profiles of different users. p-PLIERS effectively operates also when limited knowledge about the network is maintained. It is implemented in a completely decentralized environment, in which new contents are continuously generated and diffused through the network, and it relies only on the exchange of single nodes' knowledge during proximity contacts and through device-to-device communications. We evaluated p-PLIERS by simulating its behavior in three different scenarios: a big event (Expo 2015), a conference venue (ACM KDD'15), and a working day in the city of Helsinki. For each scenario, we used real or synthetic mobility traces and we extracted real datasets from Twitter interactions to characterize the generation and sharing of user contents. (C) 2016 Elsevier B.V. All rights reserved.</t>
  </si>
  <si>
    <t>[Arnaboldi, Valerio; Campana, Mattia G.; Delmastro, Franca; Pagani, Elena] IIT, CNR, Via G Moruzzi 1, I-56124 Pisa, Italy; [Pagani, Elena] Univ Milan, Dept Comp Sci, Via Comelico 39, I-20135 Milan, Italy</t>
  </si>
  <si>
    <t>Consiglio Nazionale delle Ricerche (CNR); Istituto di Informatica e Telematica (IIT-CNR); University of Milan</t>
  </si>
  <si>
    <t>Campana, MG (corresponding author), IIT, CNR, Via G Moruzzi 1, I-56124 Pisa, Italy.</t>
  </si>
  <si>
    <t>v.arnaboldi@iit.cnr.it; m.campana@iit.cnr.it; f.delmastro@iit.cnr.it; pagani@di.unimi.it</t>
  </si>
  <si>
    <t>; Pagani, Elena/E-5640-2019; Campana, Mattia Giovanni/V-5149-2019; DELMASTRO, FRANCA/AAG-7559-2019</t>
  </si>
  <si>
    <t>Arnaboldi, Valerio/0000-0002-2563-5374; Pagani, Elena/0000-0001-7162-5997; Campana, Mattia Giovanni/0000-0003-3732-4618; DELMASTRO, FRANCA/0000-0001-9233-2712</t>
  </si>
  <si>
    <t>European Commission under EIT Digital GameBus project [IAG 2016 - 082 CNR, 15024-A1603]</t>
  </si>
  <si>
    <t>European Commission under EIT Digital GameBus project</t>
  </si>
  <si>
    <t>This work has been partially funded by the European Commission under EIT Digital GameBus project (Business Plan 2016). Grant number: IAG 2016 - 082 CNR, 15024-A1603.</t>
  </si>
  <si>
    <t>1574-1192</t>
  </si>
  <si>
    <t>1873-1589</t>
  </si>
  <si>
    <t>PERVASIVE MOB COMPUT</t>
  </si>
  <si>
    <t>Pervasive Mob. Comput.</t>
  </si>
  <si>
    <t>10.1016/j.pmcj.2016.08.010</t>
  </si>
  <si>
    <t>EP9JS</t>
  </si>
  <si>
    <t>WOS:000397690500002</t>
  </si>
  <si>
    <t>Bilal, M; Gani, A; Lali, MIU; Marjani, M; Malik, N</t>
  </si>
  <si>
    <t>Bilal, Muhammad; Gani, Abdullah; Lali, Muhammad Ikram Ullah; Marjani, Mohsen; Malik, Nadia</t>
  </si>
  <si>
    <t>Social Profiling: A Review, Taxonomy, and Challenges</t>
  </si>
  <si>
    <t>CYBERPSYCHOLOGY BEHAVIOR AND SOCIAL NETWORKING</t>
  </si>
  <si>
    <t>user profiling; social profiling; social computing; social network analysis; personalization; social media data</t>
  </si>
  <si>
    <t>RECOMMENDER SYSTEM; NETWORK ANALYSIS; USERS; CLASSIFICATION; VISUALIZATION; EXTRACTION</t>
  </si>
  <si>
    <t>Social media has taken an important place in the routine life of people. Every single second, users from all over the world are sharing interests, emotions, and other useful information that leads to the generation of huge volumes of user-generated data. Profiling users by extracting attribute information from social media data has been gaining importance with the increasing user-generated content over social media platforms. Meeting the user's satisfaction level for information collection is becoming more challenging and difficult. This is because of too much noise generated, which affects the process of information collection due to explosively increasing online data. Social profiling is an emerging approach to overcome the challenges faced in meeting user's demands by introducing the concept of personalized search while keeping in consideration user profiles generated using social network data. This study reviews and classifies research inferring users social profile attributes from social media data as individual and group profiling. The existing techniques along with utilized data sources, the limitations, and challenges are highlighted. The prominent approaches adopted include Machine Learning, Ontology, and Fuzzy logic. Social media data from Twitter and Facebook have been used by most of the studies to infer the social attributes of users. The studies show that user social attributes, including age, gender, home location, wellness, emotion, opinion, relation, influence, and so on, still need to be explored. This review gives researchers insights of the current state of literature and challenges for inferring user profile attributes using social media data.</t>
  </si>
  <si>
    <t>[Bilal, Muhammad; Marjani, Mohsen] Taylors Univ, Sch Comp &amp; IT, Subang Jaya 47500, Malaysia; [Bilal, Muhammad; Marjani, Mohsen] Taylors Univ, Ctr Data Sci &amp; Analyt, Subang Jaya, Malaysia; [Gani, Abdullah] Univ Malaya, Fac Comp Sci &amp; Informat Technol, Kuala Lumpur, Malaysia; [Lali, Muhammad Ikram Ullah] Univ Gujrat, Dept Comp Sci, Gujrat, Pakistan; [Malik, Nadia] COMSATS Univ Islamabad, Dept Management Sci, Islamabad, Pakistan</t>
  </si>
  <si>
    <t>Taylor's University; Taylor's University; Universiti Malaya; University of Gujrat; COMSATS University Islamabad (CUI)</t>
  </si>
  <si>
    <t>Bilal, M; Marjani, M (corresponding author), Taylors Univ, Sch Comp &amp; IT, Subang Jaya 47500, Malaysia.</t>
  </si>
  <si>
    <t>mbilal.csit@gmail.com; marjanimohsen@gmail.com</t>
  </si>
  <si>
    <t>Gani, Abdullah/C-2888-2009; Marjani, Mohsen/IAO-8292-2023; Lali, Ikramullah/V-4076-2019; Bilal, Muhammad/ABD-5413-2020</t>
  </si>
  <si>
    <t>Gani, Abdullah/0000-0002-4388-020X; Marjani, Mohsen/0000-0002-7445-7332; Lali, Ikramullah/0000-0003-2208-5853; Bilal, Muhammad/0000-0002-9827-5023</t>
  </si>
  <si>
    <t>2152-2715</t>
  </si>
  <si>
    <t>2152-2723</t>
  </si>
  <si>
    <t>CYBERPSYCH BEH SOC N</t>
  </si>
  <si>
    <t>Cyberpsychology Behav. Soc. Netw.</t>
  </si>
  <si>
    <t>JUL 1</t>
  </si>
  <si>
    <t>10.1089/cyber.2018.0670</t>
  </si>
  <si>
    <t>MAY 2019</t>
  </si>
  <si>
    <t>Psychology, Social</t>
  </si>
  <si>
    <t>II7XZ</t>
  </si>
  <si>
    <t>WOS:000468995600001</t>
  </si>
  <si>
    <t>Sun, PX; Zheng, ZD; Yang, YH; Zhou, W; Wen, JH</t>
  </si>
  <si>
    <t>Huang, DS; Pan, Y; Chen, W; Li, B</t>
  </si>
  <si>
    <t>Sun, Peixuan; Zheng, Zhida; Yang, Yuhan; Zhou, Wei; Wen, Junhao</t>
  </si>
  <si>
    <t>Dual-Perspective Modeling: Interest Trend-Detection and Diversity-Aware for Multi-behavior Sequential Recommendation</t>
  </si>
  <si>
    <t>ADVANCED INTELLIGENT COMPUTING TECHNOLOGY AND APPLICATIONS, ICIC 2025, PT XIX</t>
  </si>
  <si>
    <t>21st International Conference on Intelligent Computing-ICIC-Annual</t>
  </si>
  <si>
    <t>JUL 26-29, 2025</t>
  </si>
  <si>
    <t>Ningbo, PEOPLES R CHINA</t>
  </si>
  <si>
    <t>Society of International Computing,Ningbo University,Eastern Institute of Technology,University of Nottingham Ningbo China,Tianjin University Science &amp; Technology,Xinjiang Institute of Engineering</t>
  </si>
  <si>
    <t>Multi-Behavior Sequential Recommendation; Multi-Interest Learning; Heterogeneous Behavioral Sequences</t>
  </si>
  <si>
    <t>In real-world recommendation systems, user interactions inherently include behavioral information (e.g., clicks, cart). Multi-behavior sequential recommendations focus on predicting the next item a user will interact with under the target behavior. Incorporating behavioral information enhances the diversity of user interaction data. However, existing multi-behavior recommendation methods perform unified modeling without distinguishing the interest categories reflected by different data. Hence, we propose a novel method called TDBSR (Trend Detection and Diversity-Aware for Multi-Behavior Sequential Recommendation) which separately captures interest trend and dispersed diversity before performing a unified integration. We design a mask generation module that decouples the data, employing MLP-based modules: HITM (heterogeneous interest trend module) and ABIP (auxiliary behavior intent perception module) to extract user interest tendencies. Concurrently, we leverage MLP and max-pooling layers to extract user interest diversity. Experiments on two public datasets validate that our proposed TDBSR outperforms state-of-the-art methods.</t>
  </si>
  <si>
    <t>[Sun, Peixuan; Zhou, Wei; Wen, Junhao] Chongqing Univ, Sch Big Data &amp; Software Engn, Chongqing 400044, Peoples R China; [Zheng, Zhida] Univ Rochester, Simon Business Sch, 500 Joseph C Wilson Blvd, Rochester, NY 14627 USA; [Yang, Yuhan] Sichuan Univ, Sch Publ Adm, Chengdu 610065, Peoples R China</t>
  </si>
  <si>
    <t>Chongqing University; University of Rochester; Sichuan University</t>
  </si>
  <si>
    <t>Wen, JH (corresponding author), Chongqing Univ, Sch Big Data &amp; Software Engn, Chongqing 400044, Peoples R China.</t>
  </si>
  <si>
    <t>jhwen@cqu.edu.cn</t>
  </si>
  <si>
    <t>National Natural Science Foundation of China [72074036, 62072060]; Natural Science Foundation of Chongqing, China [CSTB2024NSCQ-MSX0701]</t>
  </si>
  <si>
    <t>National Natural Science Foundation of China(National Natural Science Foundation of China (NSFC)); Natural Science Foundation of Chongqing, China(Natural Science Foundation of Chongqing)</t>
  </si>
  <si>
    <t>This work was funded by the National Natural Science Foundation of China (Grant No. 72074036, 62072060) and supported by the Natural Science Foundation of Chongqing, China, No. CSTB2024NSCQ-MSX0701.</t>
  </si>
  <si>
    <t>978-981-96-9814-1; 978-981-96-9815-8</t>
  </si>
  <si>
    <t>10.1007/978-981-96-9815-8_28</t>
  </si>
  <si>
    <t>BZ3RW</t>
  </si>
  <si>
    <t>WOS:001568876500028</t>
  </si>
  <si>
    <t>Yang, SC; Shi, LL; Liu, L</t>
  </si>
  <si>
    <t>Yang, Sheng-chen; Shi, Lei-lei; Liu, Lu</t>
  </si>
  <si>
    <t>Community Detection Method Based on User Influence Probability and Similarity</t>
  </si>
  <si>
    <t>2018 SIXTH INTERNATIONAL CONFERENCE ON ADVANCED CLOUD AND BIG DATA (CBD)</t>
  </si>
  <si>
    <t>International Conference on Advanced Cloud and Big Data</t>
  </si>
  <si>
    <t>6th International Conference on Advanced Cloud and BigData (CBD)</t>
  </si>
  <si>
    <t>AUG 12-14, 2018</t>
  </si>
  <si>
    <t>Lanzhou, PEOPLES R CHINA</t>
  </si>
  <si>
    <t>Lanzhou Univ,Southeast Univ</t>
  </si>
  <si>
    <t>Community Detection; local expansion algorithm; complex network</t>
  </si>
  <si>
    <t>With the development of social network, the rapid spread of micro-blog information and its convenience have enabled a large number of users to share their daily activities. On the basis of interest, users on Twitter formed a community by exchanging views and establishing friendships with others. Most existing community division methods use classification or clustering method to separate communities by single user interest weighting, and the effect is not ideal. In this paper, we propose a community detection method based on user impact probability and interest model called IPS(base on Influence Probability and Similarity). This paper predicts the probability of influence between two users. Finally, we assign users to communities with higher interest and impact probability and higher public connection topology. In addition, we test the ability of our algorithm by experiments on the actual micro-blog dataset. The experimental results show that the algorithm is effective for micro-blog.</t>
  </si>
  <si>
    <t>[Yang, Sheng-chen; Shi, Lei-lei] Jiangsu Univ, Sch Comp Sci &amp; Telecommun Engn, Zhenjiang, Jiangsu, Peoples R China; [Liu, Lu] Univ Derby, Dept Comp Elect &amp; Math, Derby, England</t>
  </si>
  <si>
    <t>Jiangsu University; University of Derby</t>
  </si>
  <si>
    <t>Yang, SC (corresponding author), Jiangsu Univ, Sch Comp Sci &amp; Telecommun Engn, Zhenjiang, Jiangsu, Peoples R China.</t>
  </si>
  <si>
    <t>897935317@qq.com; 937109472@qq.com; L.Liu@derby.acuk</t>
  </si>
  <si>
    <t>; Shi, Lei-lei/N-4485-2019</t>
  </si>
  <si>
    <t>Liu, Lu/0000-0003-1013-4507;</t>
  </si>
  <si>
    <t>2573-301X</t>
  </si>
  <si>
    <t>978-1-5386-8034-6</t>
  </si>
  <si>
    <t>INT CONF ADV CLOUD B</t>
  </si>
  <si>
    <t>10.1109/CBD.2018.00041</t>
  </si>
  <si>
    <t>BO5IT</t>
  </si>
  <si>
    <t>WOS:000517748600032</t>
  </si>
  <si>
    <t>Kanwal, M; Ahmed, S; Naqvi, S; Maroof, R</t>
  </si>
  <si>
    <t>Kanwal, Moona; Ahmed, Shakil; Naqvi, Shabbar; Maroof, Razia</t>
  </si>
  <si>
    <t>DO MALES AND FEMALES EXPERIENCE THE GENDER THROUGH MACHINE LEARNING</t>
  </si>
  <si>
    <t>ADVANCES AND APPLICATIONS IN STATISTICS</t>
  </si>
  <si>
    <t>user intent; cluster; browsing preference; information sharing; user behavior; search reasons; human behavior</t>
  </si>
  <si>
    <t>Our aim is to classify gender using machine learning by analyzing user behavior on the Internet. With approximately 65% of the global population online, understanding users their preferences has become necessary. Online experiences are shaped by behavioral analysis, which enables platforms to tailor content by highlighting user interests and filtering out irrelevant information. Gender identification plays a significant role in user profiling for optimizing search results, recommending products or services, detecting fake connections, and improving social network suggestions. This study investigates user feedback on information-searching preferences and practices, treating them as indicators of online behavior, and trains a Ridge classifier to predict gender. The model achieves 70% accuracy on test data, demonstrating measurable differences in how males and females seek and disseminate information online.</t>
  </si>
  <si>
    <t>[Kanwal, Moona; Maroof, Razia] Iqra Univ, Karachi, Pakistan; [Ahmed, Shakil] FAST NUCES, Karachi, Pakistan; [Naqvi, Shabbar] Univ Leeds, Leeds, England</t>
  </si>
  <si>
    <t>Iqra University; University of Leeds</t>
  </si>
  <si>
    <t>Ahmed, S (corresponding author), FAST NUCES, Karachi, Pakistan.</t>
  </si>
  <si>
    <t>moona.kanwal@iqra.edu.pk; shakil.ahmed@nu.edu.pk; s.naqvi@leeds.ac.uk; razia.maroof@iqra.edu.pk</t>
  </si>
  <si>
    <t>Kanwal, Moona/KPY-2728-2024</t>
  </si>
  <si>
    <t>PUSHPA PUBLISHING HOUSE</t>
  </si>
  <si>
    <t>ALLAHABAD</t>
  </si>
  <si>
    <t>VIJAYA NIWAS, 198, MUMFORDGANJ, ALLAHABAD, 211002, INDIA</t>
  </si>
  <si>
    <t>0972-3617</t>
  </si>
  <si>
    <t>ADV APPL STAT</t>
  </si>
  <si>
    <t>Adv. Appl. Stat.</t>
  </si>
  <si>
    <t>10.17654/0972361726044</t>
  </si>
  <si>
    <t>Statistics &amp; Probability</t>
  </si>
  <si>
    <t>NN5XD</t>
  </si>
  <si>
    <t>WOS:001864146300001</t>
  </si>
  <si>
    <t>Armknecht, F; Hauptmann, M; Roos, S; Strufe, T</t>
  </si>
  <si>
    <t>Jamalipour, A; Deng, DJ</t>
  </si>
  <si>
    <t>Armknecht, Frederik; Hauptmann, Manuel; Roos, Stefanie; Strufe, Thorsten</t>
  </si>
  <si>
    <t>An Additional Protection Layer for Confidential OSNs Posts</t>
  </si>
  <si>
    <t>2014 IEEE INTERNATIONAL CONFERENCE ON COMMUNICATIONS (ICC)</t>
  </si>
  <si>
    <t>IEEE International Conference on Communications</t>
  </si>
  <si>
    <t>IEEE International Conference on Communications (ICC)</t>
  </si>
  <si>
    <t>JUN 10-14, 2014</t>
  </si>
  <si>
    <t>Sydney, AUSTRALIA</t>
  </si>
  <si>
    <t>IEEE,IEEE Commun Soc,IEEE, New S Wales Sect</t>
  </si>
  <si>
    <t>Social Network Security; Secret Sharing; Spam Protection</t>
  </si>
  <si>
    <t>The design of secure and usable access schemes to personal data represent a major challenge of online social networks (OSNs). State of the art requires prior interaction to grant access. Sharing with users who are not subscribed or previously have not been accepted as contacts in any case is only possible via public posts, which can easily be abused by automatic harvesting for user profiling, targeted spear-phishing, or spamming. Moreover, users are restricted to the access rules defined by the provider, which may be overly restrictive, cumbersome to define, or insufficiently fine-grained. We suggest a complementary approach that can be easily deployed in addition to existing access control schemes, does not require any interaction, and includes even public, unsubscribed users. It exploits the fact that different social circles of a user share different experiences and hence encrypts arbitrary posts. Assembling only well-established cryptographic primitives, we prove that the security of our scheme is determined by the entropy of the required knowledge. We consequently analyze the efficiency of an informed dictionary attack and assess the entropy to be on par with common passwords. A fully functional implementation is used for performance evaluations, and available for download on the Web.</t>
  </si>
  <si>
    <t>[Armknecht, Frederik; Hauptmann, Manuel] Univ Mannheim, Mannheim, Germany; [Roos, Stefanie; Strufe, Thorsten] Tech Univ Darmstadt, Darmstadt, Germany</t>
  </si>
  <si>
    <t>University of Mannheim; Technical University of Darmstadt</t>
  </si>
  <si>
    <t>Armknecht, F (corresponding author), Univ Mannheim, Mannheim, Germany.</t>
  </si>
  <si>
    <t>armknecht@uni-mannheim.de; mhauptma@uni-mannheim.de; roos@cs.tu-darmstadt.de; strufe@cs.tu-darmstadt.de</t>
  </si>
  <si>
    <t>; Hauptmann, Michael/AAQ-8420-2021</t>
  </si>
  <si>
    <t>Armknecht, Frederik/0009-0003-9935-8095;</t>
  </si>
  <si>
    <t>1550-3607</t>
  </si>
  <si>
    <t>978-1-4799-2003-7</t>
  </si>
  <si>
    <t>IEEE ICC</t>
  </si>
  <si>
    <t>BE0RF</t>
  </si>
  <si>
    <t>WOS:000366666803149</t>
  </si>
  <si>
    <t>Balduzzi, M; Platzer, C; Holz, T; Kirda, E; Balzarotti, D; Kruegel, C</t>
  </si>
  <si>
    <t>Jha, S; Sommer, R; Kreibich, C</t>
  </si>
  <si>
    <t>Balduzzi, Marco; Platzer, Christian; Holz, Thorsten; Kirda, Engin; Balzarotti, Davide; Kruegel, Christopher</t>
  </si>
  <si>
    <t>Abusing Social Networks for Automated User Profiling</t>
  </si>
  <si>
    <t>RECENT ADVANCES IN INTRUSION DETECTION</t>
  </si>
  <si>
    <t>13th International Symposium on Recent Advances in Intrusion Detection Systems</t>
  </si>
  <si>
    <t>SEP 15-17, 2010</t>
  </si>
  <si>
    <t>Ottawa, CANADA</t>
  </si>
  <si>
    <t>Recently, social networks such as Facebook have experienced a huge surge in popularity. The amount of personal information stored on these sites calls for appropriate security precautions to protect this data. In this paper, we describe how we are able to take advantage of a common weakness, namely the fact that an attacker can query popular social networks for registered e-mail addresses on a large scale. Starting with a list of about 10.4 million email addresses, we were able to automatically identify more than 1.2 million user profiles associated with these addresses. By automatically crawling and correlating these profiles, we collect detailed personal information about each user, which we use for automated profiling (i.e., to enrich the information available from each user). Having access to such information would allow an attacker to launch sophisticated, targeted attacks, or to improve the efficiency of spam campaigns. We have contacted the most popular providers, who acknowledged the threat and are currently implementing our proposed countermeasures. Facebook and XING, in particular, have recently fixed the problem.</t>
  </si>
  <si>
    <t>[Balduzzi, Marco; Kirda, Engin; Balzarotti, Davide] Inst Eurecom, Sophia Antipolis, France; [Platzer, Christian; Holz, Thorsten] Vienna Univ Technol, Secure Syst Lab, Vienna, Austria; [Kruegel, Christopher] Univ Calif, Santa Barbara, CA USA</t>
  </si>
  <si>
    <t>IMT - Institut Mines-Telecom; EURECOM; Technische Universitat Wien; University of California System; University of California Santa Barbara</t>
  </si>
  <si>
    <t>Balduzzi, M (corresponding author), Inst Eurecom, Sophia Antipolis, France.</t>
  </si>
  <si>
    <t>Holz, Thorsten/H-5546-2013; Balzarotti, Davide/QWC-7685-2026</t>
  </si>
  <si>
    <t>Holz, Thorsten/0000-0002-2783-1264;</t>
  </si>
  <si>
    <t>Secure Business Austria; European Commission [FP7-ICT-216026-WOMBAT]; POLE de Competitivite SCS (France) through theMECANOS project; French National Research Agency through the VAMPIRE project</t>
  </si>
  <si>
    <t>Secure Business Austria; European Commission(European Union (EU)European Commission Joint Research Centre); POLE de Competitivite SCS (France) through theMECANOS project; French National Research Agency through the VAMPIRE project(Agence Nationale de la Recherche (ANR))</t>
  </si>
  <si>
    <t>This work has been supported by Secure Business Austria, by the European Commission through project FP7-ICT-216026-WOMBAT, by the POLE de Competitivite SCS (France) through theMECANOS project and by the French National Research Agency through the VAMPIRE project.</t>
  </si>
  <si>
    <t>978-3-642-15511-6</t>
  </si>
  <si>
    <t>BTC73</t>
  </si>
  <si>
    <t>WOS:000286486100022</t>
  </si>
  <si>
    <t>Selvi, PT; Balasubramaniam, K; Vidhya, S; Jayapandian, N; Ramya, K; Poongodi, M; Hamdi, M; Tunze, GB</t>
  </si>
  <si>
    <t>Selvi, Tamil P.; Balasubramaniam, Kishore; Vidhya, S.; Jayapandian, N.; Ramya, K.; Poongodi, M.; Hamdi, Mounir; Tunze, Godwin Brown</t>
  </si>
  <si>
    <t>Social Network User Profiling With Multilayer Semantic Modeling Using Ego Network</t>
  </si>
  <si>
    <t>INTERNATIONAL JOURNAL OF INFORMATION TECHNOLOGY AND WEB ENGINEERING</t>
  </si>
  <si>
    <t>Dimension Reduction; DoctoVec; Genism; Kmean; LSTMs; Matplotlib; Meanshift; PCA; Python; RNN; Scikitlib; Vectors; Visualizaton</t>
  </si>
  <si>
    <t>Social and information networks undermine the real relationship between the individuals (ego) and the friends (alters) they are connected with on social media. The structure of individual network is highlighted by the ego network. Egocentric approach is popular due to its focus on individuals, groups, or communities. Size, structure, and composition directly impact the ego networks. Moreover, analysis includes strength of ego - alter ties degree and strength of ties. Degree gives the first overview of network. Social support in the network is explored with the gap between the degree and average strength. These outcomes firmly propose that, regardless of whether the approaches to convey and to keep up social connections are evolving because of the dispersion of online social networks, the way individuals sort out their social connections appears to remain unaltered. As online social networks evolve, they help in receiving more diverse information.</t>
  </si>
  <si>
    <t>[Selvi, Tamil P.] Michael Job Coll Arts &amp; Sci Women, Sulur, India; [Balasubramaniam, Kishore] Dr Mahalingam Coll Engn &amp; Technol, Dept EEE, Pollachi, India; [Jayapandian, N.] PKR Arts Coll Women, Gobichettipalayam, India; [Jayapandian, N.] Christ Univ, Dept Comp Sci &amp; Engn, Bangalore, Karnataka, India; [Ramya, K.] PA Coll Engn &amp; Technol, Pollachi, India; [Poongodi, M.; Hamdi, Mounir] Hamad Bin Khalifa Univ, Coll Sci &amp; Engn, Div Informat &amp; Comp Technol, Doha, Qatar; [Tunze, Godwin Brown] Mbeya Univ Sci &amp; Technol, Mbeya, Tanzania</t>
  </si>
  <si>
    <t>Christ University; Qatar Foundation (QF); Hamad Bin Khalifa University-Qatar</t>
  </si>
  <si>
    <t>Selvi, PT (corresponding author), Michael Job Coll Arts &amp; Sci Women, Sulur, India.</t>
  </si>
  <si>
    <t>Balasubramanian, Kishore/JDC-7086-2023; K, Ramya/ABB-3813-2021; TUNZE, GODWIN BROWN/AAX-9441-2021; , S.Vidhya/MDT-1734-2025; selvi, tamil/GVT-0310-2022; Natarajan, Jayapandian/B-2924-2016</t>
  </si>
  <si>
    <t>Balasubramanian, Kishore/0000-0003-1918-9774; TUNZE, GODWIN BROWN/0000-0002-7991-9962; , S.Vidhya/0000-0002-7917-7233; Natarajan, Jayapandian/0000-0002-7054-0163</t>
  </si>
  <si>
    <t>1554-1045</t>
  </si>
  <si>
    <t>1554-1053</t>
  </si>
  <si>
    <t>INT J INF TECHNOL WE</t>
  </si>
  <si>
    <t>Int. J. Inf. Technol. Web Eng.</t>
  </si>
  <si>
    <t>10.4018/IJITWE.304049</t>
  </si>
  <si>
    <t>DM8H3</t>
  </si>
  <si>
    <t>WOS:001132547600018</t>
  </si>
  <si>
    <t>Canut, MF; On-At, S; Péninou, A; Sédes, F</t>
  </si>
  <si>
    <t>Pei, J; Silvestri, F; Tang, J</t>
  </si>
  <si>
    <t>Canut, Marie-Francoise; On-At, Sirinya; Peninou, Andre; Sedes, Florence</t>
  </si>
  <si>
    <t>Time-aware Egocentric network-based User Profiling</t>
  </si>
  <si>
    <t>PROCEEDINGS OF THE 2015 IEEE/ACM INTERNATIONAL CONFERENCE ON ADVANCES IN SOCIAL NETWORKS ANALYSIS AND MINING (ASONAM 2015)</t>
  </si>
  <si>
    <t>AUG 25-28, 2015</t>
  </si>
  <si>
    <t>IEEE,Assoc Comp Machinery,ACM SIGKDD,IEEE Comp Soc,IEEE TCDE,Springer,Cisco,Telecom ParisTech</t>
  </si>
  <si>
    <t>User's Profile; Social Network; Egocentric Network; Time-aware Method</t>
  </si>
  <si>
    <t>Improving the egocentric network-based user's profile building process by taking into account the dynamic characteristics of social networks can be relevant in many applications. To achieve this aim, we propose to apply a time-aware method into an existing egocentric-based user profiling process, based on previous contributions of our team. The aim of this strategy is to weight user's interests according to their relevance and freshness. The time awareness weight of an interest is computed by combining the relevance of individuals in the user's egocentric network (computed by taking into account the freshness of their ties) with the information relevance (computed by taking into account its freshness). The experiments on scientific publications networks (DBLP/Mendeley) allow us to demonstrate the effectiveness of our proposition compared to the existing time-agnostic egocentric network-based user profiling process.</t>
  </si>
  <si>
    <t>[Canut, Marie-Francoise; On-At, Sirinya; Peninou, Andre; Sedes, Florence] Univ Toulouse, IRIT, CNRS, UMR 5505, F-31062 Toulouse 9, France</t>
  </si>
  <si>
    <t>Centre National de la Recherche Scientifique (CNRS); Universite Toulouse 1 Capitole; Universite de Toulouse (EPE); Communaute d'universites et etablissements de Toulouse (Comue); CNRS - Institute for Information Sciences &amp; Technologies (INS2I); Institut National Polytechnique de Toulouse; Universite de Toulouse - Jean Jaures</t>
  </si>
  <si>
    <t>Canut, MF (corresponding author), Univ Toulouse, IRIT, CNRS, UMR 5505, F-31062 Toulouse 9, France.</t>
  </si>
  <si>
    <t>marie-francoise.canut@irit.fr; sirinya.on-at@irit.fr; andre.peninou@irit.fr; florence.sedes@irit.fr</t>
  </si>
  <si>
    <t>978-1-4503-3854-7</t>
  </si>
  <si>
    <t>10.1145/2808797.2809415</t>
  </si>
  <si>
    <t>BE4JN</t>
  </si>
  <si>
    <t>WOS:000371793500082</t>
  </si>
  <si>
    <t>Karanatsiou, D; Sermpezis, P; Gruda, D; Kafetsios, K; Dimitriadis, I; Vakali, A</t>
  </si>
  <si>
    <t>Karanatsiou, Dimitra; Sermpezis, Pavlos; Gruda, Dritjon; Kafetsios, Konstantinos; Dimitriadis, Ilias; Vakali, Athena</t>
  </si>
  <si>
    <t>My Tweets Bring All the Traits to the Yard: Predicting Personality and Relational Traits in Online Social Networks</t>
  </si>
  <si>
    <t>User profiling; personality prediction; social networks; online behavior; machine learning</t>
  </si>
  <si>
    <t>BIG 5; ATTACHMENT STYLES; MULTI-LABEL; BEHAVIOR; EXPRESSION; FRIENDSHIP; EMOTION; MEDIA</t>
  </si>
  <si>
    <t>Users in Online Social Networks (OSNs,) leave traces that reflect their personality characteristics. The study of these traces is important for several fields, such as social science, psychology, marketing, and others. Despite a marked increase in research on personality prediction based on online behavior, the focus has been heavily on individual personality traits, and by doing so, largely neglects relational facets of personality. This study aims to address this gap by providing a prediction model for holistic personality profiling in OSNs that includes socio-relational traits (attachment orientations) in combination with standard personality traits. Specifically, we first designed a feature engineering methodology that extracts a wide range of features (accounting for behavior, language, and emotions) from the OSN accounts of users. Subsequently, we designed a machine learning model that predicts trait scores of users based on the extracted features. The proposed model architecture is inspired by characteristics embedded in psychology; i.e, it utilizes interrelations among personality facets and leads to increased accuracy in comparison with other state-of-the-art approaches. To demonstrate the usefulness of this approach, we applied our model on two datasets, namely regular OSN users and opinion leaders on social media, and contrast both samples' psychological profiles. Our findings demonstrate that the two groups can be clearly separated by focusing on both Big Five personality traits and attachment orientations. The presented research provides a promising avenue for future research on OSN user characterization and classification.</t>
  </si>
  <si>
    <t>[Karanatsiou, Dimitra; Sermpezis, Pavlos; Kafetsios, Konstantinos; Dimitriadis, Ilias; Vakali, Athena] Aristotle Univ Thessaloniki, Thessaloniki, Greece; [Gruda, Dritjon] Natl Univ Ireland Maynooth, Maynooth, Kildare, Ireland</t>
  </si>
  <si>
    <t>Aristotle University of Thessaloniki; Maynooth University</t>
  </si>
  <si>
    <t>Gruda, D (corresponding author), Natl Univ Ireland Maynooth, Maynooth, Kildare, Ireland.</t>
  </si>
  <si>
    <t>dimitrakd@csd.auth.gr; sermpezis@csd.auth.gr; jon.Gruda@mu.ie; kkafetsios@film.auth.gr; idimitriad@csd.auth.gr; avakali@csd.auth.gr</t>
  </si>
  <si>
    <t>Gruda, Dritjon/AAV-5887-2021; Vakali, Athina/D-8432-2016; KAFETSIOS, KONSTANTINOS/F-1559-2011</t>
  </si>
  <si>
    <t>Gruda, Dritjon/0000-0002-8315-0826; Karanatsiou, Dimitra/0000-0001-8622-1338; Vakali, Athina/0000-0002-0666-6984; Dimitriadis, Ilias/0000-0003-1336-6960; KAFETSIOS, KONSTANTINOS/0000-0001-5933-4409</t>
  </si>
  <si>
    <t>European Union; Greek national funds through the Operational Program Competitiveness, Entrepreneurship, and Innovation, under the call RESEARCH -CREATE -INNOVATE [T1EDK-03052]; H2020 Research and Innovation Programme [875329]; School of Business, Maynooth University, Ireland</t>
  </si>
  <si>
    <t>European Union(European Union (EU)); Greek national funds through the Operational Program Competitiveness, Entrepreneurship, and Innovation, under the call RESEARCH -CREATE -INNOVATE; H2020 Research and Innovation Programme; School of Business, Maynooth University, Ireland</t>
  </si>
  <si>
    <t>This research has been co-financed by the European Union and Greek national funds through the Operational Program Competitiveness, Entrepreneurship, and Innovation, under the call RESEARCH -CREATE -INNOVATE (Project Code: T1EDK-03052), as well as from the H2020 Research and Innovation Programme under Grant Agreement No. 875329 and a departmental seed funding grant by the School of Business, Maynooth University, Ireland.</t>
  </si>
  <si>
    <t>10.1145/3523749</t>
  </si>
  <si>
    <t>1L5EE</t>
  </si>
  <si>
    <t>WOS:000799310500005</t>
  </si>
  <si>
    <t>Faralli, S; Stilo, G; Velardi, P</t>
  </si>
  <si>
    <t>Faralli, Stefano; Stilo, Giovanni; Velardi, Paola</t>
  </si>
  <si>
    <t>Recommendation of microblog users based on hierarchical interest profiles</t>
  </si>
  <si>
    <t>Social network analysis; Semantic recommender; Itemset Mining; Semantic categorization; Semantic web</t>
  </si>
  <si>
    <t>Quite a number of recent works have concentrated on the task of recommending to Twitter users whom they should follow, among which, the WTF (Who To Follow) service provided by Twitter. Recommenders are based, either on the user's network structure, or on some notion of topical similarity with other users, or on both. In this paper, we propose to accomplish the recommendation task in two steps: First, we profile users and classify them as belonging to a target community (depending e.g., on their political affiliation, preferred football team, favorite coffee shop, etc.). Then, we fine-tune recommendations for selected populations. We cast both problems of user classification and recommendation as one of itemset mining, where items are either users' authoritative friends or semantic categories associated to friends, extracted from WiBi, the Wikipedia Bitaxonomy. In addition to evaluating our profiler and recommender on several populations, we also show that semantic categories allow for very fine-grained population studies, and make it possible to recommend not only whom to follow, but also topics of interest, users interested in the same topic, and more.</t>
  </si>
  <si>
    <t>[Faralli, Stefano; Stilo, Giovanni; Velardi, Paola] La Sapienza, Dip Informat, Via Salaria 113, Rome, Italy</t>
  </si>
  <si>
    <t>Sapienza University Rome</t>
  </si>
  <si>
    <t>Faralli, S (corresponding author), La Sapienza, Dip Informat, Via Salaria 113, Rome, Italy.</t>
  </si>
  <si>
    <t>faralli@di.uniroma1.it; stilo@di.uniroma1.it; velardi@di.uniroma1.it</t>
  </si>
  <si>
    <t>Faralli, Stefano/M-6407-2019; stilo, giovanni/AAE-5484-2020</t>
  </si>
  <si>
    <t>Faralli, Stefano/0000-0003-3684-8815; stilo, giovanni/0000-0002-2092-0213; Velardi, Paola/0000-0003-0884-1499</t>
  </si>
  <si>
    <t>10.1007/s13278-015-0264-2</t>
  </si>
  <si>
    <t>CJ8IJ</t>
  </si>
  <si>
    <t>WOS:000355743100025</t>
  </si>
  <si>
    <t>Zuo, JK; Yao, ZH; Xu, RJ; Gao, X; Zhang, YY</t>
  </si>
  <si>
    <t>Zuo, Jiankai; Yao, Zihao; Xu, Ruijie; Gao, Xiang; Zhang, Yaying</t>
  </si>
  <si>
    <t>From User State to Destination: Schrodinger Bridge-Guided Diffusion Model for Personalized Next POI Recommendation</t>
  </si>
  <si>
    <t>Diffusion model; location-based social networks (LBSNs); optimal transport; point-of-interest (POI) recommendation; Schrodinger bridge</t>
  </si>
  <si>
    <t>Next point-of-interest (POI) recommendation plays a vital role in location-based services by predicting users' future mobility behaviors based on their historical trajectories. However, existing diffusion-based recommendation models typically rely on a fixed Gaussian prior, which fails to preserve user-specific spatiotemporal information and leads to uncontrolled generation paths. To address these limitations, we propose ScBDiff, a Schrodinger bridge-guided diffusion model that constructs an optimal stochastic path between a user's historical preference distribution and their potential future POI distribution. Specifically, ScBDiff integrates: 1) a temporal evolution graph learning (TEGL) module to capture dynamic mobility transitions; 2) a transformer-based user interest generator to derive personalized latent preferences; and 3) a Schrodinger bridge-enhanced diffusion to achieve controllable and user-aware recommendation generation. ScBDiff explicitly aligns user historical states and the future destination, mitigating information loss and improving interpretability. To our knowledge, this is the first work to explore the Schrodinger bridge for the next POI recommendation. Experiments on four real-world datasets show that ScBDiff outperforms state-of-the-art baselines, achieving an average improvement of 3.2% in recall. Furthermore, our analysis confirms that the Schrodinger bridge effectively mitigates the information loss problem of Gaussian priors, enabling high-quality trajectory generation and a low inference latency.</t>
  </si>
  <si>
    <t>[Zuo, Jiankai; Yao, Zihao; Xu, Ruijie; Zhang, Yaying] Tongji Univ, Key Lab Embedded Syst &amp; Serv Comp, Minist Educ, Shanghai 201804, Peoples R China; [Gao, Xiang] Zhejiang Lab, High Performance Comp Facil Res Ctr, Hangzhou 311121, Peoples R China</t>
  </si>
  <si>
    <t>Tongji University; Zhejiang Laboratory</t>
  </si>
  <si>
    <t>Zhang, YY (corresponding author), Tongji Univ, Key Lab Embedded Syst &amp; Serv Comp, Minist Educ, Shanghai 201804, Peoples R China.</t>
  </si>
  <si>
    <t>tj_zjk@tongji.edu.cn; yaozihao@tongji.edu.cn; 2434167@tongji.edu.cn; gaoxiang@zhejianglab.org; yaying.zhang@tongji.edu.cn</t>
  </si>
  <si>
    <t>; Zuo, Jiankai/ABF-7287-2021; Yao, Zihao/QIU-6590-2026</t>
  </si>
  <si>
    <t>Xu, Ruijie/0009-0006-3559-121X;</t>
  </si>
  <si>
    <t>National Key Research and Development Program of China [2022YFB4501700]; National Natural Science Foundation of China [72342026]; Fundamental Research Funds for the Central Universities [2024-6-ZD-02]</t>
  </si>
  <si>
    <t>National Key Research and Development Program of China(National Key Research &amp; Development Program of China); National Natural Science Foundation of China(National Natural Science Foundation of China (NSFC)); Fundamental Research Funds for the Central Universities(Fundamental Research Funds for the Central Universities)</t>
  </si>
  <si>
    <t>This work was supported in part by the National Key Research and Development Program of China under Grant 2022YFB4501700, in part by the National Natural Science Foundation of China under Grant 72342026,and in part by the Fundamental Research Funds for the Central Universities under Grant 2024-6-ZD-02.</t>
  </si>
  <si>
    <t>10.1109/TCSS.2026.3675313</t>
  </si>
  <si>
    <t>APR 2026</t>
  </si>
  <si>
    <t>IX9MQ</t>
  </si>
  <si>
    <t>WOS:001737587200001</t>
  </si>
  <si>
    <t>Rashed, A; Grabocka, J; Schmidt-Thieme, L</t>
  </si>
  <si>
    <t>Rocha, AP; Steels, L; VanDenHerik, J</t>
  </si>
  <si>
    <t>Rashed, Ahmed; Grabocka, Josif; Schmidt-Thieme, Lars</t>
  </si>
  <si>
    <t>Multi-Label Network Classification via Weighted Personalized Factorizations</t>
  </si>
  <si>
    <t>PROCEEDINGS OF THE 11TH INTERNATIONAL CONFERENCE ON AGENTS AND ARTIFICIAL INTELLIGENCE (ICAART), VOL 2</t>
  </si>
  <si>
    <t>11th International Conference on Agents and Artificial Intelligence (ICAART)</t>
  </si>
  <si>
    <t>FEB 19-21, 2019</t>
  </si>
  <si>
    <t>Multi-relational Learning; Network Representations; Multi-Label Classification; Recommender Systems; Document Classification</t>
  </si>
  <si>
    <t>Multi-label network classification is a well-known task that is being used in a wide variety of web-based and non-web-based domains. It can be formalized as a multi-relational learning task for predicting nodes labels based on their relations within the network. In sparse networks, this prediction task can be very challenging when only implicit feedback information is available such as in predicting user interests in social networks. Current approaches rely on learning per-node latent representations by utilizing the network structure, however, implicit feedback relations are naturally sparse and contain only positive observed feedbacks which mean that these approaches will treat all observed relations as equally important. This is not necessarily the case in real-world scenarios as implicit relations might have semantic weights which reflect the strength of those relations. If those weights can be approximated, the models can be trained to differentiate between strong and weak relations. In this paper, we propose a weighted personalized two-stage multi-relational matrix factorization model with Bayesian personalized ranking loss for network classification that utilizes basic transitive node similarity function for weighting implicit feedback relations. Experiments show that the proposed model significantly outperforms the state-of-art models on three different real-world web-based datasets and a biology-based dataset.</t>
  </si>
  <si>
    <t>[Rashed, Ahmed; Grabocka, Josif; Schmidt-Thieme, Lars] Univ Hildesheim, Informat Syst &amp; Machine Learning Lab, Hildesheim, Germany</t>
  </si>
  <si>
    <t>University of Hildesheim</t>
  </si>
  <si>
    <t>Rashed, A (corresponding author), Univ Hildesheim, Informat Syst &amp; Machine Learning Lab, Hildesheim, Germany.</t>
  </si>
  <si>
    <t>Schmidt-Thieme, Lars/0000-0001-5729-6023; Rashed, Ahmed Elsayed/0000-0002-6465-1406</t>
  </si>
  <si>
    <t>Bundesministerium fr Bildung und Forschung (BMBF) [01IS17053]</t>
  </si>
  <si>
    <t>Bundesministerium fr Bildung und Forschung (BMBF)(Federal Ministry of Education &amp; Research (BMBF))</t>
  </si>
  <si>
    <t>The authors gratefully acknowledge the funding of their work through the UberDax project (https://www.ismll.uni-hildesheim.de/projekte/UberDax.html) which is sponsored by the Bundesministerium fr Bildung und Forschung (BMBF) under the grant agreement no. 01IS17053.</t>
  </si>
  <si>
    <t>978-989-758-350-6</t>
  </si>
  <si>
    <t>10.5220/0007681203570366</t>
  </si>
  <si>
    <t>BR8FT</t>
  </si>
  <si>
    <t>WOS:000671841000033</t>
  </si>
  <si>
    <t>Inferring social network user profiles using a partial social graph</t>
  </si>
  <si>
    <t>ATTRIBUTES</t>
  </si>
  <si>
    <t>User profile inference on online social networks is a key task for targeted advertising and building recommender systems that rely on social network data. However, current algorithms for user profiling suffer from one or more of the following limitations: (1) assuming that the full social graph or a large training set of crawled data is available for training, (2) not exploiting the rich information that is available in social networks such as group memberships and likes, (3) treating numeric attributes as nominal attributes, and (4) not assessing the certainty of their predictions. In this paper, to address these limitations, we propose an algorithm named Partial Graph Profile Inference+ (PGPI+). The PGPI+ algorithm can accurately infer user profiles under the constraint of a partial social graph. PGPI+ does not require training, and it lets the user select the trade-off between the amount of information to be crawled for inferring a user profile and the accuracy the inference. Besides, PGPI+ is designed to use rich information about users when available: user profiles, friendship links, group memberships, and the views and likes from social networks such as Facebook. Moreover, to also address limitations 3 and 4, PGPI+ considers numeric attributes in addition to nominal attributes, and can evaluate the certainty of its predictions. An experimental evaluation with 31,247 user profiles from the Facebook and Pokec social networks shows that PGPI+ predicts user profiles with a higher accuracy than several start-of-the-art algorithms, and by accessing (crawling) less information from the social graph. Furthermore, an interesting result is that some profile attributes such as the status (student/professor) and genre can be predicted with more than 95 % accuracy using PGPI+.</t>
  </si>
  <si>
    <t>[Dougnon, Raissa Yapan] Univ Moncton, Dept Comp Sci, Moncton, NB, Canada; [Fournier-Viger, Philippe] Harbin Inst Technol, Shenzhen Grad Sch, Sch Nat Sci &amp; Humanities, Shenzhen, Peoples R China; [Nkambou, Roger] Univ Quebec, Dept Comp Sci, Montreal, PQ, Canada; [Lin, Jerry Chun-Wei] Harbin Inst Technol, Shenzhen Grad Sch, Sch Comp Sci &amp; Technol, Shenzhen, Peoples R China</t>
  </si>
  <si>
    <t>University of Moncton; Harbin Institute of Technology; University of Quebec; University of Quebec Montreal; Harbin Institute of Technology</t>
  </si>
  <si>
    <t>Fournier-Viger, P (corresponding author), Harbin Inst Technol, Shenzhen Grad Sch, Sch Nat Sci &amp; Humanities, Shenzhen, Peoples R China.</t>
  </si>
  <si>
    <t>eyd2562@umoncton.ca; philfv@hitsz.edu.cn; jerrylin@ieee.org; nkambou.roger@uqam.ca</t>
  </si>
  <si>
    <t>Fournier-Viger, Philippe/C-1514-2011; Fournier-Viger, Philippe/W-1275-2019</t>
  </si>
  <si>
    <t>National Science and Engineering Research Council (NSERC) of Canada</t>
  </si>
  <si>
    <t>National Science and Engineering Research Council (NSERC) of Canada(Natural Sciences and Engineering Research Council of Canada (NSERC))</t>
  </si>
  <si>
    <t>This work is financed by a National Science and Engineering Research Council (NSERC) of Canada research grant.</t>
  </si>
  <si>
    <t>10.1007/s10844-016-0402-y</t>
  </si>
  <si>
    <t>WOS:000383574500008</t>
  </si>
  <si>
    <t>Viejo, A; Sánchez, D</t>
  </si>
  <si>
    <t>Viejo, Alexandre; Sanchez, David</t>
  </si>
  <si>
    <t>Profiling Social Networks to Provide Useful and Privacy-Preserving Web Search</t>
  </si>
  <si>
    <t>JOURNAL OF THE ASSOCIATION FOR INFORMATION SCIENCE AND TECHNOLOGY</t>
  </si>
  <si>
    <t>ENGINES; QUERIES; MODEL</t>
  </si>
  <si>
    <t>Web search engines (WSEs) use search queries to profile users and to provide personalized services like query disambiguation or refinement. These services are valuable because users get an enhanced search experience. However, the compiled user profiles may contain sensitive information that might represent a privacy threat. This issue should be addressed in a way that it also preserves the utility of the profile with regard to search services. State-of-the-art approaches tackle these issues by generating and submitting fake queries that are related to the interests of the user. This technique allows the WSE to only know general (and useful) data while the detailed (and potentially private) data are obfuscated. To build fake queries, these proposals rely on past queries to obtain user interests. However, we argue that this is not always the best strategy and, in this article, we study the use of social networks to gather more accurate user profiles that enable better personalized service while offering a similar, or even better, level of practical privacy. These hypotheses are empirically supported by evaluations using real profiles gathered from Twitter and a set of AOL search queries.</t>
  </si>
  <si>
    <t>[Viejo, Alexandre; Sanchez, David] Univ Rovira &amp; Virgili, UNESCO Chair Data Privacy, Dept Engn Informat &amp; Matemat, E-43007 Tarragona, Spain</t>
  </si>
  <si>
    <t>Universitat Rovira i Virgili</t>
  </si>
  <si>
    <t>Viejo, A (corresponding author), Univ Rovira &amp; Virgili, UNESCO Chair Data Privacy, Dept Engn Informat &amp; Matemat, Av Paisos Catalans 26, E-43007 Tarragona, Spain.</t>
  </si>
  <si>
    <t>alexandre.viejo@urv.cat; david.sanchez@urv.cat</t>
  </si>
  <si>
    <t>Sanchez, David/B-5275-2012; Viejo, Alexandre/B-4469-2016</t>
  </si>
  <si>
    <t>Sanchez, David/0000-0001-7275-7887; Viejo, Alexandre/0000-0003-2342-5100</t>
  </si>
  <si>
    <t>European Commission under FP7 project Inter-Trust; Spanish Ministry of Science and Innovation [eAEGIS TSI2007-65406-C03-01, CO-PRIVACY TIN2011-27076-C03-01, ARES-CONSOLIDER INGENIO 2010 CSD2007-00004, Audit Transparency Voting Process IPT-430000-2010-31, ICWT TIN2012-32757, BallotNext IPT-2012-0603-430000]; Government of Catalonia [2009 SGR 1135]</t>
  </si>
  <si>
    <t>European Commission under FP7 project Inter-Trust; Spanish Ministry of Science and Innovation(Spanish Government); Government of Catalonia(Generalitat de Catalunya)</t>
  </si>
  <si>
    <t>We, the authors, are solely responsible for the views expressed in this article, which do not necessarily reflect the position of UNESCO nor commit that organization in any way. This work was partly supported by the European Commission under FP7 project Inter-Trust, by the Spanish Ministry of Science and Innovation (through projects eAEGIS TSI2007-65406-C03-01, CO-PRIVACY TIN2011-27076-C03-01, ARES-CONSOLIDER INGENIO 2010 CSD2007-00004, Audit Transparency Voting Process IPT-430000-2010-31, ICWT TIN2012-32757 and BallotNext IPT-2012-0603-430000) and by the Government of Catalonia (under grant 2009 SGR 1135).</t>
  </si>
  <si>
    <t>WILEY-BLACKWELL</t>
  </si>
  <si>
    <t>2330-1635</t>
  </si>
  <si>
    <t>2330-1643</t>
  </si>
  <si>
    <t>J ASSOC INF SCI TECH</t>
  </si>
  <si>
    <t>10.1002/asi.23144</t>
  </si>
  <si>
    <t>AU2IO</t>
  </si>
  <si>
    <t>WOS:000345441600005</t>
  </si>
  <si>
    <t>Wang, W; Quan, ZZ; Zhao, SW; Sun, GQ; Li, YJ; Ben, XY; Zhao, JL</t>
  </si>
  <si>
    <t>Wang, Wei; Quan, Zhenzhen; Zhao, Siwen; Sun, Guoqiang; Li, Yujun; Ben, Xianye; Zhao, Jianli</t>
  </si>
  <si>
    <t>User-Context Collaboration and Tensor Factorization for GNN-Based Social Recommendation</t>
  </si>
  <si>
    <t>Context modeling; Tensors; Collaboration; Graph neural networks; Data models; Social networking (online); Feature extraction; Recommender systems; Social recommendation; context-aware; graph neural network; tensor factorization</t>
  </si>
  <si>
    <t>MATRIX FACTORIZATION; NETWORK</t>
  </si>
  <si>
    <t>One goal of social recommendation is to utilize social information to alleviate data sparsity and improve recommendation accuracy. User social relationships are inherently graph-structured, graph neural network (GNN) has recently attracted extensive attention in social recommendation because of its capability to integrate structural information and topology. However, current graph neural network (GNN)-based social recommendation models fail to consider context information during user interactions, which hinders more accurate modeling of user interest features. To address this problem, we propose a new social recommendation model based on context-aware graph neural network named CENTRIC (User-ContExt CollaboratioN and TensoR Factorization for GNN-based SocIal ReCommendation). Specifically, first a multi-channel GNN model with user-context collaboration module is designed, so that context can directly affect user features and participate in the calculation of user interaction probability with items. Then tensor factorization is adopted in output layer to effectively fuse the features extracted from different channels. Experiments on three public datasets show that CENTRIC significantly outperforms other state-of-the-art social recommendation models, further experiments also demonstrate that context information and tensor factorization help improve the accuracy of GNN-based social recommendation.</t>
  </si>
  <si>
    <t>[Wang, Wei; Quan, Zhenzhen; Zhao, Siwen; Sun, Guoqiang; Li, Yujun; Ben, Xianye] Shandong Univ, Sch Informat Sci &amp; Engn, Qingdao 266237, Peoples R China; [Zhao, Jianli] Shandong Univ Sci &amp; Technol, Sch Comp Sci &amp; Engn, Qingdao 266590, Peoples R China</t>
  </si>
  <si>
    <t>Shandong University; Shandong University of Science &amp; Technology</t>
  </si>
  <si>
    <t>Li, YJ; Ben, XY (corresponding author), Shandong Univ, Sch Informat Sci &amp; Engn, Qingdao 266237, Peoples R China.;Zhao, JL (corresponding author), Shandong Univ Sci &amp; Technol, Sch Comp Sci &amp; Engn, Qingdao 266590, Peoples R China.</t>
  </si>
  <si>
    <t>202120421@mail.sdu.edu.cn; quanzhenzhen@mail.sdu.edu.cn; 202012766@mail.sdu.edu.cn; 202020377@mail.sdu.edu.cn; liyujun@sdu.edu.cn; benxianye@126.com; jlzhao@sdust.edu.cn</t>
  </si>
  <si>
    <t>; Zhao, Jianli/GQP-8530-2022</t>
  </si>
  <si>
    <t>Li, Yujun/0000-0003-4455-5991; Wang, Wei/0000-0002-7080-3381; Zhao, Siwen/0000-0001-8623-2627; Ben, Xianye/0000-0002-2538-881X; Zhao, Jianli/0000-0002-7291-9003</t>
  </si>
  <si>
    <t>National Key R&amp;D Program of China [2020YFC0833200]; Natural Science Foundation of China [61971468, 62271289]; Natural Science Fund for Outstanding Young Scholars of Shandong Province [ZR2022YQ60]; Major Project of Independent Innovation in Qingdao [21-1-2-18-xx]; Natural Science Foundation of Shandong Province [ZR2021MF104]; National Key R&amp;D Program of China [2020YFC0833200]; Natural Science Foundation of China [61971468, 62271289]; Natural Science Fund for Outstanding Young Scholars of Shandong Province [ZR2022YQ60]; Major Project of Independent Innovation in Qingdao [21-1-2-18-xx]; Natural Science Foundation of Shandong Province [ZR2021MF104]; National Key R&amp;D Program of China; Natural Science Foundation of China [2020YFC0833200]; Natural Science Fund for Outstanding Young Scholars of Shandong Province [61971468, 62271289]; Major Project of Independent Innovation in Qingdao [ZR2022YQ60]; Natural Science Foundation of Shandong Province [21-1-2-18-xx]</t>
  </si>
  <si>
    <t>National Key R&amp;D Program of China(National Key Research &amp; Development Program of China); Natural Science Foundation of China(National Natural Science Foundation of China (NSFC)); Natural Science Fund for Outstanding Young Scholars of Shandong Province; Major Project of Independent Innovation in Qingdao; Natural Science Foundation of Shandong Province(Natural Science Foundation of Shandong Province); National Key R&amp;D Program of China(National Key Research &amp; Development Program of China); Natural Science Foundation of China(National Natural Science Foundation of China (NSFC)); Natural Science Fund for Outstanding Young Scholars of Shandong Province; Major Project of Independent Innovation in Qingdao; Natural Science Foundation of Shandong Province(Natural Science Foundation of Shandong Province); National Key R&amp;D Program of China(National Key Research &amp; Development Program of China); Natural Science Foundation of China(National Natural Science Foundation of China (NSFC)); Natural Science Fund for Outstanding Young Scholars of Shandong Province; Major Project of Independent Innovation in Qingdao; Natural Science Foundation of Shandong Province(Natural Science Foundation of Shandong Province)</t>
  </si>
  <si>
    <t>This work was supported in part by the National Key R&amp;D Program of China under Grant 2020YFC0833200, in part by the Natural Science Foundation of China under Grants 61971468 and 62271289, in part by the Natural Science Fund for Outstanding Young Scholars of Shandong Province under Grant ZR2022YQ60, in part by the Major Project of Independent Innovation in Qingdao under Grant 21-1-2-18-xx and in part by the Natural Science Foundation of Shandong Province under Grant ZR2021MF104.</t>
  </si>
  <si>
    <t>10.1109/TNSE.2023.3258427</t>
  </si>
  <si>
    <t>W1LB2</t>
  </si>
  <si>
    <t>WOS:001089300800018</t>
  </si>
  <si>
    <t>Hasan, S; Ukkusuri, SV</t>
  </si>
  <si>
    <t>Hasan, Samiul; Ukkusuri, Satish V.</t>
  </si>
  <si>
    <t>Location Contexts of User Check-Ins to Model Urban Geo Life-Style Patterns</t>
  </si>
  <si>
    <t>PLOS ONE</t>
  </si>
  <si>
    <t>Geo-location data from social media offers us information, in new ways, to understand people's attitudes and interests through their activity choices. In this paper, we explore the idea of inferring individual life-style patterns from activity-location choices revealed in social media. We present a model to understand life-style patterns using the contextual information (e.g. location categories) of user check-ins. Probabilistic topic models are developed to infer individual geo life-style patterns from two perspectives: i) to characterize the patterns of user interests to different types of places and ii) to characterize the patterns of user visits to different neighborhoods. The method is applied to a dataset of Foursquare check-ins of the users from New York City. The co-existence of several location contexts and the corresponding probabilities in a given pattern provide useful information about user interests and choices. It is found that geo life-style patterns have similar items-either nearby neighborhoods or similar location categories. The semantic and geographic proximity of the items in a pattern reflects the hidden regularity in user preferences and location choice behavior.</t>
  </si>
  <si>
    <t>[Hasan, Samiul] CSIRO, Land &amp; Water Flagship, Melbourne, Vic, Australia; [Ukkusuri, Satish V.] Purdue Univ, Sch Civil Engn, W Lafayette, IN 47907 USA</t>
  </si>
  <si>
    <t>Commonwealth Scientific &amp; Industrial Research Organisation (CSIRO); CSIRO Land &amp; Water; Purdue University System; Purdue University</t>
  </si>
  <si>
    <t>Hasan, S (corresponding author), CSIRO, Land &amp; Water Flagship, Melbourne, Vic, Australia.</t>
  </si>
  <si>
    <t>Samiul.Hasan@csiro.au</t>
  </si>
  <si>
    <t>Hasan, Samiul/J-7539-2013; Ukkusuri, Satish/JXM-5723-2024</t>
  </si>
  <si>
    <t>Hasan, Samiul/0000-0002-5828-3352; Ukkusuri, Satish/0000-0001-8754-9925</t>
  </si>
  <si>
    <t>National Science Foundation [1017933]; Direct For Computer &amp; Info Scie &amp; Enginr; Division Of Computer and Network Systems [1017933] Funding Source: National Science Foundation</t>
  </si>
  <si>
    <t>National Science Foundation(National Science Foundation (NSF)); Direct For Computer &amp; Info Scie &amp; Enginr; Division Of Computer and Network Systems(National Science Foundation (NSF)NSF - Directorate for Computer &amp; Information Science &amp; Engineering (CISE))</t>
  </si>
  <si>
    <t>This work was funded by the National Science Foundation Project No. 1017933 Dynamic Flow Equilibria in Vehicular Traffic and Data Communication Networks, for which the authors are grateful. However, the authors are solely responsible for the contents of the research work. The funders had no role in study design, data collection and analysis, decision to publish, or preparation of the manuscript.</t>
  </si>
  <si>
    <t>PUBLIC LIBRARY SCIENCE</t>
  </si>
  <si>
    <t>SAN FRANCISCO</t>
  </si>
  <si>
    <t>1160 BATTERY STREET, STE 100, SAN FRANCISCO, CA 94111 USA</t>
  </si>
  <si>
    <t>1932-6203</t>
  </si>
  <si>
    <t>PLoS One</t>
  </si>
  <si>
    <t>MAY 13</t>
  </si>
  <si>
    <t>e0124819</t>
  </si>
  <si>
    <t>10.1371/journal.pone.0124819</t>
  </si>
  <si>
    <t>CI1ZP</t>
  </si>
  <si>
    <t>WOS:000354544200052</t>
  </si>
  <si>
    <t>Shahzad, B; Lali, I; Nawaz, MS; Aslam, W; Mustafa, R; Mashkoor, A</t>
  </si>
  <si>
    <t>Shahzad, Basit; Lali, Ikramullah; Nawaz, M. Saqib; Aslam, Waqar; Mustafa, Raza; Mashkoor, Atif</t>
  </si>
  <si>
    <t>Discovery and classification of user interests on social media</t>
  </si>
  <si>
    <t>INFORMATION DISCOVERY AND DELIVERY</t>
  </si>
  <si>
    <t>World wide web; Websites; SVM; Opinion; Google trends; Twitter trends</t>
  </si>
  <si>
    <t>Purpose - Twitter users' generated data, known as tweets, are now not only used for communication and opinion sharing, but they are considered an important source of trendsetting, future prediction, recommendation systems and marketing. Using network features in tweet modeling and applying data mining and deep learning techniques on tweets is gaining more and more interest. Design/methodology/approach - In this paper, user interests are discovered from Twitter Trends using a modeling approach that uses network-based text data (tweets). First, the popular trends are collected and stored in separate documents. These data are then pre-processed, followed by their labeling in respective categories. Data are then modeled and user interest for each Trending topic is calculated by considering positive tweets in that trend, average retweet and favorite count. Findings - The proposed approach can be used to infer users' topics of interest on Twitter and to categorize them. Support vector machine can be used for training and validation purposes. Positive tweets can be further analyzed to find user posting patterns. There is a positive correlation between tweets and Google data. Practical implications - The results can be used in the development of information filtering and prediction systems, especially in personalized recommendation systems. Social implications - Twitter microblogging platform offers content posting and sharing to billions of internet users worldwide. Therefore, this work has significant socioeconomic impacts. Originality/value - This study guides on how Twitter network structure features can be exploited in discovering user interests using tweets. Further, positive correlation of Twitter Trends with Google Trends is reported, which validates the correctness of the authors' approach.</t>
  </si>
  <si>
    <t>[Shahzad, Basit] King Saud Univ, Riyadh, Saudi Arabia; [Lali, Ikramullah] Univ Gujrat, Dept Software Engn, Gujrat, Pakistan; [Nawaz, M. Saqib] Peking Univ, Sch Math Sci, Dept Informat, Beijing, Peoples R China; [Aslam, Waqar] Islamia Univ Bahawalpur, Dept Comp Sci &amp; Informat Technol, Bahawalpur, Pakistan; [Mustafa, Raza] COMSATS Inst Informat Technol, Dept Comp Sci, Sahiwal, Pakistan; [Mashkoor, Atif] Hagenberg GmbH, Hagenberg, Austria</t>
  </si>
  <si>
    <t>King Saud University; University of Gujrat; Peking University; Islamia University of Bahawalpur; COMSATS University Islamabad (CUI)</t>
  </si>
  <si>
    <t>Lali, I (corresponding author), Univ Gujrat, Dept Software Engn, Gujrat, Pakistan.</t>
  </si>
  <si>
    <t>ikramlali@gmail.com</t>
  </si>
  <si>
    <t>Mashkoor, Atif/AAK-6747-2020; Nawaz, M. Saqib/JDM-5962-2023; Shahzad, Basit/B-2301-2015; Ul Mustafa, Raza/HOH-5758-2023; Aslam, Waqar/AFM-5673-2022; Lali, Ikramullah/V-4076-2019</t>
  </si>
  <si>
    <t>Mashkoor, Atif/0000-0003-1210-5953; Nawaz, M. Saqib/0000-0001-9856-2885; Aslam, Waqar/0000-0002-8780-0240; Lali, Ikramullah/0000-0003-2208-5853</t>
  </si>
  <si>
    <t>2398-6247</t>
  </si>
  <si>
    <t>INF DISCOV DELIV</t>
  </si>
  <si>
    <t>Inf. Discov. Deliv.</t>
  </si>
  <si>
    <t>10.1108/IDD-03-2017-0023</t>
  </si>
  <si>
    <t>FL3YP</t>
  </si>
  <si>
    <t>WOS:000414163000004</t>
  </si>
  <si>
    <t>Skenderi, E; Olshannikova, E; Olsson, T; Huhtamäki, J; Koivunen, S; Yao, P; Huttunen, H</t>
  </si>
  <si>
    <t>Skenderi, Erjon; Olshannikova, Ekaterina; Olsson, Thomas; Huhtamaki, Jukka; Koivunen, Sami; Yao, Peng; Huttunen, Heikki</t>
  </si>
  <si>
    <t>Investigation of Egocentric Social Structures for Diversity-Enhancing Followee Recommendations</t>
  </si>
  <si>
    <t>ADJUNCT PUBLICATION OF THE 27TH CONFERENCE ON USER MODELING, ADAPTATION AND PERSONALIZATION (ACM UMAP '19 ADJUNCT)</t>
  </si>
  <si>
    <t>27th ACM Conference on User Modeling, Adaptation and Personalization (ACM UMAP)</t>
  </si>
  <si>
    <t>JUN 09-12, 2019</t>
  </si>
  <si>
    <t>Larnaca, CYPRUS</t>
  </si>
  <si>
    <t>Assoc Comp Machinery,Assoc Comp Machinery SIGCHI,Assoc Comp Machinery SIGWEB,UM Inc,myAustrian,Springer,Natl Sci Fdn,RISE,Squirrel AI,Univ Cyprus</t>
  </si>
  <si>
    <t>Social recommender system; People recommender system; User modeling for social matching; Hybrid recommendation system; Twitter analytics; Social network analysis</t>
  </si>
  <si>
    <t>The increasing amount of data in social media enables new advanced user modeling approaches. This paper focuses on user profiling for diversity-enhancing recommender systems for finding new followees on Twitter. By combining social network analysis with Latent Dirichlet Allocation based content analysis, we defined three egocentric structural positions on the network extracted from Twitter data: Mentions of Mentions, Community Cluster, Dormant Ties (and the rest as a baseline condition). In addition to describing the data analysis procedure, we report preliminary empirical findings on a user-centered evaluation study of recommendations based on the proposed matching strategy and the presented structural positions. The investigation of the possible overlaps of the groups and the participants' evaluations of perceived relevance of the recommendation imply that the three positions are sufficiently mutually exclusive and thus could serve as newdiversity-enhancing mechanisms in various people recommender systems.</t>
  </si>
  <si>
    <t>[Skenderi, Erjon; Olshannikova, Ekaterina; Olsson, Thomas; Huhtamaki, Jukka; Koivunen, Sami; Yao, Peng; Huttunen, Heikki] Tampere Univ, Tampere, Finland</t>
  </si>
  <si>
    <t>Tampere University</t>
  </si>
  <si>
    <t>Skenderi, E (corresponding author), Tampere Univ, Tampere, Finland.</t>
  </si>
  <si>
    <t>ferjon.skenderi@tuni.fi; ekaterina.olshannikova@tuni.fi; thomas.olsson@tuni.fi; jukka.huhtamaki@tuni.fi; sami.koivunen@tuni.fi; peng.yao@tuni.fi; heikki.huttunen@tuni.fi</t>
  </si>
  <si>
    <t>Olshannikova, Ekaterina/AAD-6783-2019; Olsson, Thomas/N-9353-2015; Huhtamäki, Jukka/J-9715-2012</t>
  </si>
  <si>
    <t>Olshannikova, Ekaterina/0000-0003-0975-9796; Olsson, Thomas/0000-0002-1106-2544; Huhtamäki, Jukka/0000-0003-2707-108X; Skenderi, Erjon/0000-0002-5728-3959; Huttunen, Heikki/0000-0002-6571-0797</t>
  </si>
  <si>
    <t>978-1-4503-6711-0</t>
  </si>
  <si>
    <t>10.1145/3314183.3323460</t>
  </si>
  <si>
    <t>BO2QU</t>
  </si>
  <si>
    <t>WOS:000507579500045</t>
  </si>
  <si>
    <t>Sinha, BB; Dhanalakshmi, R</t>
  </si>
  <si>
    <t>Sinha, Bam Bahadur; Dhanalakshmi, R.</t>
  </si>
  <si>
    <t>Evolution of recommender paradigm optimization over time</t>
  </si>
  <si>
    <t>JOURNAL OF KING SAUD UNIVERSITY COMPUTER AND INFORMATION SCIENCES</t>
  </si>
  <si>
    <t>Content filtering; Collaborative filtering; Hybrid filtering; Optimization; Similarity measures</t>
  </si>
  <si>
    <t>SOCIAL NETWORKS; SYSTEM; DIVERSITY; ALGORITHM; PROFILES</t>
  </si>
  <si>
    <t>In the past few decades recommender system has reshaped the way of information filtering between websites and the users. It helps in identifying user interest and generates product suggestions for the active users. This paper presents an enlightening analysis of various recommender system such as content-based, collaborative-based and hybrid recommendation techniques along with few optimization models that has been applied to improvise the parameters being considered by the aforementioned tech-niques. We explored 125 articles published from 1992 to 2019 in order to discuss the problems associ-ated with the existing models. Various advantages and disadvantages of each recommendation model including the input methods has been elaborated. Critical review on research problems based on the explored techniques and future directions has also been covered.(c) 2019 The Authors. Production and hosting by Elsevier B.V. on behalf of King Saud University. This is an open access article under the CC BY-NC-ND license (http://creativecommons.org/licenses/by-nc-nd/4.0/).</t>
  </si>
  <si>
    <t>[Sinha, Bam Bahadur] Natl Inst Technol Nagaland, Dimapur 797103, India; [Dhanalakshmi, R.] Natl Inst Technol Puducherry, Thiruvettakudy 609609, India</t>
  </si>
  <si>
    <t>National Institute of Technology (NIT System); National Institute of Technology Nagaland; National Institute of Technology (NIT System); National Institute of Technology Puducherry</t>
  </si>
  <si>
    <t>Sinha, BB (corresponding author), Natl Inst Technol Nagaland, Dimapur 797103, India.</t>
  </si>
  <si>
    <t>bambahadur@nitnagaland.ac.in</t>
  </si>
  <si>
    <t>R, dhanalakshmi/U-5494-2017; SINHA, BAM BAHADUR/AAE-5953-2021</t>
  </si>
  <si>
    <t>R, dhanalakshmi/0000-0003-2928-584X; SINHA, BAM BAHADUR/0000-0002-7284-9850</t>
  </si>
  <si>
    <t>1319-1578</t>
  </si>
  <si>
    <t>2213-1248</t>
  </si>
  <si>
    <t>J KING SAUD UNIV COM</t>
  </si>
  <si>
    <t>J. King Saud Univ. Comput. Inf. Sci.</t>
  </si>
  <si>
    <t>10.1016/j.jksuci.2019.06.008</t>
  </si>
  <si>
    <t>MAR 2022</t>
  </si>
  <si>
    <t>0N7BM</t>
  </si>
  <si>
    <t>WOS:000782989300002</t>
  </si>
  <si>
    <t>Huang, DX; Zhou, J; Mu, DJ; Yang, FS</t>
  </si>
  <si>
    <t>Huang, Dongxu; Zhou, Jing; Mu, Dejun; Yang, Feisheng</t>
  </si>
  <si>
    <t>Retweet Behavior Prediction in Twitter</t>
  </si>
  <si>
    <t>2014 SEVENTH INTERNATIONAL SYMPOSIUM ON COMPUTATIONAL INTELLIGENCE AND DESIGN (ISCID 2014), VOL 2</t>
  </si>
  <si>
    <t>International Symposium on Computational Intelligence and Design</t>
  </si>
  <si>
    <t>7th International Symposium on Computational Intelligence and Design (ISCID)</t>
  </si>
  <si>
    <t>DEC 13-14, 2014</t>
  </si>
  <si>
    <t>IEEE Nanjing Computat Intelligence Chapter,Univ Bristol,Zhejiang Univ,Zhejiang Sci Tech Univ,IEEE Comp Soc</t>
  </si>
  <si>
    <t>retweet; retweet bahavior prediction; twitter; Bayes model; user interests</t>
  </si>
  <si>
    <t>Retweet, as a main way to spread information in twitter, has been researched in a number of works. Recently research focuses on analyzing the factors of retweet behavior. However, the prediction on retweet behavior is a new challenge which is not well studied in the past. A basic fact is that different people are interested in different kinds of tweets, and they will retweet tweets which they are interested in. First, we collect tweets of different categories from valid account of famous news media as learning corpus. Second, in order to discover user interests, we classify user tweets into different categories by Bayes model. Finally, we measure user interests on tweets of different categories, and predict retweet behavior by interest measurement. This paper extends the previous study on retweet behavior, and we predict user retweet behavior as well as infer user interests. Experiment shows Bayes model has good performance on classifying tweets, and our algorithm achieves more precision than others.</t>
  </si>
  <si>
    <t>[Huang, Dongxu; Zhou, Jing; Mu, Dejun; Yang, Feisheng] Northwestern Polytech Univ, Sch Automat, Xian, Peoples R China</t>
  </si>
  <si>
    <t>Northwestern Polytechnical University</t>
  </si>
  <si>
    <t>Huang, DX (corresponding author), Northwestern Polytech Univ, Sch Automat, Xian, Peoples R China.</t>
  </si>
  <si>
    <t>huangdongxu21@mail.nwpu.edu.cn; zhoujingnwpu@gmail.com; mudejun@nwpu.edu.cn; yangfeisheng@nwpu.edu.cn</t>
  </si>
  <si>
    <t>Yang, Feisheng/AAI-4353-2020</t>
  </si>
  <si>
    <t>Mu, Dejun/0000-0002-9047-5055</t>
  </si>
  <si>
    <t>2165-1701</t>
  </si>
  <si>
    <t>978-1-4799-7005-6</t>
  </si>
  <si>
    <t>INT SYM COMPUT INTEL</t>
  </si>
  <si>
    <t>10.1109/ISCID.2014.187</t>
  </si>
  <si>
    <t>BF3FA</t>
  </si>
  <si>
    <t>WOS:000380534100146</t>
  </si>
  <si>
    <t>Aletras, N; Chamberlain, BP</t>
  </si>
  <si>
    <t>Aletras, Nikolaos; Chamberlain, Benjamin Paul</t>
  </si>
  <si>
    <t>Predicting Twitter User Socioeconomic Attributes with Network and Language Information</t>
  </si>
  <si>
    <t>HT'18: PROCEEDINGS OF THE 29TH ACM CONFERENCE ON HYPERTEXT AND SOCIAL MEDIA</t>
  </si>
  <si>
    <t>29th ACM International Conference on Hypertext and Social Media (HT)</t>
  </si>
  <si>
    <t>JUL 09-12, 2018</t>
  </si>
  <si>
    <t>Towson Univ, Baltimore, MD</t>
  </si>
  <si>
    <t>Towson Univ</t>
  </si>
  <si>
    <t>social media; graph embeddings; user profiling</t>
  </si>
  <si>
    <t>TRAITS</t>
  </si>
  <si>
    <t>Inferring socioeconomic attributes of social media users such as occupation and income is an important problem in computational social science. Automated inference of such characteristics has applications in personalised recommender systems, targeted computational advertising and online political campaigning. While previous work has shown that language features can reliably predict socioeconomic attributes on Twitter, employing information coming from users' social networks has not yet been explored for such complex user characteristics. In this paper, we describe a method for predicting the occupational class and the income of Twitter users given information extracted from their extended networks by learning a low-dimensional vector representation of users, i.e. graph embeddings. We use this representation to train predictive models for occupational class and income. Results on two publicly available datasets show that our method consistently outperforms the state-of-the-art methods in both tasks. We also obtain further significant improvements when we combine graph embeddings with textual features, demonstrating that social network and language information are complementary.</t>
  </si>
  <si>
    <t>[Aletras, Nikolaos] Univ Sheffield, Sheffield, S Yorkshire, England; [Chamberlain, Benjamin Paul] Imperial Coll London, Asos Com, London, England</t>
  </si>
  <si>
    <t>University of Sheffield; Imperial College London</t>
  </si>
  <si>
    <t>Aletras, N (corresponding author), Univ Sheffield, Sheffield, S Yorkshire, England.</t>
  </si>
  <si>
    <t>n.aletras@sheffield.ac.uk; benjamin.chamberlain@gmail.com</t>
  </si>
  <si>
    <t>978-1-4503-5427-1</t>
  </si>
  <si>
    <t>10.1145/3209542.3209577</t>
  </si>
  <si>
    <t>BR0HF</t>
  </si>
  <si>
    <t>WOS:000629030500004</t>
  </si>
  <si>
    <t>Grant, MM</t>
  </si>
  <si>
    <t>Grant, Michael M.</t>
  </si>
  <si>
    <t>Learning, Beliefs, and Products: Students' Perspectives with Project-based Learning</t>
  </si>
  <si>
    <t>INTERDISCIPLINARY JOURNAL OF PROBLEM-BASED LEARNING</t>
  </si>
  <si>
    <t>IMPLEMENTATION; DEFINITIONS; MOTIVATION</t>
  </si>
  <si>
    <t>Project-based learning offers promise as an instructional method that affords authentic learning tasks grounded in the personal interests of learners. While previous research has presented results of learning gains, motivations, and teacher experiences, limited empirical research has presented student perspectives in project-based learning. This research sought to explore how learners created projects. A qualitative case study design was employed with five purposively selected participants from eighth grade geography at a private day school. From interviews, observations, and document collection, five themes emerged from what influenced participants' projects and what the participants learned: (1) internal influences, (2) external influences, (3) beliefs about projects, (4) tools for technology-rich environments, and (5) learning outcomes and products. The first four themes describe influences to shape the fifth theme, learning products. The term learning products was used to describe both the learning acquired by the participants and the learning artifacts the participants produced as part of the instructional unit. Implications for practice and future research are considered.</t>
  </si>
  <si>
    <t>[Grant, Michael M.] Univ Memphis, Instruct Design &amp; Technol Program, Memphis, TN 38152 USA</t>
  </si>
  <si>
    <t>Grant, MM (corresponding author), Univ Memphis, Instruct Design &amp; Technol Program, Memphis, TN 38152 USA.</t>
  </si>
  <si>
    <t>mgrant2@memphis.edu</t>
  </si>
  <si>
    <t>Grant, Michael/AAC-9540-2021</t>
  </si>
  <si>
    <t>INDIANA UNIV PRESS</t>
  </si>
  <si>
    <t>BLOOMINGTON</t>
  </si>
  <si>
    <t>601 N MORTON STREET, BLOOMINGTON, IN 47404-3797 USA</t>
  </si>
  <si>
    <t>1541-5015</t>
  </si>
  <si>
    <t>INTERDIS J PROBL-BAS</t>
  </si>
  <si>
    <t>Interdiscip. J. Probl.-Based Learn.</t>
  </si>
  <si>
    <t>10.7771/1541-5015.1254</t>
  </si>
  <si>
    <t>VA7YW</t>
  </si>
  <si>
    <t>WOS:000410394000004</t>
  </si>
  <si>
    <t>Wang, MJ</t>
  </si>
  <si>
    <t>Wang, Minjing</t>
  </si>
  <si>
    <t>Personalized recommendation service of social media based on collaborative filtering and gene map</t>
  </si>
  <si>
    <t>INTELLIGENT DECISION TECHNOLOGIES-NETHERLANDS</t>
  </si>
  <si>
    <t>Social media; personalized recommendation; gene map; collaborative filtering</t>
  </si>
  <si>
    <t>With the popularity of social media, personalized recommendation services have become increasingly important. However, traditional collaborative filtering recommendation algorithms face many challenges when dealing with social media data. To improve the accuracy and efficiency of recommendation, this paper presents a collaborative filtering recommendation service in view of social media gene map. This study creates a social media genetic map by analyzing social media data and extracting user interests and behavioral characteristics. On this basis, a collaborative filtering recommendation model is constructed that takes into account the social network, content and historical behavior of users. In the performance testing of recommendation models, the research methods were compared with collaborative filtering algorithms based on alternating least squares, collaborative filtering algorithms based on generative game neural networks, and singular value decomposition algorithms. In model training, the model constructed in this study was superior to the other three types of algorithms in convergence speed and maximum accuracy. In the recommendation testing of three resources, the constructed recommendation model showed the best performance. Through experimental verification, the method has shown excellent outcomes in terms of recommendation accuracy and timeliness, providing an effective solution for social media recommendation services.</t>
  </si>
  <si>
    <t>[Wang, Minjing] Xian FanYi Univ, Dept Literature &amp; Media, Xian 710000, Peoples R China</t>
  </si>
  <si>
    <t>Xian Fanyi University</t>
  </si>
  <si>
    <t>Wang, MJ (corresponding author), Xian FanYi Univ, Dept Literature &amp; Media, Xian 710000, Peoples R China.</t>
  </si>
  <si>
    <t>wangminjing2021@163.com</t>
  </si>
  <si>
    <t>1872-4981</t>
  </si>
  <si>
    <t>1875-8843</t>
  </si>
  <si>
    <t>INTELL DECIS TECHNOL</t>
  </si>
  <si>
    <t>Intell. Decis. Technol.-Neth.</t>
  </si>
  <si>
    <t>10.1177/18724981251346889</t>
  </si>
  <si>
    <t>JUN 2025</t>
  </si>
  <si>
    <t>8EZ7E</t>
  </si>
  <si>
    <t>WOS:001507193100001</t>
  </si>
  <si>
    <t>Liu, J; Zhong, Y</t>
  </si>
  <si>
    <t>Liu, Jing; Zhong, Yong</t>
  </si>
  <si>
    <t>Time-Weighted Community Search Based on Interest</t>
  </si>
  <si>
    <t>community search; attributed network; short-term interests; time-weighted score function</t>
  </si>
  <si>
    <t>GROUP QUERIES</t>
  </si>
  <si>
    <t>Community search aims to provide users with personalized community query services. It is a prerequisite for various recommendation systems and has received widespread attention from academia and industry. The existing literature has established various community search models and algorithms from different dimensions of social networks. Unfortunately, they only judge the representative attributes of users according to the frequency of attribute keywords, completely ignoring the temporal characteristics of keywords. It is clear that a user's interest changes over time, so it is essential to select users' representative attributes in combination with time. Therefore, we propose a time-weighted community search model (TWC) based on user interests which fully considers the impact of time on user interests. TWC reduces the number of query parameters as much as possible and improves the usability of the model. We design the time-weighted decay function of the attribute. We then extract the user's time-weighted representative attributes to express the user's short-term interests more clearly in the query window. In addition, we propose a new attribute similarity scoring function and a community scoring function. To solve the TWC problem, we design and implement the Local Extend algorithm and the Shrink algorithm. Finally, we conduct extensive experiments on a real dataset to verify the superiority of the TWC model and the efficiency of the proposed algorithm.</t>
  </si>
  <si>
    <t>[Liu, Jing; Zhong, Yong] Chinese Acad Sci, Chengdu Inst Comp Applicat, Chengdu 610041, Peoples R China; [Liu, Jing; Zhong, Yong] Univ Chinese Acad Sci, Sch Comp Sci &amp; Technol, Beijing 100049, Peoples R China</t>
  </si>
  <si>
    <t>Chengdu Institute of Computer Application, CAS; Chinese Academy of Sciences; Chinese Academy of Sciences; University of Chinese Academy of Sciences, CAS</t>
  </si>
  <si>
    <t>Zhong, Y (corresponding author), Chinese Acad Sci, Chengdu Inst Comp Applicat, Chengdu 610041, Peoples R China.;Zhong, Y (corresponding author), Univ Chinese Acad Sci, Sch Comp Sci &amp; Technol, Beijing 100049, Peoples R China.</t>
  </si>
  <si>
    <t>liujing186@mails.ucas.ac.cn; zhongyong@casit.com.cn</t>
  </si>
  <si>
    <t>AI industrial technology innovation platform of Sichuan Province [2020ZHCG0002]</t>
  </si>
  <si>
    <t>AI industrial technology innovation platform of Sichuan Province</t>
  </si>
  <si>
    <t>This work was supported by the AI industrial technology innovation platform of Sichuan Province, grant number 2020ZHCG0002.</t>
  </si>
  <si>
    <t>10.3390/app12147077</t>
  </si>
  <si>
    <t>3G9AF</t>
  </si>
  <si>
    <t>WOS:000831637900001</t>
  </si>
  <si>
    <t>Jiang, SM</t>
  </si>
  <si>
    <t>Jiang, Shiming</t>
  </si>
  <si>
    <t>Advertising location promotion based on MFICM communication model integrating user interest</t>
  </si>
  <si>
    <t>KUWAIT JOURNAL OF SCIENCE</t>
  </si>
  <si>
    <t>Directed unauthorized graphs; Multi-feature independent cascade model; Candidate seed selection algorithm; Sign-in similarity; Influence of disseminators; Particle swarm optimization (PSO)</t>
  </si>
  <si>
    <t>OF-INTEREST RECOMMENDATION</t>
  </si>
  <si>
    <t>To calculate the propagation probability of seed users and provide accurate advertising placement locations for merchants, research on location promotion algorithms has attracted widespread attention. Location-based social networks (LBSN) have the ability to quickly extract users' information. Although they can accurately screen seed users, they do not take into account the personal factors of users, resulting in low prediction accuracy of propagation probability. This study is based on candidate seed selection (CSS) algorithms for check-in prediction using the help dataset, introducing user check-in similarity and spreader influence to optimize CSS algorithms and generate fusion algorithms. Research is conducted to establish a merchant-feature-integrated cascade model (MFICM) that combines attributes such as user check-in information and merchant prosperity to improve the prediction accuracy of user propagation. The dataset with check-in similarity is incorporated to avoid selecting isolated users as active seeds and the influence of disseminators is considered to address the impact of user personal behaviour on the results, focusing on active seeds, which are users who are successfully spreading information or behaviours to others within their social network. Finally, the algorithm studied is applied to the help dataset and the performance of the particle swarm optimization algorithm (PSO) is tested and compared with the research. A total of 500 experiments were conducted in the study. Among the 392 accurate prediction experiments of the fusion algorithm, personal factors accounted for 81.9% and merchant factors accounted for 18.1%. The experimental results indicated that the behavioural attributes of seed users had a direct impact on their check-in behaviour and the promotion position of advertisements should be based on the seed users.</t>
  </si>
  <si>
    <t>[Jiang, Shiming] Henan Vocat Inst Arts, Sch Art &amp; Design, Zhengzhou 451464, Peoples R China</t>
  </si>
  <si>
    <t>Jiang, SM (corresponding author), Henan Vocat Inst Arts, Sch Art &amp; Design, Zhengzhou 451464, Peoples R China.</t>
  </si>
  <si>
    <t>shiming_jiang@outlook.com</t>
  </si>
  <si>
    <t>2307-4108</t>
  </si>
  <si>
    <t>2307-4116</t>
  </si>
  <si>
    <t>KUWAIT J SCI</t>
  </si>
  <si>
    <t>Kuwait J. Sci.</t>
  </si>
  <si>
    <t>10.1016/j.kjs.2026.100560</t>
  </si>
  <si>
    <t>FQ7UL</t>
  </si>
  <si>
    <t>WOS:001725176200001</t>
  </si>
  <si>
    <t>Alekseev, A; Nikolenko, S</t>
  </si>
  <si>
    <t>Alekseev, Anton; Nikolenko, Sergey</t>
  </si>
  <si>
    <t>Word Embeddings for User Profiling in Online Social Networks</t>
  </si>
  <si>
    <t>COMPUTACION Y SISTEMAS</t>
  </si>
  <si>
    <t>User profiling; word embeddings; distributional semantics; ranking</t>
  </si>
  <si>
    <t>User profiling in social networks can be significantly augmented by using available full-text items such as posts or statuses and ratings (in the form of likes) that users give them. In this work, we apply modern natural language processing techniques based on word embeddings to several problems related to user profiling in social networks. First, we present an approach to create user profiles that measure a user's interest in various topics mined from the full texts of the items. As a result, we get a user profile that can be used, e.g., for cold start recommendations for items, targeted advertisement, and other purposes; our experiments show that the interests mining method performs on a level comparable with collaborative algorithms while at the same time being a cold start approach, i.e., it does not use the likes of an item being recommended. Second, we study the problem of predicting a user's demographic attributes such as age and gender based on his or her full-text items. We evaluate the efficiency of various age prediction algorithms based on word2vec word embeddings and conduct an extensive experimental evaluation, comparing these algorithms with each other and with classical baseline approaches.</t>
  </si>
  <si>
    <t>[Alekseev, Anton; Nikolenko, Sergey] Natl Res Univ Higher Sch Econ, St Petersburg, Russia; [Alekseev, Anton; Nikolenko, Sergey] Steklov Math Inst St Petersburg, St Petersburg, Russia</t>
  </si>
  <si>
    <t>HSE University (National Research University Higher School of Economics); Russian Academy of Sciences; Steklov Mathematical Institute of the Russian Academy of Sciences; St. Petersburg Department of the Steklov Mathematical Institute of the Russian Academy of Sciences</t>
  </si>
  <si>
    <t>Alekseev, A (corresponding author), Natl Res Univ Higher Sch Econ, St Petersburg, Russia.;Alekseev, A (corresponding author), Steklov Math Inst St Petersburg, St Petersburg, Russia.</t>
  </si>
  <si>
    <t>anton.m.alexeyev@gmail.com; sergey@logic.pdmi.ras.ru</t>
  </si>
  <si>
    <t>Alekseev, Anton/AAE-1183-2020; Nikolenko, Sergey/AAU-3615-2020</t>
  </si>
  <si>
    <t>Alekseev, Anton/0000-0001-6456-3329; Nikolenko, Sergey/0000-0001-7787-2251</t>
  </si>
  <si>
    <t>Russian Federation [14.Z50.31.0030]; Basic Research Program at the National Research University Higher School of Economics (HSE)</t>
  </si>
  <si>
    <t>Russian Federation(Russian Federation); Basic Research Program at the National Research University Higher School of Economics (HSE)</t>
  </si>
  <si>
    <t>The work of Anton Alekseev was supported by the Russian Federation grant 14.Z50.31.0030. The work of Sergey Nikolenko was supported by the Basic Research Program at the National Research University Higher School of Economics (HSE) in 2017.</t>
  </si>
  <si>
    <t>IPN, CENTRO INVESTIGAVION COMPUTACION</t>
  </si>
  <si>
    <t>MEXICO CITY</t>
  </si>
  <si>
    <t>AV JUAN DIOS BATIZ, S N ESQ M OTHON MENDIZABAL, UP ADOLFO LOPEZ MATEOS ZACATENCO, MEXICO CITY, 07738, MEXICO</t>
  </si>
  <si>
    <t>1405-5546</t>
  </si>
  <si>
    <t>2007-9737</t>
  </si>
  <si>
    <t>COMPUT SIST</t>
  </si>
  <si>
    <t>Comput. Sist.</t>
  </si>
  <si>
    <t>10.13053/CyS-21-2-2734</t>
  </si>
  <si>
    <t>FB1OJ</t>
  </si>
  <si>
    <t>WOS:000405912800004</t>
  </si>
  <si>
    <t>Ali, R; Kaindl, H; Maciaszek, L</t>
  </si>
  <si>
    <t>Experimental Analysis of the Relevance of Features and Effects on Gender Classification Models for Social Media Author Profiling</t>
  </si>
  <si>
    <t>ENASE: PROCEEDINGS OF THE 16TH INTERNATIONAL CONFERENCE ON EVALUATION OF NOVEL APPROACHES TO SOFTWARE ENGINEERING</t>
  </si>
  <si>
    <t>Gender Classification; Author Profiling; Feature Relevance; Social Media</t>
  </si>
  <si>
    <t>Automatic user profiling from social networks has become a popular task due to its commercial applications (targeted advertising, market studies...). Automatic profiling models infer demographic characteristics of social network users from their generated content or interactions. Users' demographic information is also precious for more social worrying tasks such as automatic early detection of mental disorders. For this type of users' analysis tasks, it has been shown that the way how they use language is an important indicator which contributes to the effectiveness of the models. Therefore, we also consider that for identifying aspects such as gender, age or user's origin, it is interesting to consider the use of the language both from psycho-linguistic and semantic features. A good selection of features will be vital for the performance of retrieval, classification, and decision-making software systems. In this paper, we will address gender classification as a part of the automatic profiling task. We show an experimental analysis of the performance of existing gender classification models based on external corpus and baselines for automatic profiling. We analyse in-depth the influence of the linguistic features in the classification accuracy of the model. After that analysis, we have put together a feature set for gender classification models in social networks with an accuracy performance above existing baselines.</t>
  </si>
  <si>
    <t>Martin-Rodilla, Patricia/AID-8792-2022; Parapar, Javier/L-9840-2017; Piot, Paloma/KCJ-7025-2024</t>
  </si>
  <si>
    <t>Piot, Paloma/0000-0002-7069-3389</t>
  </si>
  <si>
    <t>Ministerio de Ciencia e Innvovacion ERDF [RTI2018-093336-B-C21, RTI2018-093336-B-C22]; Conselleria de Educacion, Universidade e Formacion Profesional [2019-2022 ED431G/01, ED431B 2019/03]; European Regional Development Fund</t>
  </si>
  <si>
    <t>This work was supported by projects RTI2018-093336-B-C21, RTI2018-093336-B-C22 (Ministerio de Ciencia e Innvovacion &amp; ERDF) and the financial support supplied by the Conselleria de Educacion, Universidade e Formacion Profesional (accreditation 2019-2022 ED431G/01, ED431B 2019/03) and the European Regional Development Fund, which acknowledges the CITIC Research Center in ICT of the University of A Coruna as a Research Center of the Galician University System.</t>
  </si>
  <si>
    <t>978-989-758-508-1</t>
  </si>
  <si>
    <t>10.5220/0010431901030113</t>
  </si>
  <si>
    <t>BS9SO</t>
  </si>
  <si>
    <t>WOS:000783843700009</t>
  </si>
  <si>
    <t>Gao, H; Wang, YQ; Shao, JL; Shen, HW; Cheng, XQ</t>
  </si>
  <si>
    <t>Gao, Hao; Wang, Yongqing; Shao, Jiangli; Shen, Huawei; Cheng, Xueqi</t>
  </si>
  <si>
    <t>User Identity Linkage across Social Networks with the Enhancement of Knowledge Graph and Time Decay Function</t>
  </si>
  <si>
    <t>user identity linkage; knowledge graph; named entity; time decay function; text matching</t>
  </si>
  <si>
    <t>Users participate in multiple social networks for different services. User identity linkage aims to predict whether users across different social networks refer to the same person, and it has received significant attention for downstream tasks such as recommendation and user profiling. Recently, researchers proposed measuring the relevance of user-generated content to predict identity linkages of users. However, there are two challenging problems with existing content-based methods: first, barely considering the word similarities of texts is insufficient where the semantical correlations of named entities in the texts are ignored; second, most methods use time discretization technology, where the texts are divided into different time slices, resulting in failure of relevance modeling. To address these issues, we propose a user identity linkage model with the enhancement of a knowledge graph and continuous time decay functions that are designed for mitigating the influence of time discretization. Apart from modeling the correlations of the words, we extract the named entities in the texts and link them into the knowledge graph to capture the correlations of named entities. The semantics of texts are enhanced through the external knowledge of the named entities in the knowledge graph, and the similarity discrimination of the texts is also improved. Furthermore, we propose continuous time decay functions to capture the closeness of the posting time of texts instead of time discretization to avoid the matching error of texts. We conduct experiments on two real public datasets, and the experimental results show that the proposed method outperforms state-of-the-art methods.</t>
  </si>
  <si>
    <t>[Gao, Hao; Wang, Yongqing; Shao, Jiangli; Shen, Huawei] Chinese Acad Sci, Data Intelligence Syst Res Ctr, Inst Comp Technol, Beijing 100190, Peoples R China; [Gao, Hao; Shao, Jiangli; Shen, Huawei; Cheng, Xueqi] Univ Chinese Acad Sci, Beijing 100190, Peoples R China; [Cheng, Xueqi] Chinese Acad Sci, Inst Comp Technol, CAS Key Lab Network Data Sci &amp; Technol, Beijing 100190, Peoples R China; [Gao, Hao; Shao, Jiangli; Shen, Huawei] Kexueyuannanlu 6, Beijing 100190, Peoples R China</t>
  </si>
  <si>
    <t>Chinese Academy of Sciences; Institute of Computing Technology, CAS; Chinese Academy of Sciences; University of Chinese Academy of Sciences, CAS; Chinese Academy of Sciences; Institute of Computing Technology, CAS</t>
  </si>
  <si>
    <t>Gao, H (corresponding author), Chinese Acad Sci, Data Intelligence Syst Res Ctr, Inst Comp Technol, Beijing 100190, Peoples R China.;Gao, H (corresponding author), Univ Chinese Acad Sci, Beijing 100190, Peoples R China.;Gao, H (corresponding author), Kexueyuannanlu 6, Beijing 100190, Peoples R China.</t>
  </si>
  <si>
    <t>gaohao@ict.ac.cn</t>
  </si>
  <si>
    <t>Shen, Hua-Wei/E-8028-2010; Cheng, Xueqi/F-1706-2010; Gao, Hao/AFM-0642-2022</t>
  </si>
  <si>
    <t>Gao, Hao/0000-0003-1586-8542</t>
  </si>
  <si>
    <t>National Natural Science Foundation of China [61802371, 91746301, U1836111]; National Key Research and Development Program of China [2018YFC0825200]; National Social Science Fund of China [19ZDA329]</t>
  </si>
  <si>
    <t>National Natural Science Foundation of China(National Natural Science Foundation of China (NSFC)); National Key Research and Development Program of China(National Key Research &amp; Development Program of China); National Social Science Fund of China(National Social Science Fund of China (NSSFC))</t>
  </si>
  <si>
    <t>This research was funded by the National Natural Science Foundation of China under grant numbers 61802371, 91746301, and U1836111; the National Key Research and Development Program of China under grant number 2018YFC0825200; and the National Social Science Fund of China under grant number 19ZDA329.</t>
  </si>
  <si>
    <t>10.3390/e24111603</t>
  </si>
  <si>
    <t>6E6DI</t>
  </si>
  <si>
    <t>WOS:000883467800001</t>
  </si>
  <si>
    <t>Charmanas, K; Mittas, N; Angelis, L</t>
  </si>
  <si>
    <t>Charmanas, Konstantinos; Mittas, Nikolaos; Angelis, Lefteris</t>
  </si>
  <si>
    <t>Content and interaction-based mapping of Reddit posts related to information security</t>
  </si>
  <si>
    <t>JOURNAL OF COMPUTATIONAL SOCIAL SCIENCE</t>
  </si>
  <si>
    <t>Information security; Social networks; Reddit; Hierarchical clustering; Word clustering; Community mapping; Behavioral analysis</t>
  </si>
  <si>
    <t>CLASSIFIER; EDUCATION; STUDENTS</t>
  </si>
  <si>
    <t>Ensuring the privacy and safety of platform users has become a complex objective due to the emerging threats that surround any type of network, software, and hardware. Scams, malwares, hackers, and security vulnerabilities form the epicenter of cyber threats causing severe damage to the affected systems and sensitive data of users. Thus, users turn to online social networks to report cyber threats, discuss topics of their interest, and obtain knowledge concerning the various perspectives of information security. In this study, we aim to address the concepts of social interactions surrounding information security-related content by retrieving and analyzing Reddit posts from 45 relevant subreddits. In this regard, a word clustering approach is employed, based on the Affinity Propagation algorithm, that leads to the extraction and interpretation of 54 concepts. These concepts are relevant to information security and some more generic areas of interest including social media, software vendors, and labors. Furthermore, to provide a more comprehensive overview of users' activity in the different Reddit communities/subreddits, a knowledge map associating subreddits and concepts based on their conceptual similarities is also established. The analysis shows that the descriptions of the examined subreddits are strongly related to their underlying concepts. At the same time, the outcomes also assess the conceptual associations between the different subreddits, offering knowledge related to similar and distant communities. Ultimately, two post metrics are utilized to explore how the concepts may impact user interactions. This allows us to differentiate between concepts associated with posts typically endorsed by communities, resulting in increased information exchange (via comments), or contributing as news/announcements. Overall, the findings of this study can be used as a knowledge basis in determining user interests, opinions, perspectives, and responsiveness, when it comes to cyber threats, attacks, and malicious activities. Also, the respective outcomes can contribute as a guide for identifying similar communities/subreddits and themes. Regarding the methodological contributions of this study, the proposed framework can be adapted to similar datasets and research goals as it does not depend on the special characteristics of the imported data, offering, in turn, a practical approach for future research.</t>
  </si>
  <si>
    <t>[Charmanas, Konstantinos; Angelis, Lefteris] Aristotle Univ Thessaloniki, Sch Informat, Thessaloniki, Greece; [Mittas, Nikolaos] Democritus Univ Thrace, Sch Sci, Dept Chem, Hephaestus Lab, Kavala, Greece</t>
  </si>
  <si>
    <t>Aristotle University of Thessaloniki</t>
  </si>
  <si>
    <t>Charmanas, K (corresponding author), Aristotle Univ Thessaloniki, Sch Informat, Thessaloniki, Greece.</t>
  </si>
  <si>
    <t>kcharman@csd.auth.gr</t>
  </si>
  <si>
    <t>Mittas, Nikolaos/AAL-6645-2021</t>
  </si>
  <si>
    <t>Charmanas, Konstantinos/0000-0001-5743-609X</t>
  </si>
  <si>
    <t>The research in this paper is part of the PhD dissertation of the first author.</t>
  </si>
  <si>
    <t>2432-2717</t>
  </si>
  <si>
    <t>2432-2725</t>
  </si>
  <si>
    <t>J COMPUT SOC SCI</t>
  </si>
  <si>
    <t>J. Comput. Soc. Sci.</t>
  </si>
  <si>
    <t>10.1007/s42001-024-00269-4</t>
  </si>
  <si>
    <t>APR 2024</t>
  </si>
  <si>
    <t>Social Sciences, Mathematical Methods</t>
  </si>
  <si>
    <t>Mathematical Methods In Social Sciences</t>
  </si>
  <si>
    <t>H8S8E</t>
  </si>
  <si>
    <t>WOS:001201483800001</t>
  </si>
  <si>
    <t>Yang, Q; Farseev, A; Nikolenko, S; Filchenkov, A</t>
  </si>
  <si>
    <t>Yang, Qi; Farseev, Aleksandr; Nikolenko, Sergey; Filchenkov, Andrey</t>
  </si>
  <si>
    <t>Do we behave differently on Twitter and Facebook: Multi-view social network user personality profiling for content recommendation</t>
  </si>
  <si>
    <t>FRONTIERS IN BIG DATA</t>
  </si>
  <si>
    <t>user profiling; multimedia retrieval; machine learning; recommender systems; user personality profiling; multimodal retrieval</t>
  </si>
  <si>
    <t>Human personality traits are key drivers behind our decision making, influencing our lives on a daily basis. Inference of personality traits, such as the Myers-Briggs personality type, as well as an understanding of dependencies between personality traits and user behavior on various social media platforms, is of crucial importance to modern research and industry applications such as recommender systems. The emergence of diverse and cross-purpose social media avenues makes it possible to perform user personality profiling automatically and efficiently based on data represented across multiple data modalities. However, research efforts on personality profiling from multi-source multi-modal social media data are relatively sparse; the impact of different social network data on profiling performance and of personality traits on applications such as recommender systems is yet to be evaluated. Furthermore, large-scale datasets are also lacking in the research community. To fill these gaps, in this work we develop a novel multi-view fusion framework PERS that infers Myers-Briggs personality type indicators. We evaluate the results not just across data modalities but also across different social networks, and also evaluate the impact of inferred personality traits on recommender systems. Our experimental results demonstrate that PERS is able to learn from multi-view data for personality profiling by efficiently leveraging highly varied data from diverse social multimedia sources. Furthermore, we demonstrate that inferred personality traits can be beneficial to other industry applications. Among other results, we show that people tend to reveal multiple facets of their personality in different social media avenues. We also release a social multimedia dataset in order to facilitate further research on this direction.</t>
  </si>
  <si>
    <t>[Yang, Qi; Farseev, Aleksandr; Filchenkov, Andrey] ITMO Univ, Machine Learning Lab, St Petersburg, Russia; [Yang, Qi; Farseev, Aleksandr; Nikolenko, Sergey] SoMin AI, Somin Res, Singapore, Singapore; [Nikolenko, Sergey] Steklov Inst Math St Petersburg, St Petersburg, Russia</t>
  </si>
  <si>
    <t>ITMO University; Russian Academy of Sciences; Steklov Mathematical Institute of the Russian Academy of Sciences; St. Petersburg Department of the Steklov Mathematical Institute of the Russian Academy of Sciences</t>
  </si>
  <si>
    <t>Yang, Q (corresponding author), ITMO Univ, Machine Learning Lab, St Petersburg, Russia.;Yang, Q (corresponding author), SoMin AI, Somin Res, Singapore, Singapore.</t>
  </si>
  <si>
    <t>yangqi@itmo.ru</t>
  </si>
  <si>
    <t>Yang, Qi/AAH-8423-2021; Nikolenko, Sergey/AAU-3615-2020</t>
  </si>
  <si>
    <t>Yang, Qi/0000-0002-5425-0932;</t>
  </si>
  <si>
    <t>Russian Science Foundation; Ministry of Science and Higher Education of Russia for World Level Research Centers; [22-11-00135]; [075-15-2022-289]</t>
  </si>
  <si>
    <t>Russian Science Foundation(Russian Science Foundation (RSF)); Ministry of Science and Higher Education of Russia for World Level Research Centers; ;</t>
  </si>
  <si>
    <t>Funding This work of QY and AFa shown in Sections Data and feature extraction, Methods, and Evaluation was funded by the Russian Science Foundation, Grant No. 22-11-00135 (https://rscf.ru/en/project/22-11-00135/). The work of SN shown in Sections Introduction and Related work was also supported by the grant of the Ministry of Science and Higher Education of Russia for World Level Research Centers, Grant No. 075-15-2022-289.</t>
  </si>
  <si>
    <t>2624-909X</t>
  </si>
  <si>
    <t>FRONT BIG DATA</t>
  </si>
  <si>
    <t>Front. Big Data</t>
  </si>
  <si>
    <t>AUG 3</t>
  </si>
  <si>
    <t>10.3389/fdata.2022.931206</t>
  </si>
  <si>
    <t>Computer Science, Information Systems; Computer Science, Interdisciplinary Applications; Multidisciplinary Sciences</t>
  </si>
  <si>
    <t>Computer Science; Science &amp; Technology - Other Topics</t>
  </si>
  <si>
    <t>3U8US</t>
  </si>
  <si>
    <t>WOS:000841240600001</t>
  </si>
  <si>
    <t>Rauen, ZI; Anjomshoa, F; Kantarci, B</t>
  </si>
  <si>
    <t>Rauen, Zachary I.; Anjomshoa, Fazel; Kantarci, Burak</t>
  </si>
  <si>
    <t>Gesture and Sociability-based Continuous Authentication on Smart Mobile Devices</t>
  </si>
  <si>
    <t>PROCEEDINGS OF THE 16TH ACM INTERNATIONAL SYMPOSIUM ON MOBILITY MANAGEMENT AND WIRELESS ACCESS (MOBIWAC'18)</t>
  </si>
  <si>
    <t>16th ACM International Symposium on Mobility Management and Wireless Access (MobiWac)</t>
  </si>
  <si>
    <t>OCT 28-NOV 02, 2018</t>
  </si>
  <si>
    <t>Montreal, CANADA</t>
  </si>
  <si>
    <t>Assoc Comp Machinery,ACM SIGSIM</t>
  </si>
  <si>
    <t>behaviometrics; user profiling; machine learning; social networks; gesture recognition</t>
  </si>
  <si>
    <t>VERIFICATION</t>
  </si>
  <si>
    <t>In this paper, we propose a new continuous verification platform on smart mobile devices. To this end, we integrate gesture-based features with interaction with social networking apps to verify user identities without minimum requirement for a password, pin code or biometric means. The continuous verification subsystem of this work proposes a novel two-step system for verification of users. The subsystem works by having two accurate models working as a primary and backup; when the primary fails the backup takes over to confirm or deny the conclusion of the primary model. The false acceptance rate (FAR) and false rejection rate (FRR) achieved under the proposed two-step system are shown to be 2.54% and 1.98% respectively, compared to the FAR and FRR of single-step verification, which achieved 3.15% and 9.13% respectively. Furthermore, the proposed system also improves the stability of continuous verification. In this work we show that the single step systems are inconsistent when analyzing small feature sets or slightly varied datasets. During both of these instances, the proposed system stays consistent, maintaining a high verification rate.</t>
  </si>
  <si>
    <t>[Rauen, Zachary I.; Anjomshoa, Fazel] Clarkson Univ, Dept Elect &amp; Comp Engn, Potsdam, NY 13699 USA; [Kantarci, Burak] Univ Ottawa, Sch Elect Engn &amp; Comp Sci, Ottawa, ON, Canada</t>
  </si>
  <si>
    <t>Clarkson University; University of Ottawa</t>
  </si>
  <si>
    <t>Rauen, ZI (corresponding author), Clarkson Univ, Dept Elect &amp; Comp Engn, Potsdam, NY 13699 USA.</t>
  </si>
  <si>
    <t>rauenzi@clarkson.edu; anjomsm@clarkson.edu; burak.kantarci@uottawa.ca</t>
  </si>
  <si>
    <t>Kantarci, Burak/QDO-3694-2026</t>
  </si>
  <si>
    <t>Center for Identification Technology (CITeR); U.S. National Science Foundation (NSF) [IIP-1068055, CNS1464273]; Natural Sciences and Engineering Research Council of Canada (NSERC) DISCOVERY Program [RGPIN/2017-04032]</t>
  </si>
  <si>
    <t>Center for Identification Technology (CITeR); U.S. National Science Foundation (NSF)(National Science Foundation (NSF)); Natural Sciences and Engineering Research Council of Canada (NSERC) DISCOVERY Program(Natural Sciences and Engineering Research Council of Canada (NSERC))</t>
  </si>
  <si>
    <t>This material is based upon works supported by the Center for Identification Technology (CITeR); U.S. National Science Foundation (NSF) under Grants IIP-1068055 and CNS1464273; and Natural Sciences and Engineering Research Council of Canada (NSERC) DISCOVERY Program under Grant RGPIN/2017-04032.</t>
  </si>
  <si>
    <t>978-1-4503-5962-7</t>
  </si>
  <si>
    <t>10.1145/3265863.3265873</t>
  </si>
  <si>
    <t>BN0RA</t>
  </si>
  <si>
    <t>WOS:000473335200007</t>
  </si>
  <si>
    <t>User Modeling on Twitter with WordNet Synsets and DBpedia Concepts for Personalized Recommendations</t>
  </si>
  <si>
    <t>User Modeling; Personalization; User Interest Profiles</t>
  </si>
  <si>
    <t>User modeling of individual users on the Social Web platforms such as Twitter plays a significant role in providing personalized recommendations and filtering interesting information from social streams. Recently, researchers proposed the use of concepts (e.g., DBpedia entities) for representing user interests instead of word-based approaches, since Knowledge Bases such as DBpedia provide cross-domain background knowledge about concepts, and thus can be used for extending user interest profiles. Even so, not all concepts can be covered by a Knowledge Base, especially in the case of microblogging platforms such as Twitter where new concepts/topics emerge everyday. In this short paper, instead of using concepts alone, we propose using synsets from WordNet and concepts from DBpedia for representing user interests. We evaluate our proposed user modeling strategies by comparing them with other bag-of-concepts approaches. The results show that using synsets and concepts together for representing user interests improves the quality of user modeling significantly in the context of link recommendations on Twitter.</t>
  </si>
  <si>
    <t>[Piao, Guangyuan; Breslin, John G.] NUI Galway, Insight Ctr Data Analyt, IDA Business Pk, Galway, Ireland</t>
  </si>
  <si>
    <t>Piao, GY (corresponding author), NUI Galway, Insight Ctr Data Analyt, IDA Business Pk, Galway, Ireland.</t>
  </si>
  <si>
    <t>10.1145/2983323.2983908</t>
  </si>
  <si>
    <t>WOS:000390890800237</t>
  </si>
  <si>
    <t>Tong, PH; Yao, JJ; Wang, LP; Yang, SY</t>
  </si>
  <si>
    <t>Cheema, MA; Zhang, W; Chang, L</t>
  </si>
  <si>
    <t>Tong, Peihao; Yao, Junjie; Wang, Liping; Yang, Shiyu</t>
  </si>
  <si>
    <t>Comprehensive Graph and Content Feature Based User Profiling</t>
  </si>
  <si>
    <t>DATABASES THEORY AND APPLICATIONS, (ADC 2016)</t>
  </si>
  <si>
    <t>27th Australasian Database Conference (ADC)</t>
  </si>
  <si>
    <t>SEP 26-29, 2016</t>
  </si>
  <si>
    <t>Univ New S Wales</t>
  </si>
  <si>
    <t>User profiling; Graph embedding; Prediction model</t>
  </si>
  <si>
    <t>FRAMEWORK</t>
  </si>
  <si>
    <t>Nowadays, users post a lot of their ordinary life records to online social sites. Rich social content covers discussion, interaction and communication activities etc. The social data provides insights into users' interest, preference and communication aspects. An interesting problem is how to profile users' occupation,i.e., professional categories. It has great values for users' recommendation and personalized delivery services. However, it is very challenging, compared to gender or age prediction, due to the multiple categories and complex scenarios. This paper takes a new perspective to tackle the occupation prediction. We propose novel methods to transfer the commonly used social network feature and textual content feature into vector space representation. Specifically, we use the embedding method to transfer the social network feature into a low dimensional space. We then propose an integrated framework that combines the graph and content feature for the occupation classification problem. Empirical study on a large real social dataset verifies the effectiveness and usefulness of the proposed approach.</t>
  </si>
  <si>
    <t>[Tong, Peihao; Yao, Junjie; Wang, Liping] East China Normal Univ, Sch Comp Sci &amp; Software Engn, Shanghai, Peoples R China; [Yang, Shiyu] Univ New South Wales, Sch Comp Sci &amp; Engn, Sydney, NSW, Australia</t>
  </si>
  <si>
    <t>East China Normal University; University of New South Wales Sydney</t>
  </si>
  <si>
    <t>Yao, JJ (corresponding author), East China Normal Univ, Sch Comp Sci &amp; Software Engn, Shanghai, Peoples R China.</t>
  </si>
  <si>
    <t>10122510148@student.ecnu.edu.cn; junjie.yao@sei.ecnu.edu.cn; lipingwang@sei.ecnu.edu.cn; yangs@cse.unsw.edu.au</t>
  </si>
  <si>
    <t>; Tong, Peihao/AGL-7145-2022</t>
  </si>
  <si>
    <t>Yao, Junjie/0000-0002-5637-8083;</t>
  </si>
  <si>
    <t>978-3-319-46922-5; 978-3-319-46921-8</t>
  </si>
  <si>
    <t>10.1007/978-3-319-46922-5_3</t>
  </si>
  <si>
    <t>BG4JR</t>
  </si>
  <si>
    <t>WOS:000388923200003</t>
  </si>
  <si>
    <t>Musto, C; Semeraro, G; Lovascio, C; de Gemmis, M; Lops, P</t>
  </si>
  <si>
    <t>Musto, Cataldo; Semeraro, Giovanni; Lovascio, Cosimo; de Gemmis, Marco; Lops, Pasquale</t>
  </si>
  <si>
    <t>A Framework for Holistic User Modeling Merging Heterogeneous Digital Footprints</t>
  </si>
  <si>
    <t>UMAP'18: ADJUNCT PUBLICATION OF THE 26TH CONFERENCE ON USER MODELING, ADAPTATION AND PERSONALIZATION</t>
  </si>
  <si>
    <t>26th ACM Conference on User Modeling, Adaptation and Personalization (UMAP)</t>
  </si>
  <si>
    <t>JUL 08-11, 2018</t>
  </si>
  <si>
    <t>Nanyang Technol Univ, Singapore, SINGAPORE</t>
  </si>
  <si>
    <t>Assoc Comp Machinery,ACM SIGCHI,ACM SIGWEB</t>
  </si>
  <si>
    <t>Nanyang Technol Univ</t>
  </si>
  <si>
    <t>User Modeling; Personalization; Personal Informatics; Content Analytics; Quantified Self</t>
  </si>
  <si>
    <t>PERSONALIZATION</t>
  </si>
  <si>
    <t>In this paper we introduce the concept of holistic user profile, intended as a unique representation of a user that merges the heterogeneous footprints she spread on social networks and through personal devices, and we present a framework that supports the creation of such user models. Our holistic user model is based on the insight that each person can be described through different facets, such as her interests, activities, habits, mood, social connections and so on, and each facet can be modeled by gathering and merging information coming from diverse sources. To this end, we designed a platform that automatically acquires personal data coming from both social networks, such as Twitter and Facebook, as well as devices, such as Android smartphones and FitBit wristbands. Next, these rough data are merged, processed and enriched in order to infer high-level features (e.g., user interested in technology, user experiencing a bad mood, sedentary person, and so on) or to extract user behavioral patterns (e.g., places that are frequently visited). Such unique representation of a person, whose strength is the combination of different heterogeneous data points, is finally encoded and stored in our platform and can be made available to both the user itself and to third-party services. In the former case, data are shown through a visual interface. In the latter, holistic user profiles are exposed through this unique entry point and external applications can build newpersonalized services based on the digital footprints spread by the user.</t>
  </si>
  <si>
    <t>[Musto, Cataldo; Semeraro, Giovanni; Lovascio, Cosimo; de Gemmis, Marco; Lops, Pasquale] Univ Bari Aldo Moro, Bari, Italy</t>
  </si>
  <si>
    <t>Universita degli Studi di Bari Aldo Moro</t>
  </si>
  <si>
    <t>Musto, C (corresponding author), Univ Bari Aldo Moro, Bari, Italy.</t>
  </si>
  <si>
    <t>cataldo.musto@uniba.it; giovanni.semeraro@uniba.it; cosimolovascio@hotmail.it; marco.degemmis@uniba.it; pasquale.lops@uniba.it</t>
  </si>
  <si>
    <t>; Lops, Pasquale/E-7509-2014; Semeraro, Giovanni/AAC-2156-2020; de Gemmis, Marco/E-9490-2014</t>
  </si>
  <si>
    <t>Musto, Cataldo/0000-0001-6089-928X; Semeraro, Giovanni/0000-0001-6883-1853;</t>
  </si>
  <si>
    <t>978-1-4503-5784-5</t>
  </si>
  <si>
    <t>10.1145/3213586.3226218</t>
  </si>
  <si>
    <t>BT9KW</t>
  </si>
  <si>
    <t>WOS:000861551600015</t>
  </si>
  <si>
    <t>Li, R; Wang, C; Chang, KCC</t>
  </si>
  <si>
    <t>Li, Rui; Wang, Chi; Chang, Kevin Chen-Chuan</t>
  </si>
  <si>
    <t>User Profiling in an Ego Network: Co-profiling Attributes and Relationships</t>
  </si>
  <si>
    <t>WWW'14: PROCEEDINGS OF THE 23RD INTERNATIONAL CONFERENCE ON WORLD WIDE WEB</t>
  </si>
  <si>
    <t>Social Network; Ego Network; User Profiling</t>
  </si>
  <si>
    <t>User attributes, such as occupation, education, and location, are important for many applications. In this paper, we study the problem of profiling user attributes in social network. To capture the correlation between attributes and social connections, we present a new insight that social connections are discriminatively correlated with attributes via a hidden factor - relationship type. For example, a user's colleagues are more likely to share the same employer with him than other friends. Based on the insight, we propose to co-profile users' attributes and relationship types of their connections. To achieve co-profiling, we develop an efficient algorithm based on an optimization framework. Our algorithm captures our insight effectively. It iteratively profiles attributes by propagation via certain types of connections, and profiles types of connections based on attributes and the network structure. We conduct extensive experiments to evaluate our algorithm. The results show that our algorithm profiles various attributes accurately, which improves the state-of-the-art methods by 12%.</t>
  </si>
  <si>
    <t>[Li, Rui; Wang, Chi; Chang, Kevin Chen-Chuan] Univ Illinois, Dept Comp Sci, Urbana, IL 61801 USA; [Chang, Kevin Chen-Chuan] Illinois Singapore, Adv Digital Sci Ctr, Singapore, Singapore</t>
  </si>
  <si>
    <t>University of Illinois System; University of Illinois Urbana-Champaign</t>
  </si>
  <si>
    <t>Li, R (corresponding author), Univ Illinois, Dept Comp Sci, Urbana, IL 61801 USA.</t>
  </si>
  <si>
    <t>ruili1@illinois.edu; chiwang1@illinois.edu; kcchang@illinois.edu</t>
  </si>
  <si>
    <t>NSF [IIS 1018723]; Advanced Digital Science Center of UIUC; Microsoft Research PhD Fellowship; Multimodal Information Access and Synthesis Center at UIUC</t>
  </si>
  <si>
    <t>NSF(National Science Foundation (NSF)); Advanced Digital Science Center of UIUC; Microsoft Research PhD Fellowship(Microsoft); Multimodal Information Access and Synthesis Center at UIUC</t>
  </si>
  <si>
    <t>This material is based upon work partially supported by NSF Grant IIS 1018723, the Advanced Digital Science Center of UIUC and the Multimodal Information Access and Synthesis Center at UIUC. Any opinions, findings, and conclusions or recommendations expressed in this publication are those of the author(s) and do not necessarily reflect the views of the funding agencies. Chi Wang was supported by a Microsoft Research PhD Fellowship.</t>
  </si>
  <si>
    <t>978-1-4503-2744-2</t>
  </si>
  <si>
    <t>10.1145/2566486.2568045</t>
  </si>
  <si>
    <t>BL8AI</t>
  </si>
  <si>
    <t>WOS:000455945100074</t>
  </si>
  <si>
    <t>Han, XF; Dou, X</t>
  </si>
  <si>
    <t>Han, Xiaofei; Dou, Xin</t>
  </si>
  <si>
    <t>User recommendation method integrating hierarchical graph attention network with multimodal knowledge graph</t>
  </si>
  <si>
    <t>FRONTIERS IN NEUROROBOTICS</t>
  </si>
  <si>
    <t>user recommendation; hierarchical graph attention network; knowledge graph; multimodal; visual features; textual features</t>
  </si>
  <si>
    <t>In common graph neural network (GNN), although incorporating social network information effectively utilizes interactions between users, it often overlooks the deeper semantic relationships between items and fails to integrate visual and textual feature information. This limitation can restrict the diversity and accuracy of recommendation results. To address this, the present study combines knowledge graph, GNN, and multimodal information to enhance feature representations of both users and items. The inclusion of knowledge graph not only provides a better understanding of the underlying logic behind user interests and preferences but also aids in addressing the cold-start problem for new users and items. Moreover, in improving recommendation accuracy, visual and textual features of items are incorporated as supplementary information. Therefore, a user recommendation model is proposed that integrates hierarchical graph attention network with multimodal knowledge graph. The model consists of four key components: a collaborative knowledge graph neural layer, an image feature extraction layer, a text feature extraction layer, and a prediction layer. The first three layers extract user and item features, and the recommendation is completed in the prediction layer. Experimental results based on two public datasets demonstrate that the proposed model significantly outperforms existing recommendation methods in terms of recommendation performance.</t>
  </si>
  <si>
    <t>[Han, Xiaofei] Calif State Univ, Business Coll, Long Beach, CA 90840 USA; [Han, Xiaofei; Dou, Xin] Shanghai Int Studies Univ, Sch Business &amp; Management, Shanghai, Peoples R China</t>
  </si>
  <si>
    <t>California State University System; California State University Long Beach; Shanghai International Studies University</t>
  </si>
  <si>
    <t>Han, XF (corresponding author), Calif State Univ, Business Coll, Long Beach, CA 90840 USA.;Han, XF (corresponding author), Shanghai Int Studies Univ, Sch Business &amp; Management, Shanghai, Peoples R China.</t>
  </si>
  <si>
    <t>fendyhanxiaofei@shisu.edu.cn</t>
  </si>
  <si>
    <t>1662-5218</t>
  </si>
  <si>
    <t>FRONT NEUROROBOTICS</t>
  </si>
  <si>
    <t>Front. Neurorobotics</t>
  </si>
  <si>
    <t>JUN 18</t>
  </si>
  <si>
    <t>10.3389/fnbot.2025.1587973</t>
  </si>
  <si>
    <t>Computer Science, Artificial Intelligence; Robotics; Neurosciences</t>
  </si>
  <si>
    <t>Computer Science; Robotics; Neurosciences &amp; Neurology</t>
  </si>
  <si>
    <t>4LV6F</t>
  </si>
  <si>
    <t>WOS:001521094700001</t>
  </si>
  <si>
    <t>A conceptual clustering approach for user profiling in personal information agents</t>
  </si>
  <si>
    <t>AI COMMUNICATIONS</t>
  </si>
  <si>
    <t>conceptual clustering; user profiling; personal information agents</t>
  </si>
  <si>
    <t>Information agents have emerged in the last decade as an alternative to assist users to cope with the increasing volume of information available on the Web. In order to provide personalized assistance, these agents rely on having some knowledge about users contained into user profiles, i.e., models of users preferences and interests gathered by observation of user behavior. User profiles have to summarize categories corresponding not only to diverse user information interests but also to different levels of abstraction in order to allow agents to decide on the relevance of new pieces of information. In accomplishing this goal, the discovery of interest categories using document clustering offers the advantage that an a priori knowledge of user interests is not needed, therefore the process of acquiring profiles is completely unsupervised. However, most document clustering algorithms are not applicable to the problem of incrementally acquiring and modeling interests because of either the kind of solutions they provide, which do not resemble user interests, or the way they build such solutions, which is generally not incremental. In this paper we describe and evaluate a document clustering algorithm, named WebDCC (Web Document Conceptual Clustering), designed to support learning of user interests by personal information agents. WebDCC algorithm carries out incremental, unsupervised concept learning over Web documents with the goal of building and maintaining both accurate and comprehensible user profiles. Empirical evaluation of using this algorithm for user profiling and its advantages with respect to other clustering algorithms are presented.</t>
  </si>
  <si>
    <t>Univ Nacl Ctr Prov Bs As, ISISTAN Res Inst, RA-7000 Tandil, Buenos Aires, Argentina</t>
  </si>
  <si>
    <t>Godoy, D (corresponding author), Univ Nacl Ctr Prov Bs As, ISISTAN Res Inst, Campus Univ,Paraje Arroyo Seco, RA-7000 Tandil, Buenos Aires, Argentina.</t>
  </si>
  <si>
    <t>0921-7126</t>
  </si>
  <si>
    <t>1875-8452</t>
  </si>
  <si>
    <t>AI COMMUN</t>
  </si>
  <si>
    <t>AI Commun.</t>
  </si>
  <si>
    <t>085JT</t>
  </si>
  <si>
    <t>WOS:000240601100002</t>
  </si>
  <si>
    <t>Xu, JJ; Lu, TC</t>
  </si>
  <si>
    <t>Xu, Jiejun; Lu, Tsai-Ching</t>
  </si>
  <si>
    <t>Toward Precise User-Topic Alignment in Online Social Media</t>
  </si>
  <si>
    <t>Twitter; online social media; user-topic modeling; bi-relational graph; multi-label learning</t>
  </si>
  <si>
    <t>Mining users'= topics of interest is one of the most important tasks for social media services. Given known topic associations for some fraction of the users in an online microblogging platform, our goal is to infer the topics of interest for the remaining users in the same site. Specifically, we proposed a novel bi-relational graph model to capture the interactions among users and their shared topics of interests. The proposed graph model contains two sub-graphs: one corresponds to users and the other corresponds to topics. Such a representation allows for effective exploitation of both user homophily relation and topic correlation simultaneously. This is in contrast with previous work where these two factors are considered in isolation. Subsequently, the user interest discovery problem is formulated as a multi-label learning problem on the bi-relational graph, with the goal to estimate the optimized associations between user nodes and topic nodes across the two sub-graphs. Our experiment is carried out with a complete month-long data collected from Twitter and Tumblr via GNIP Decahose(1) and Firehose(2) respectively. The large-scale studies shed light on the effectiveness of inferring user interests based on the underlying social connections.</t>
  </si>
  <si>
    <t>[Xu, Jiejun; Lu, Tsai-Ching] HRL Labs LLC, Malibu, CA 90265 USA</t>
  </si>
  <si>
    <t>HRL Laboratories</t>
  </si>
  <si>
    <t>Xu, JJ (corresponding author), HRL Labs LLC, Malibu, CA 90265 USA.</t>
  </si>
  <si>
    <t>jxu@hrl.com; tlu@hrl.com</t>
  </si>
  <si>
    <t>WOS:000380404600090</t>
  </si>
  <si>
    <t>Ma, XJ; Tsuboshita, Y; Kato, N</t>
  </si>
  <si>
    <t>Ma, Xiaojun; Tsuboshita, Yukihiro; Kato, Noriji</t>
  </si>
  <si>
    <t>GENDER ESTIMATION FOR SNS USER PROFILING USING AUTOMATIC IMAGE ANNOTATION</t>
  </si>
  <si>
    <t>2014 IEEE INTERNATIONAL CONFERENCE ON MULTIMEDIA AND EXPO WORKSHOPS (ICMEW)</t>
  </si>
  <si>
    <t>IEEE International Conference on Multimedia and Expo Workshops (ICMEW)</t>
  </si>
  <si>
    <t>JUL 14-18, 2014</t>
  </si>
  <si>
    <t>Chengdu, PEOPLES R CHINA</t>
  </si>
  <si>
    <t>IEEE,Baidu,NSFC,NSF,QIY,BOCOM,Yahoo,IBM Res,RICOH,Microsoft Res</t>
  </si>
  <si>
    <t>SNS; user profiles; image annotation</t>
  </si>
  <si>
    <t>User profiling for Social Network Services (SNS) has gained great attention because of its potential values in identifying target population, which is very informative for marketing. Many studies have been conducted to estimate SNS user profiles using text analysis. However, in spite of the huge quantities of image resources on SNS, no previous work has specifically explored user profiles by automatic image annotation techniques. This paper addresses the problem of inferring a SNS user's gender by automatic image annotation. The proposed method involves learning a model to annotate SNS images and integrating annotation scores of images to infer a user's gender. Evaluation based on Twitter data demonstrates promising results.</t>
  </si>
  <si>
    <t>[Ma, Xiaojun; Tsuboshita, Yukihiro; Kato, Noriji] Fuji Xerox Co Ltd, Nishi Ku, Yokohama, Kanagawa, Japan</t>
  </si>
  <si>
    <t>Xerox</t>
  </si>
  <si>
    <t>Ma, XJ (corresponding author), Fuji Xerox Co Ltd, Nishi Ku, 6-1 Minatomirai, Yokohama, Kanagawa, Japan.</t>
  </si>
  <si>
    <t>xiaojun.ma@fujixerox.co.jp; yukihiro.tsuboshita@fujixerox.co.jp; noriji.kato@fujixerox.co.jp</t>
  </si>
  <si>
    <t>IEEE, ELECTRON DEVICES SOC &amp; RELIABILITY GROUP</t>
  </si>
  <si>
    <t>978-1-4799-4717-1</t>
  </si>
  <si>
    <t>BC8RU</t>
  </si>
  <si>
    <t>WOS:000356046900041</t>
  </si>
  <si>
    <t>Zhang, YX; Chen, LS; Yang, SR; Yuan, M; Yi, HM; Zhang, J; Wang, JM; Dong, JB; Xu, YL; Song, Y; Li, Y; Zhang, D; Lin, W; Qu, L; Zheng, B</t>
  </si>
  <si>
    <t>Zhang, Yuanxing; Chen, Langshi; Yang, Siran; Yuan, Man; Yi, Huimin; Zhang, Jie; Wang, Jiamang; Dong, Jianbo; Xu, Yunlong; Song, Yue; Li, Yong; Zhang, Di; Lin, Wei; Qu, Lin; Zheng, Bo</t>
  </si>
  <si>
    <t>PICASSO: Unleashing the Potential of GPU-centric Training for Wide-and-deep Recommender Systems</t>
  </si>
  <si>
    <t>2022 IEEE 38TH INTERNATIONAL CONFERENCE ON DATA ENGINEERING (ICDE 2022)</t>
  </si>
  <si>
    <t>IEEE International Conference on Data Engineering</t>
  </si>
  <si>
    <t>38th IEEE International Conference on Data Engineering (ICDE)</t>
  </si>
  <si>
    <t>MAY 09-11, 2022</t>
  </si>
  <si>
    <t>Scalable training acceleration; Recommender system; Categorical data processing; Feature interaction</t>
  </si>
  <si>
    <t>The development of personalized recommendation has significantly improved the accuracy of information matching and the revenue of e-commerce platforms. Recently, it has two trends: 1) recommender systems must be trained timely to cope with ever-growing new products and ever-changing user interests from online marketing and social network; 2) state-of-the-art recommendation models introduce deep neural network (DNN) modules to improve prediction accuracy. Traditional CPU-based recommender systems cannot meet these two trends, and GPU-centric training has become a trending approach. However, we observe that GPU devices in training recommender systems are underutilized, and they cannot attain an expected throughput improvement as what it has achieved in Computer Vision (CV) and Neural Language Processing (NLP) areas. This issue can be explained by two characteristics of these recommendation models: First, they contain up to a thousand of input feature fields, introducing fragmentary and memory-intensive operations; Second, the multiple constituent feature interaction submodules introduce substantial small-sized compute kernels. To remove this roadblock to the development of recommender systems, we propose a novel framework named PICASSO to accelerate the training of recommendation models on commodity hardware. Specifically, we conduct a systematic analysis to reveal the bottlenecks encountered in training recommendation models. We leverage the model structure and data distribution to unleash the potential of hardware through our packing, interleaving, and caching optimization. Experiments show that PICASSO increases the hardware utilization by an order of magnitude on the basis of state-of-the-art baselines and brings up to 6x throughput improvement for a variety of industrial recommendation models. Using the same hardware budget in production, PICASSO on average shortens the walltime of daily training tasks by 7 hours, significantly reducing the delay of continuous delivery.</t>
  </si>
  <si>
    <t>[Zhang, Yuanxing; Chen, Langshi; Yang, Siran; Yuan, Man; Yi, Huimin; Zhang, Jie; Wang, Jiamang; Dong, Jianbo; Xu, Yunlong; Song, Yue; Li, Yong; Zhang, Di; Lin, Wei; Qu, Lin; Zheng, Bo] Alibaba Grp, Beijing, Peoples R China</t>
  </si>
  <si>
    <t>Alibaba Group</t>
  </si>
  <si>
    <t>Zhang, YX (corresponding author), Alibaba Grp, Beijing, Peoples R China.</t>
  </si>
  <si>
    <t>yuanxing.zyx@alibaba-inc.com; langshi.cls@alibaba-inc.com</t>
  </si>
  <si>
    <t>; Zheng, Bo/JDW-6453-2023</t>
  </si>
  <si>
    <t>Xu, Yunlong/0000-0003-4727-0676; Yuan, Man/0009-0002-2045-4408</t>
  </si>
  <si>
    <t>This work is supported by Alibaba Group. We thank Lixue Xia, Wencong Xiao, Shiru Ren, Zhen Zheng, and Zheng Cao for useful pointers regarding the writing of this paper. We appreciate Hua Zong, Kaixv Ren, Wenchao Wang, Xiaoli Liu, Yunxin Zhou, Hao Li, Guowang Zhang, Sui Huang and Lingling Jin for implementing the key components of the training and serving infrastructure.</t>
  </si>
  <si>
    <t>1084-4627</t>
  </si>
  <si>
    <t>978-1-6654-0883-7</t>
  </si>
  <si>
    <t>PROC INT CONF DATA</t>
  </si>
  <si>
    <t>10.1109/ICDE53745.2022.00324</t>
  </si>
  <si>
    <t>BT8PW</t>
  </si>
  <si>
    <t>WOS:000855078403059</t>
  </si>
  <si>
    <t>Anandhan, A; Ismail, MA; Shuib, L</t>
  </si>
  <si>
    <t>Anandhan, Anitha; Ismail, Maizatul Akmar; Shuib, Liyana</t>
  </si>
  <si>
    <t>EXPERT RECOMMENDATION THROUGH TAG RELATIONSHIP IN COMMUNITY QUESTION ANSWERING</t>
  </si>
  <si>
    <t>MALAYSIAN JOURNAL OF COMPUTER SCIENCE</t>
  </si>
  <si>
    <t>Recommender System; Matrix Factorisation; Online Community; Metadata; Social Network; Expert Profiling; Tag Relationship; User Profile</t>
  </si>
  <si>
    <t>EMOTION; SYSTEMS; PROFILE</t>
  </si>
  <si>
    <t>Community Question Answering (CQA) services are technical discussion forums websites on social media that serve as a platform for users to interact mainly via question and answer. However, users of this platform have posed dissatisfaction over the slow response and the preference for user domains due to the overwhelming information in CQA websites. Numerous past studies focusing on expert recommendation are solely based on the information available from websites where they rarely account for the preference of users' domain knowledge. This condition prompts the need to identify experts for the questions posted on community-based websites. Thus, this study attempts to identify ranking experts' derived from the tag relationship among users in the CQA websites to construct user profiles where their interests are realized in the form of tags. Experts are considered users who post high-quality answers and are often recommended by the system based on their previous posts and associated tags. These associations further describe tags that often co-occur in posts and the significant domains of user interest. The current study further explores this relationship by adopting the Tag Relationship Expert Recommendation (TRER) method where Questions Answer (QA) Space is utilized as a dataset to identify users with similar interests and subsequently rank experts based on the tag-tag relationship for user's question. The results show that the TRER method outperforms existing baseline methods by effectively improving the performance of relevant domain experts in CQA, thereby facilitating the expert recommendation process in answering questions posted by technical and academic professionals.</t>
  </si>
  <si>
    <t>[Anandhan, Anitha; Ismail, Maizatul Akmar; Shuib, Liyana] Univ Malaya, Fac Comp Sci &amp; Informat Technol, Dept Informat Syst, Kuala Lumpur 50603, Malaysia</t>
  </si>
  <si>
    <t>Universiti Malaya</t>
  </si>
  <si>
    <t>Ismail, MA (corresponding author), Univ Malaya, Fac Comp Sci &amp; Informat Technol, Dept Informat Syst, Kuala Lumpur 50603, Malaysia.</t>
  </si>
  <si>
    <t>anitha.anandhan@siswa.um.edu.my; maizatul@um.edu.my; liyanashuib@um.edu.my</t>
  </si>
  <si>
    <t>Ismail, Maizatul Akmar/B-8922-2010; Anandhan, Anitha/AES-3520-2022; Shuib, Nor/M-8698-2013</t>
  </si>
  <si>
    <t>Ismail, Maizatul Akmar/0000-0003-1877-7128;</t>
  </si>
  <si>
    <t>UNIV MALAYA, FAC COMPUTER SCIENCE &amp; INFORMATION TECH</t>
  </si>
  <si>
    <t>KUALA LUMPUR</t>
  </si>
  <si>
    <t>UNIV MALAYA, FAC COMPUTER SCIENCE &amp; INFORMATION TECH, KUALA LUMPUR, 50603, MALAYSIA</t>
  </si>
  <si>
    <t>0127-9084</t>
  </si>
  <si>
    <t>MALAYS J COMPUT SCI</t>
  </si>
  <si>
    <t>Malayas. J. Comput. Sci.</t>
  </si>
  <si>
    <t>10.22452/mjcs.vol35no3.2</t>
  </si>
  <si>
    <t>3P0KB</t>
  </si>
  <si>
    <t>WOS:000837224500002</t>
  </si>
  <si>
    <t>Allen, SM; Chorley, MJ; Colombo, GB; Whitaker, RM</t>
  </si>
  <si>
    <t>Allen, S. M.; Chorley, M. J.; Colombo, G. B.; Whitaker, R. M.</t>
  </si>
  <si>
    <t>Opportunistic social dissemination of micro-blogs</t>
  </si>
  <si>
    <t>AD HOC NETWORKS</t>
  </si>
  <si>
    <t>Social networking; Opportunistic; Mobile; Data dissemination; Micro-blogs</t>
  </si>
  <si>
    <t>Through web sites such as Twitter, micro-blogging has shown a remarkable growth, demonstrating the human desire to share and consume information and knowledge. At the same time, the capabilities of mobile devices such as smart phones has considerably increased, opening up new ways to communicate and share content. In particular it is becoming feasible that mobile devices can directly share content such as micro-blogs without Internet infrastructure. This offers advantages in terms of scalability, and for micro-blogs in particular, it offers the potential to provide content relevant to the end user without explicit subscriptions. To facilitate this, we propose a totally decentralised push-based scheme for intelligent micro-blogging from mobile devices based on opportunistic networking. This is achieved through mobile devices building interest profiles relevant to communities induced by frequent social interactions. These interest profiles allow the devices to prioritise forwarding the micro-blog payloads that maximise the utility received by others. Detailed simulation studies determine the parameters that affect system performance and demonstrate that the proposed scheme outperforms basic dissemination strategies in terms of the relevance of the received information. (C) 2011 Elsevier B.V. All rights reserved.</t>
  </si>
  <si>
    <t>[Allen, S. M.; Chorley, M. J.; Colombo, G. B.; Whitaker, R. M.] Cardiff Univ, Sch Comp Sci &amp; Informat, Cardiff, S Glam, Wales</t>
  </si>
  <si>
    <t>Cardiff University</t>
  </si>
  <si>
    <t>Chorley, MJ (corresponding author), Cardiff Univ, Sch Comp Sci &amp; Informat, Cardiff, S Glam, Wales.</t>
  </si>
  <si>
    <t>stuart.m.allen@cs.cardiff.ac.uk; m.j.chorley@cs.cardiff.ac.uk; g.colombo@cs.cardiff.ac.uk; r.m.whitaker@cs.cardiff.ac.uk</t>
  </si>
  <si>
    <t>Allen, Stuart/F-2836-2010; Chorley, Martin James/F-2971-2010</t>
  </si>
  <si>
    <t>Allen, Stuart/0000-0003-1776-7489; Chorley, Martin James/0000-0001-8744-260X</t>
  </si>
  <si>
    <t>SOCIALNETS, an EC-FP7 Future Emerging Technologies project concerning pervasive adaptation [217141]</t>
  </si>
  <si>
    <t>SOCIALNETS, an EC-FP7 Future Emerging Technologies project concerning pervasive adaptation</t>
  </si>
  <si>
    <t>This research was funded by SOCIALNETS Grant 217141, an EC-FP7 Future Emerging Technologies project concerning pervasive adaptation.</t>
  </si>
  <si>
    <t>1570-8705</t>
  </si>
  <si>
    <t>1570-8713</t>
  </si>
  <si>
    <t>AD HOC NETW</t>
  </si>
  <si>
    <t>Ad Hoc Netw.</t>
  </si>
  <si>
    <t>10.1016/j.adhoc.2011.04.012</t>
  </si>
  <si>
    <t>004MJ</t>
  </si>
  <si>
    <t>WOS:000308685500006</t>
  </si>
  <si>
    <t>Alhayan, F; Pennington, D; Ayouni, S</t>
  </si>
  <si>
    <t>Alhayan, Fatimah; Pennington, Diane; Ayouni, Sarra</t>
  </si>
  <si>
    <t>Twitter use by the dementia community during COVID-19: a user classification and social network analysis</t>
  </si>
  <si>
    <t>ONLINE INFORMATION REVIEW</t>
  </si>
  <si>
    <t>Twitter; User profiling; Social network analysis; Bot; Dementia; COVID-19</t>
  </si>
  <si>
    <t>ALZHEIMERS; MEDIA</t>
  </si>
  <si>
    <t>Purpose - The study aimed to examine how different communities concerned with dementia engage and interact on Twitter. Design/methodology/approach - A dataset was sampled from 8,400 user profile descriptions, which was labelled into five categories and subjected to multiple machine learning (ML) classification experiments based on text features to classify user categories. Social network analysis (SNA) was used to identify influential communities via graph-based metrics on user categories. The relationship between bot score and network metrics in these groups was also explored. Findings - Classification accuracy values were achieved at 82% using support vector machine (SVM). The SNA revealed influential behaviour on both the category and node levels. About 2.19% suspected social bots contributed to the coronavirus disease 2019 (COVID-19) dementia discussions in different communities. Originality/value - The study is a unique attempt to apply SNA to examine the most influential groups of Twitter users in the dementia community. The findings also highlight the capability of ML methods for efficient multi-category classification in a crisis, considering the fast-paced generation of data.</t>
  </si>
  <si>
    <t>[Alhayan, Fatimah; Pennington, Diane] Univ Strathclyde, Dept Comp &amp; Informat Sci, Glasgow, Lanark, Scotland; [Alhayan, Fatimah; Ayouni, Sarra] Princess Nourah bint Abdulrahman Univ, Coll Comp &amp; Informat Sci, Dept Informat Syst, Riyadh, Saudi Arabia</t>
  </si>
  <si>
    <t>University of Strathclyde; Princess Nourah bint Abdulrahman University</t>
  </si>
  <si>
    <t>Alhayan, F (corresponding author), Univ Strathclyde, Dept Comp &amp; Informat Sci, Glasgow, Lanark, Scotland.;Alhayan, F (corresponding author), Princess Nourah bint Abdulrahman Univ, Coll Comp &amp; Informat Sci, Dept Informat Syst, Riyadh, Saudi Arabia.</t>
  </si>
  <si>
    <t>fatimah.alhayan@strath.ac.uk; diane.pennington@strath.ac.uk; saayouni@pnu.edu.sa</t>
  </si>
  <si>
    <t>Alhayan, Fatimah/JTV-6273-2023; Rasmussen, Diane/P-7385-2018; Ayouni, Sarra/CAH-4562-2022</t>
  </si>
  <si>
    <t>Alhayan, Fatimah/0000-0003-1982-4117; Rasmussen, Diane/0000-0003-1275-7054; Ayouni, Sarra/0000-0001-5662-6238</t>
  </si>
  <si>
    <t>1468-4527</t>
  </si>
  <si>
    <t>1468-4535</t>
  </si>
  <si>
    <t>ONLINE INFORM REV</t>
  </si>
  <si>
    <t>Online Inf. Rev.</t>
  </si>
  <si>
    <t>JAN 18</t>
  </si>
  <si>
    <t>10.1108/OIR-04-2021-0208</t>
  </si>
  <si>
    <t>APR 2022</t>
  </si>
  <si>
    <t>8B7BD</t>
  </si>
  <si>
    <t>WOS:000783598400001</t>
  </si>
  <si>
    <t>Xu, XD; Przystupa, K; Kochan, O</t>
  </si>
  <si>
    <t>Xu, Xiangdong; Przystupa, Krzysztof; Kochan, Orest</t>
  </si>
  <si>
    <t>Social Recommendation Algorithm Based on Self-Supervised Hypergraph Attention</t>
  </si>
  <si>
    <t>social recommendation; hypergraph; attention mechanism; mutual information</t>
  </si>
  <si>
    <t>Social network information has been widely applied to traditional recommendations that have received significant attention in recent years. Most existing social recommendation models tend to use pairwise relationships to explore potential user preferences, but overlook the complexity of real-life interactions between users and the fact that user relationships may be higher order. These approaches also ignore the dynamic nature of friend influence, which leads the models to treat different friend influences equally in different ways. To address this, we propose a social recommendation algorithm that incorporates graph embedding and higher-order mutual information maximization based on the consideration of social consistency. Specifically, we use the graph attention model to build higher-order information among users for deeper mining of their behavioral patterns on the one hand; while on the other hand, it models user embedding based on the principle of social consistency to finally achieve finer-grained inference of user interests. In addition, to alleviate the problem of losing its own hierarchical information after fusing different levels of hypergraphs, we use self-supervised learning to construct auxiliary branches that fully enhance the rich information in the hypergraph. Experimental results conducted on two publicly available datasets show that the proposed model outperforms state-of-the-art methods.</t>
  </si>
  <si>
    <t>[Xu, Xiangdong] China Mobile Grp Zhejiang Co Ltd, Shaoxing Branch, Shaoxing 312000, Peoples R China; [Przystupa, Krzysztof] Lublin Univ Technol, Dept Automat, Nadbystrzycka 36, PL-20618 Lublin, Poland; [Kochan, Orest] Hubei Univ Technol, Sch Comp Sci, Wuhan 430068, Peoples R China</t>
  </si>
  <si>
    <t>China Mobile; Lublin University of Technology; Hubei University of Technology</t>
  </si>
  <si>
    <t>Przystupa, K (corresponding author), Lublin Univ Technol, Dept Automat, Nadbystrzycka 36, PL-20618 Lublin, Poland.</t>
  </si>
  <si>
    <t>k.przystupa@pollub.pl</t>
  </si>
  <si>
    <t>Kochan, Orest/I-9885-2018; Przystupa, Krzysztof/V-8850-2018</t>
  </si>
  <si>
    <t>Kochan, Orest/0000-0002-3164-3821; Przystupa, Krzysztof/0000-0003-4361-2763</t>
  </si>
  <si>
    <t>10.3390/electronics12040906</t>
  </si>
  <si>
    <t>9I1XA</t>
  </si>
  <si>
    <t>WOS:000939310500001</t>
  </si>
  <si>
    <t>Bursa, O; Can, Ö; Ünalir, MO</t>
  </si>
  <si>
    <t>Bai, X; Belli, F; Bertino, E; Chang, CK; Elci, A; Seceleanu, C; Xie, H; Zulkernine, M</t>
  </si>
  <si>
    <t>Bursa, Okan; Can, Ozgu; Unalir, Murat Osman</t>
  </si>
  <si>
    <t>User Profiling for Policy Management in Social Communities</t>
  </si>
  <si>
    <t>2012 IEEE 36TH ANNUAL COMPUTER SOFTWARE AND APPLICATIONS CONFERENCE (COMPSAC)</t>
  </si>
  <si>
    <t>Proceedings International Computer Software &amp; Applications Conference</t>
  </si>
  <si>
    <t>36th Annual IEEE International Computer Software and Applications Conference (COMPSAC)</t>
  </si>
  <si>
    <t>JUL 16-20, 2012</t>
  </si>
  <si>
    <t>Izmir Inst Technol (IZTECH), Izmir, TURKEY</t>
  </si>
  <si>
    <t>IEEE,IEEE Comp Soc,Iowa State Univ Sci &amp; Technol</t>
  </si>
  <si>
    <t>Izmir Inst Technol (IZTECH)</t>
  </si>
  <si>
    <t>User Profiling; Personalization; Access Control; Policy Management; Semantic Web</t>
  </si>
  <si>
    <t>User profiles are personal images of social community users. Users store and share their documents and express themselves with their personal information. In social community, user may also need to describe herself with more than one image and more than one user profile. Today's user profiling methodologies do not support such multi-role based profile management. We develop a new profiling methodology to create user profiles and a profile based policy management model to use personal profiles with policies for better personalization and better social networking control. We present a framework to store and use social community policies based on personal profiles to increase the efficiency of user policy management.</t>
  </si>
  <si>
    <t>[Bursa, Okan; Can, Ozgu; Unalir, Murat Osman] Ege Univ, Dept Comp Engn, TR-35100 Bornova, Turkey</t>
  </si>
  <si>
    <t>Ege University</t>
  </si>
  <si>
    <t>Bursa, O (corresponding author), Ege Univ, Dept Comp Engn, TR-35100 Bornova, Turkey.</t>
  </si>
  <si>
    <t>okan.bursa@ege.edu.tr; ozgu.can@ege.edu.tr; murat.osman.unalir@ege.edu.tr</t>
  </si>
  <si>
    <t>Can, Ozgu/AAE-7433-2019; ÜNALIR, Murat Osman/AAA-5096-2020; /W-3241-2017</t>
  </si>
  <si>
    <t>Can, Ozgu/0000-0002-8064-2905; ÜNALIR, Murat Osman/0000-0003-4531-0566;</t>
  </si>
  <si>
    <t>0730-3157</t>
  </si>
  <si>
    <t>978-0-7695-4736-7</t>
  </si>
  <si>
    <t>P INT COMP SOFTW APP</t>
  </si>
  <si>
    <t>10.1109/COMPSAC.2012.49</t>
  </si>
  <si>
    <t>BDA81</t>
  </si>
  <si>
    <t>WOS:000312376000055</t>
  </si>
  <si>
    <t>Alhozaimi, A; Almishari, M</t>
  </si>
  <si>
    <t>Alhozaimi, Amani; Almishari, Mishari</t>
  </si>
  <si>
    <t>Arabic Twitter Profiling For Arabic-Speaking Users</t>
  </si>
  <si>
    <t>2018 21ST SAUDI COMPUTER SOCIETY NATIONAL COMPUTER CONFERENCE (NCC)</t>
  </si>
  <si>
    <t>21st Saudi-Computer-Society National Computer Conference (NCC)</t>
  </si>
  <si>
    <t>APR 25-26, 2018</t>
  </si>
  <si>
    <t>Riyadh, SAUDI ARABIA</t>
  </si>
  <si>
    <t>Saudi Comp Soc,IEEE Saudi Sect,IEEE</t>
  </si>
  <si>
    <t>Twitter; User Interest Modeling; Arabic Language</t>
  </si>
  <si>
    <t>Twitter - well-established social network - becomes extremely popular worldwide and in the Kingdom of Saudi Arabia. The spread of smart phones and gadgets helps simplify the accessibility to Twitter and thus, increases the popularity overtime. In Twitter, users follow other users whom they are interested in their social contributions tweets. At many occasions, users resort to go over other user's tweets to decide if the user is interesting enough to follow. Clearly, doing this manually does not scale when there are many suggested users to be followed. Thus, it would be very useful if there is a tool that would automatically profile users and extract different characteristics of them. In this paper, we target one sort of Twitter Profiling problem by attempting to extract the interests/topics of the user behind the tweets. Building an automatic interest/topic categorization tool would be helpful for users and companies alike. For users, it makes the decision to follow a user way easier for them as it gives them an easy way to know the topics of the accounts which could be an important factor when following. For companies, it gives them further information about the Twitter users, which could lead to sending relevant targeted ads or marketing related items. We devise a machine-learning based topics-classification technique of Twitter users from merely their tweets. We target tweets that are in the Arabic language with Saudi dialect. Our technique achieves an accuracy of 90%.</t>
  </si>
  <si>
    <t>[Alhozaimi, Amani; Almishari, Mishari] King Saud Univ, Dept Comp Sci, Coll Comp &amp; Informat Sci, Riyadh, Saudi Arabia</t>
  </si>
  <si>
    <t>Alhozaimi, A (corresponding author), King Saud Univ, Dept Comp Sci, Coll Comp &amp; Informat Sci, Riyadh, Saudi Arabia.</t>
  </si>
  <si>
    <t>amani.alhozaimi@gmail.com; mialmishari@ksu.edu.sa</t>
  </si>
  <si>
    <t>978-1-5386-4110-1</t>
  </si>
  <si>
    <t>BL9ZY</t>
  </si>
  <si>
    <t>WOS:000458534800051</t>
  </si>
  <si>
    <t>Chen, ZH; Zhu, FD; Guo, GM; Liu, HY</t>
  </si>
  <si>
    <t>Aiello, LM; McFarland, D</t>
  </si>
  <si>
    <t>Chen, Zhuohua; Zhu, Feida; Guo, Guangming; Liu, Hongyan</t>
  </si>
  <si>
    <t>User Profiling via Affinity-Aware Friendship Network</t>
  </si>
  <si>
    <t>SOCIAL INFORMATICS, SOCINFO 2014</t>
  </si>
  <si>
    <t>6th International Conference on Social Informatics (SocInfo)</t>
  </si>
  <si>
    <t>NOV 11-13, 2014</t>
  </si>
  <si>
    <t>Microsoft Res,Facebook,Yahoo Labs,Stanford, Ctr Computat Soc Sci,Barcelona Media,SocialSensor,IEEE Special Tech Community Social Networking</t>
  </si>
  <si>
    <t>The boom of online social platforms of all kinds has triggered tremendous research interest in using social network data for user profiling, which refers to deriving labels for users that characterize their various aspects. Among different kinds of user profiling approaches, one line of work has taken advantage of the high level of label similarity that is often observed among users in one's friendship network. In this work, we identify one critical point that has been so far neglected different users in one's friendship network play different roles in user profiling. In particular, we categorize all users in one's friendship network into (I) close friends whom the user knows in real life and (II) online friends with whom the user forms connection through online interaction. We propose an algorithm that is affinity-aware in inferring users' labels through network propagation. Our divide-and-conquer framework makes the proposed method scalable to large social network data. The experiment results in three real-world datasets demonstrate the superiority of our algorithm over baselines and support our argument for affinity-awareness in label profiling.</t>
  </si>
  <si>
    <t>[Chen, Zhuohua; Liu, Hongyan] Tsinghua Univ, Beijing 100084, Peoples R China; [Zhu, Feida] Singapore Management Univ, Singapore 178902, Singapore; [Guo, Guangming] Univ Sci &amp; Technol China, Hefei 230026, Peoples R China</t>
  </si>
  <si>
    <t>Tsinghua University; Singapore Management University; Chinese Academy of Sciences; University of Science &amp; Technology of China, CAS</t>
  </si>
  <si>
    <t>Chen, ZH (corresponding author), Tsinghua Univ, Beijing 100084, Peoples R China.</t>
  </si>
  <si>
    <t>chenzhh3.12@sem.tsinghua.edu.cn; fdzhu@smu.edu.sg; guogg@mail.ustc.edu.cn; hyliu@tsinghua.edu.cn</t>
  </si>
  <si>
    <t>Liu, Hongyan/NJS-7426-2025; Zhu, Feida/E-8579-2012</t>
  </si>
  <si>
    <t>Zhu, Feida/0000-0001-6077-4356</t>
  </si>
  <si>
    <t>978-3-319-13734-6; 978-3-319-13733-9</t>
  </si>
  <si>
    <t>BC7DH</t>
  </si>
  <si>
    <t>WOS:000354775400011</t>
  </si>
  <si>
    <t>Zhou, YD; Ding, ZH; Liu, XM; Shen, C; Tong, LL; Guan, XH</t>
  </si>
  <si>
    <t>Zhou, Yadong; Ding, Zhihao; Liu, Xiaoming; Shen, Chao; Tong, Lingling; Guan, Xiaohong</t>
  </si>
  <si>
    <t>Infer-AVAE: An attribute inference model based on adversarial variational autoencoder</t>
  </si>
  <si>
    <t>Social network; Attribute inference; Graph neural network; Variational autoencoder; Adversarial training; Mutual information</t>
  </si>
  <si>
    <t>User attributes, such as gender and education, face severe incompleteness in social networks. Attribute inference aims to infer users' missing attribute labels based on observed data to make this valuable data usable for downstream tasks like user profiling and personalized recommendation. Recently, variational autoencoder (VAE), an end-to-end deep generative model, has shown promising performance by handling the problem in a semi-supervised way. However, VAEs can easily suffer from over-fitting and over-smoothing when applied to attribute inference. Specifically, VAE implemented with multi-layer perceptron (MLP) can only reconstruct input data but fail to infer missing parts. While using the trending graph neural networks (GNNs) as encoder has the problem that GNNs aggregate redundant information from the neighborhood and generate indistinguishable user representations, known as over-smoothing. In this paper, we propose an attribute Inference model based on Adversarial VAE (Infer-AVAE) to cope with these issues. Specifically, to overcome over-smoothing, Infer-AVAE unifies MLP and GNNs in the encoder to learn positive and negative latent representations respectively. Meanwhile, an adversarial network is trained to distinguish the two representations, and GNNs are trained to aggregate less noise for more robust representations through adversarial training. Finally, to relieve over-fitting, mutual information constraint is introduced as a regularizer for the decoder to make better use of auxiliary information in representations and generate outputs not limited by observations. We evaluate our model on four real world social network datasets, and experimental results demonstrate that our model averagely outperforms baselines by 7.0% in accuracy. (c) 2022 Elsevier B.V. All rights reserved.</t>
  </si>
  <si>
    <t>[Zhou, Yadong; Ding, Zhihao; Liu, Xiaoming; Shen, Chao; Guan, Xiaohong] Xi An Jiao Tong Univ, Fac Elect &amp; Informat Engn, MOE KLINNS Lab, Xian 710049, Shaanxi, Peoples R China; [Tong, Lingling] Natl Comp Network Emergency Response Tech Team, Beijing, Peoples R China; [Guan, Xiaohong] Tsinghua Univ, Ctr Intelligent &amp; Networked Syst, Beijing 100084, Peoples R China; [Guan, Xiaohong] Tsinghua Univ, TNLIST Lab, Beijing 100084, Peoples R China</t>
  </si>
  <si>
    <t>Xi'an Jiaotong University; Tsinghua University; Tsinghua University</t>
  </si>
  <si>
    <t>Liu, XM (corresponding author), Xi An Jiao Tong Univ, Fac Elect &amp; Informat Engn, MOE KLINNS Lab, Xian 710049, Shaanxi, Peoples R China.</t>
  </si>
  <si>
    <t>ydzhou@xjtu.edu.cn; tommydzh@stu.xjtu.edu.cn; xm.liu@xjtu.edu.cn; chaoshen@xjtu.edu.cn; tongling300@sina.com; xhguan@xjtu.edu.cn</t>
  </si>
  <si>
    <t>Guan, Xiaohong/K-4206-2012; Liu, Xiaoming/AEM-9347-2022; Zhou, Yadong/K-4890-2013</t>
  </si>
  <si>
    <t>Liu, Xiaoming/0000-0002-1334-529X;</t>
  </si>
  <si>
    <t>National Key Research and Development Program of China [2018YFB0803501]; National Natural Science Foundation [U1736205, 61833015, U1766215, U1936110, 61902308, 62103323]; Fundamental Research Funds for the Central Universities [xzy012019036, xhj032021013, xxj022019016]; China Postdoctoral Science Foundation [2019M663723, 2021M692565]; China Initiative Postdocs Supporting Program [BX20190275, BX20200270]</t>
  </si>
  <si>
    <t>National Key Research and Development Program of China(National Key Research &amp; Development Program of China); National Natural Science Foundation(National Natural Science Foundation of China (NSFC)); Fundamental Research Funds for the Central Universities(Fundamental Research Funds for the Central Universities); China Postdoctoral Science Foundation(China Postdoctoral Science Foundation); China Initiative Postdocs Supporting Program</t>
  </si>
  <si>
    <t>The research presented in this paper is supported in part by the National Key Research and Development Program of China (2018YFB0803501), the National Natural Science Foundation (U1736205, 61833015, U1766215, U1936110, 61902308, 62103323), the Fundamental Research Funds for the Central Universities (xzy012019036, xhj032021013, xxj022019016), China Initiative Postdocs Supporting Program (BX20190275, BX20200270), and China Postdoctoral Science Foundation (2019M663723, 2021M692565).</t>
  </si>
  <si>
    <t>APR 28</t>
  </si>
  <si>
    <t>10.1016/j.neucom.2022.02.006</t>
  </si>
  <si>
    <t>ZI6HH</t>
  </si>
  <si>
    <t>WOS:000761719500009</t>
  </si>
  <si>
    <t>Heilman, M; Juffs, A; Eskenazi, M</t>
  </si>
  <si>
    <t>Luckin, R; Koedinger, KR; Greer, J</t>
  </si>
  <si>
    <t>Heilman, Michael; Juffs, Alan; Eskenazi, Maxine</t>
  </si>
  <si>
    <t>Choosing Reading Passages for Vocabulary Learning by Topic to Increase Intrinsic Motivation</t>
  </si>
  <si>
    <t>ARTIFICIAL INTELLIGENCE IN EDUCATION: BUILDING TECHNOLOGY RICH LEARNING CONTEXTS THAT WORK</t>
  </si>
  <si>
    <t>Frontiers in Artificial Intelligence and Applications</t>
  </si>
  <si>
    <t>13th International Conference on Artificial Intelligence in Education (AIED 2007)</t>
  </si>
  <si>
    <t>JUL 09-13, 2007</t>
  </si>
  <si>
    <t>Int Artificial Intelligence Educ Soc,Univ So Calif, Informat Sci Inst</t>
  </si>
  <si>
    <t>Intrinsic motivation has been shown in previous research to lead to better learning. In order to increase intrinsic motivation, REAP, a tutoring system for ESL vocabulary was enhanced to prefer practice readings that match personal interests. In a randomized experiment, students receiving personalized readings indicated higher levels of interest in post-reading questionnaires. Additionally, overall post-test scores were higher (but not significantly) for students with interest-matched practice readings than for students using a previous version of REAP that did not match topics to student interests.</t>
  </si>
  <si>
    <t>[Heilman, Michael; Eskenazi, Maxine] Carnegie Mellon Univ, Language Technol Inst, Pittsburgh, PA 15221 USA; [Juffs, Alan] Univ Pittsburgh, Dept Linguist, Pittsburgh, PA 15260 USA</t>
  </si>
  <si>
    <t>Carnegie Mellon University; Pennsylvania Commonwealth System of Higher Education (PCSHE); University of Pittsburgh</t>
  </si>
  <si>
    <t>Heilman, M (corresponding author), Carnegie Mellon Univ, Language Technol Inst, Pittsburgh, PA 15221 USA.</t>
  </si>
  <si>
    <t>Juffs, Alan/AAB-9979-2019</t>
  </si>
  <si>
    <t>NSF [IIS-0096139]</t>
  </si>
  <si>
    <t>The authors would like to acknowledge Kevyn Collins Thompson, Jamie Callan, and Lois Wilson for their work on the REAP project. Thanks also go to the anonymous reviewers. This material is based on work supported by NSF grant IIS-0096139. Any opinions, findings, conclusions or recommendations expressed in this material are the authors', and do not necessarily reflect those of the sponsor.</t>
  </si>
  <si>
    <t>0922-6389</t>
  </si>
  <si>
    <t>978-1-58603-764-2</t>
  </si>
  <si>
    <t>FRONT ARTIF INTEL AP</t>
  </si>
  <si>
    <t>BMF90</t>
  </si>
  <si>
    <t>WOS:000272219300076</t>
  </si>
  <si>
    <t>Bardi, S; Conti, M; Pajola, L; Tricomi, PP</t>
  </si>
  <si>
    <t>Wang, X; Tibouchi, M</t>
  </si>
  <si>
    <t>Bardi, Sara; Conti, Mauro; Pajola, Luca; Tricomi, Pier Paolo</t>
  </si>
  <si>
    <t>Social Honeypot for Humans: Luring People Through Self-managed Instagram Pages</t>
  </si>
  <si>
    <t>APPLIED CRYPTOGRAPHY AND NETWORK SECURITY, PT I, ACNS 2023</t>
  </si>
  <si>
    <t>21st International Conference on Applied Cryptography and Network Security (ACNS)</t>
  </si>
  <si>
    <t>JUN 19-22, 2023</t>
  </si>
  <si>
    <t>Kyoto, JAPAN</t>
  </si>
  <si>
    <t>Social Networks; Social Honeypots; Instagram; User Profiling; Artificial Intelligence; Privacy</t>
  </si>
  <si>
    <t>Social Honeypots are tools deployed in Online Social Networks (OSN) to attract malevolent activities performed by spammers and bots. To this end, their content is designed to be of maximum interest to malicious users. However, by choosing an appropriate content topic, this attractive mechanism could be extended to any OSN users, rather than only luring malicious actors. As a result, honeypots can be used to attract individuals interested in a wide range of topics, from sports and hobbies to more sensitive subjects like political views and conspiracies. With all these individuals gathered in one place, honeypot owners can conduct many analyses, from social to marketing studies. In this work, we introduce a novel concept of social honeypot for attracting OSN users interested in a generic target topic. We propose a framework based on fully-automated content generation strategies and engagement plans to mimic legit Instagram pages. To validate our framework, we created 21 self-managed social honeypots (i.e., pages) on Instagram, covering three topics, four content generation strategies, and three engaging plans. In nine weeks, our honeypots gathered a total of 753 followers, 5387 comments, and 15739 likes. These results demonstrate the validity of our approach, and through statistical analysis, we examine the characteristics of effective social honeypots.</t>
  </si>
  <si>
    <t>[Bardi, Sara; Conti, Mauro; Pajola, Luca; Tricomi, Pier Paolo] Univ Padua, Padua, Italy; [Conti, Mauro; Tricomi, Pier Paolo] Chisito Srl, Padua, Italy</t>
  </si>
  <si>
    <t>University of Padua</t>
  </si>
  <si>
    <t>Tricomi, PP (corresponding author), Univ Padua, Padua, Italy.;Tricomi, PP (corresponding author), Chisito Srl, Padua, Italy.</t>
  </si>
  <si>
    <t>sara.bardi@studenti.unipd.it; conti@math.unipd.it; pajola@math.unipd.it; tricomi@math.unipd.it</t>
  </si>
  <si>
    <t>Conti, Mauro/F-9145-2012; Tricomi, Pier Paolo/GQH-0226-2022</t>
  </si>
  <si>
    <t>Conti, Mauro/0000-0002-3612-1934;</t>
  </si>
  <si>
    <t>978-3-031-33487-0; 978-3-031-33488-7</t>
  </si>
  <si>
    <t>10.1007/978-3-031-33488-7_12</t>
  </si>
  <si>
    <t>Computer Science, Artificial Intelligence; Computer Science, Theory &amp; Methods; Mathematics, Applied; Telecommunications</t>
  </si>
  <si>
    <t>BX4XW</t>
  </si>
  <si>
    <t>WOS:001296008200012</t>
  </si>
  <si>
    <t>Goel, S; Kumar, R</t>
  </si>
  <si>
    <t>Goel, Shubham; Kumar, Ravinder</t>
  </si>
  <si>
    <t>Folksonomy-based user profile enrichment using clustering and community recommended tags in multiple levels</t>
  </si>
  <si>
    <t>User profiling; Folksonomy; Collaborative tagging; Information retrieval; Personalization; Social media</t>
  </si>
  <si>
    <t>PERSONALIZING WEB SEARCH; SOCIAL BOOKMARKING; RESOURCE PROFILES</t>
  </si>
  <si>
    <t>Folksonomy (aka Collaborative tagging) systems provide a platform to the users where they can annotate a web resource by using any tag of interest. It is a first-hand information directly given by user without any middleman modification, therefore, it is more reliable than any other means. This paper proposes a novel methodology to construct a strong User Interest Profile (UIP) by exploiting user's own activities and other activities occurring in user's social network. UIP will provide a complete list of user preferences along with his level of interest in that preference. The proposed methodology is different from other strategies used for UIP enrichment as user's own tags are not enough to construct a strong UIP. In the current research work, two strategies have been employed for the enrichment of UIP. First one is clustering of tags based on the concept of semantic relatedness between two tags in the real world. This has been measured using Word2vec model. The second one is the utilization of user's real friendship network. It is believed that the present work is the first one to integrate the concept of semantic relatedness for tag clustering. The performance of proposed methodology has been evaluated on the basis of evaluation metrics i.e. MRR, imp, completeness and P@k using a dataset of del.icio.us. To analyse the impact of parameters, similarity measure and number of clusters in cluster set, on the performance of UIP constructed by proposed methodology extensive experiments are performed. The results reveal that the proposed methodology outperforms all the state of the art methodologies in terms of accurate and efficient UIP construction for every value of the parameters under consideration. (c) 2018 Elsevier B.V. All rights reserved.</t>
  </si>
  <si>
    <t>[Goel, Shubham; Kumar, Ravinder] Thapar Inst Engn Technol, Comp Sci &amp; Engn Dept, Patiala 147004, Punjab, India</t>
  </si>
  <si>
    <t>Thapar Institute of Engineering &amp; Technology</t>
  </si>
  <si>
    <t>Kumar, R (corresponding author), Thapar Inst Engn Technol, Comp Sci &amp; Engn Dept, Patiala 147004, Punjab, India.</t>
  </si>
  <si>
    <t>ravinder@thapar.edu</t>
  </si>
  <si>
    <t>Goel, Shubham/JDC-3941-2023; Kumar, Ravinder/JLL-7567-2023</t>
  </si>
  <si>
    <t>Goel, Shubham/0000-0002-9039-0879; Kumar, Ravinder/0000-0002-0271-2373</t>
  </si>
  <si>
    <t>NOV 13</t>
  </si>
  <si>
    <t>10.1016/j.neucom.2018.07.035</t>
  </si>
  <si>
    <t>GV2PW</t>
  </si>
  <si>
    <t>WOS:000445934400039</t>
  </si>
  <si>
    <t>Tang, J; Yao, LM; Zhang, D; Zhang, J</t>
  </si>
  <si>
    <t>Tang, Jie; Yao, Limin; Zhang, Duo; Zhang, Jing</t>
  </si>
  <si>
    <t>A Combination Approach to Web User Profiling</t>
  </si>
  <si>
    <t>ACM TRANSACTIONS ON KNOWLEDGE DISCOVERY FROM DATA</t>
  </si>
  <si>
    <t>User profiling; information extraction; name disambiguation; topic modeling; social network; text mining</t>
  </si>
  <si>
    <t>EXTRACTION</t>
  </si>
  <si>
    <t>In this article, we study the problem of Web user profiling, which is aimed at finding, extracting, and fusing the semantic-based user profile from the Web. Previously, Web user profiling was often undertaken by creating a list of keywords for the user, which is (sometimes even highly) insufficient for main applications. This article formalizes the profiling problem as several subtasks: profile extraction, profile integration, and user interest discovery. We propose a combination approach to deal with the profiling tasks. Specifically, we employ a classification model to identify relevant documents for a user from the Web and propose a Tree-Structured Conditional Random Fields (TCRF) to extract the profile information from the identified documents; we propose a unified probabilistic model to deal with the name ambiguity problem (several users with the same name) when integrating the profile information extracted from different sources; finally, we use a probabilistic topic model to model the extracted user profiles, and construct the user interest model. Experimental results on an online system show that the combination approach to different profiling tasks clearly outperforms several baseline methods. The extracted profiles have been applied to expert finding, an important application on the Web. Experiments show that the accuracy of expert finding can be improved (ranging from +6% to +26% in terms of MAP) by taking advantage of the profiles.</t>
  </si>
  <si>
    <t>[Tang, Jie; Zhang, Jing] Tsinghua Univ, Beijing 100084, Peoples R China; [Yao, Limin] Univ Massachusetts, Dept Comp Sci, Amherst, MA 01003 USA; [Zhang, Duo] Univ Illinois, Siebel Ctr Comp Sci 1125, Urbana, IL 61801 USA</t>
  </si>
  <si>
    <t>Tsinghua University; University of Massachusetts System; University of Massachusetts Amherst; University of Illinois System; University of Illinois Urbana-Champaign</t>
  </si>
  <si>
    <t>Tang, J (corresponding author), Tsinghua Univ, Room 1-308,FIT Bldg, Beijing 100084, Peoples R China.</t>
  </si>
  <si>
    <t>jietang@tsinghua.edu.cn; lmyao@cs.umass.edu; dzhang22@illinois.edu; zhangjing@keg.cs.tsinghua.edu.cn</t>
  </si>
  <si>
    <t>Natural Science Foundation of China [60703059, 60973102]; Chinese National Key Foundation Research [60933013]; National High-Tech RD Program [2009AA01Z138]; Chinese Young Faculty [20070003093]</t>
  </si>
  <si>
    <t>Natural Science Foundation of China(National Natural Science Foundation of China (NSFC)); Chinese National Key Foundation Research(National Basic Research Program of China); National High-Tech RD Program(National High Technology Research and Development Program of China); Chinese Young Faculty</t>
  </si>
  <si>
    <t>This work is supported by the Natural Science Foundation of China (No. 60703059, No. 60973102), Chinese National Key Foundation Research (No. 60933013), National High-Tech R&amp;D Program (No. 2009AA01Z138), and Chinese Young Faculty Research Fund (No. 20070003093).</t>
  </si>
  <si>
    <t>1556-4681</t>
  </si>
  <si>
    <t>1556-472X</t>
  </si>
  <si>
    <t>ACM T KNOWL DISCOV D</t>
  </si>
  <si>
    <t>ACM Trans. Knowl. Discov. Data</t>
  </si>
  <si>
    <t>10.1145/1870096.1870098</t>
  </si>
  <si>
    <t>V20WP</t>
  </si>
  <si>
    <t>WOS:000208170400002</t>
  </si>
  <si>
    <t>Zhou, X; Zhao, ZX; Guo, HZ</t>
  </si>
  <si>
    <t>Zhou, Xiao; Zhao, Zhongxiang; Guo, Hanze</t>
  </si>
  <si>
    <t>Tricolore: Multi-Behavior User Profiling for Enhanced Candidate Generation in Recommender Systems</t>
  </si>
  <si>
    <t>Recommender systems; Training; User preference; Electronic commerce; Social networking (online); Accuracy; Predictive models; Optimization; Multitasking; Message services; Multi-behavior recommendation; candidate generation; user modeling; learning to rank; deep learning</t>
  </si>
  <si>
    <t>Online platforms aggregate extensive user feedback across diverse behaviors, providing a rich source for enhancing user engagement. Traditional recommender systems, however, typically optimize for a single target behavior and represent user preferences with a single vector, limiting their ability to handle multiple important behaviors or optimization objectives. This conventional approach also struggles to capture the full spectrum of user interests, resulting in a narrow item pool during candidate generation. To address these limitations, we present Tricolore, a versatile multi-vector learning framework that uncovers connections between different behavior types for more robust candidate generation. Tricolore's adaptive multi-task structure is also customizable to specific platform needs. To manage the variability in sparsity across behavior types, we incorporate a behavior-wise multi-view fusion module that dynamically enhances learning. Moreover, a popularity-balanced strategy ensures the recommendation list balances accuracy with item popularity, fostering diversity and improving overall performance. Extensive experiments on public datasets demonstrate Tricolore's effectiveness across various recommendation scenarios, from short video platforms to e-commerce. By leveraging a shared base embedding strategy, Tricolore also significantly improves the performance for cold-start users.</t>
  </si>
  <si>
    <t>[Zhou, Xiao; Guo, Hanze] Renmin Univ China, Gaoling Sch Artificial Intelligence, Beijing 100872, Peoples R China; [Zhao, Zhongxiang] Tencent Inc, WeChat Business Grp, Beijing 100080, Peoples R China</t>
  </si>
  <si>
    <t>Renmin University of China; Tencent</t>
  </si>
  <si>
    <t>Zhou, X (corresponding author), Renmin Univ China, Gaoling Sch Artificial Intelligence, Beijing 100872, Peoples R China.</t>
  </si>
  <si>
    <t>xiaozhou@ruc.edu.cn; abnerzxzhao@tencent.com; ghz@ruc.edu.cn</t>
  </si>
  <si>
    <t>Guo, hanze/HNQ-3277-2023</t>
  </si>
  <si>
    <t>10.1109/TKDE.2025.3558503</t>
  </si>
  <si>
    <t>3MX2T</t>
  </si>
  <si>
    <t>WOS:001504151700015</t>
  </si>
  <si>
    <t>Agreste, S; De Meo, P; Ferrara, E; Piccolo, S; Provetti, A</t>
  </si>
  <si>
    <t>Agreste, Santa; De Meo, Pasquale; Ferrara, Emilio; Piccolo, Sebastiano; Provetti, Alessandro</t>
  </si>
  <si>
    <t>Analysis of a Heterogeneous Social Network of Humans and Cultural Objects</t>
  </si>
  <si>
    <t>IEEE TRANSACTIONS ON SYSTEMS MAN CYBERNETICS-SYSTEMS</t>
  </si>
  <si>
    <t>Heterogeneous; multidimensional social networks; online user behavior; social web</t>
  </si>
  <si>
    <t>Modern online social platforms allow their members to be involved in a broad range of activities including getting friends, joining groups, posting, and commenting resources. In this paper, we investigate whether a correlation emerges across the different activities a user can take part in. For our analysis, we focused on aNobii, a social platform with a world-wide user base of book readers, who post their readings, give ratings, review books, and discuss them with friends and fellow readers. aNobii presents a heterogeneous structure: 1) part social network, with user-to-user interactions; 2) part interest network, with the management of book collections; and 3) part folksonomy, with books that are tagged by the users. We analyzed a complete snapshot of aNobii and we focused on three specific activities a user can perform, namely tagging behavior, tendency to join groups and aptitude to compile a wishlist of the books one is planning to read. For each user, we create a tag-based, a group-based, and a wishlist-based profile. Experimental analysis, which was carried out with information-theory tools like entropy and mutual information, suggests that tag-based and group-based profiles are in general more informative than wishlist-based ones. Furthermore, we discover that the degree of correlation between the three profiles associated with the same user tend to be small. Hence, user profiling cannot be reduced to considering just any one type of user activity (albeit important) but it is crucial to incorporate multiple dimensions to effectively describe users' preferences and behavior.</t>
  </si>
  <si>
    <t>[Agreste, Santa; Piccolo, Sebastiano; Provetti, Alessandro] Univ Messina, Dept Math &amp; Informat, I-98166 Messina, Italy; [De Meo, Pasquale] Univ Messina, Dept Ancient &amp; Modern Civilizat, I-98166 Messina, Italy; [Ferrara, Emilio] Indiana Univ, Ctr Complex Networks &amp; Syst Res, Bloomington, IN 47408 USA</t>
  </si>
  <si>
    <t>University of Messina; University of Messina; Indiana University System; Indiana University Bloomington</t>
  </si>
  <si>
    <t>Ferrara, E (corresponding author), Indiana Univ, Ctr Complex Networks &amp; Syst Res, Bloomington, IN 47408 USA.</t>
  </si>
  <si>
    <t>ferrarae@indiana.edu</t>
  </si>
  <si>
    <t>Provetti, Alessandro/D-4104-2015; Ferrara, Emilio/F-6136-2012; De Meo, Pasquale/AAJ-2579-2020</t>
  </si>
  <si>
    <t>Provetti, Alessandro/0000-0001-9542-4110; Piccolo, Sebastiano/0000-0002-6986-3344; Agreste, Santa/0000-0003-0873-2276; Ferrara, Emilio/0000-0002-1942-2831; De Meo, Pasquale/0000-0001-7421-216X</t>
  </si>
  <si>
    <t>2168-2216</t>
  </si>
  <si>
    <t>2168-2232</t>
  </si>
  <si>
    <t>IEEE T SYST MAN CY-S</t>
  </si>
  <si>
    <t>IEEE Trans. Syst. Man Cybern. -Syst.</t>
  </si>
  <si>
    <t>10.1109/TSMC.2014.2378215</t>
  </si>
  <si>
    <t>Automation &amp; Control Systems; Computer Science, Cybernetics</t>
  </si>
  <si>
    <t>CE1BH</t>
  </si>
  <si>
    <t>WOS:000351545900002</t>
  </si>
  <si>
    <t>Sultana, M; Paul, PP; Gavrilova, M</t>
  </si>
  <si>
    <t>Gavrilova, ML; Tan, CJK; Iglesias, A; Shinya, M; Galvez, A; Sourin, A</t>
  </si>
  <si>
    <t>Sultana, Madeena; Paul, Padma Polash; Gavrilova, Marina</t>
  </si>
  <si>
    <t>Identifying Users from Online Interactions in Twitter</t>
  </si>
  <si>
    <t>TRANSACTIONS ON COMPUTATIONAL SCIENCE XXVI: SPECIAL ISSUE ON CYBERWORLDS AND CYBERSECURITY</t>
  </si>
  <si>
    <t>International Conference on Cyberworlds (CW)</t>
  </si>
  <si>
    <t>OCT 06-08, 2014</t>
  </si>
  <si>
    <t>Santander, SPAIN</t>
  </si>
  <si>
    <t>IEEE Comp Soc,Univ Cantabria, Comp Graph &amp; Geometr Modeling Grp,Toho Univ, Fac Sci, Dept Informat Sci,European Assoc Comp Graph,Int Federat Informat Proc,Workgroup 5 10 Comp Graph &amp; Virtual Worlds,Univ Cantabria, Dept Appl Math &amp; Computatl Sci, Vice Rector Res &amp; Knowledge Transfer,Municipal Santander,Reg Govt Cantabria,Spanish Minist Econ &amp; Competitiveness,Cantabria Campus Int,Int Federat Informat Proc, Tech Comm 5 Informat Technol Applicat</t>
  </si>
  <si>
    <t>Social behavioral biometrics; Online social networks; Cyber security; Person authentication; Biometric recognition; Knowledge discovery; User profiling</t>
  </si>
  <si>
    <t>BEHAVIORAL BIOMETRICS; FUSION</t>
  </si>
  <si>
    <t>In recent years, the mass growth of online social networks has introduced a completely new platform of analyzing human behavior. Human interactions via online social networks leave big trails of behavioral footprints, which have been investigated by many researchers for the purpose of targeted advertising and business. However, analysis of such online interactions is rarely seen for user identification. The main objective of this paper is to analyze individuals' online interactions as biometric information. In this paper, we investigated how online interactions retain behavioral characteristics of users and how consistent they are over time. For this purpose, we proposed a novel method of identifying users from online interactions in Twitter. Identification performance has been evaluated on a database of 50 Twitter users over five different time periods. We obtained very promising results from experimentation, which demonstrate the potential of online interactions in aiding the authentication process of social network users'.</t>
  </si>
  <si>
    <t>[Sultana, Madeena; Paul, Padma Polash; Gavrilova, Marina] Univ Calgary, Dept Comp Sci, 2500 Univ DR NW, Calgary, AB T2N 1N4, Canada</t>
  </si>
  <si>
    <t>University of Calgary</t>
  </si>
  <si>
    <t>Sultana, M (corresponding author), Univ Calgary, Dept Comp Sci, 2500 Univ DR NW, Calgary, AB T2N 1N4, Canada.</t>
  </si>
  <si>
    <t>msdeena@ucalgary.ca; pppaul@ucalgary.ca; mgavrilo@ucalgary.ca</t>
  </si>
  <si>
    <t>Gavrilova, Marina/AHD-3605-2022</t>
  </si>
  <si>
    <t>Gavrilova, Marina/0000-0002-5338-1834</t>
  </si>
  <si>
    <t>978-3-662-49247-5; 978-3-662-49246-8</t>
  </si>
  <si>
    <t>10.1007/978-3-662-49247-5_7</t>
  </si>
  <si>
    <t>Computer Science, Cybernetics; Computer Science, Interdisciplinary Applications; Computer Science, Theory &amp; Methods</t>
  </si>
  <si>
    <t>BE8LJ</t>
  </si>
  <si>
    <t>WOS:000376574600007</t>
  </si>
  <si>
    <t>Vassilakis, C; Antoniou, A; Lepouras, G; Poulopoulos, V; Wallace, M; Bampatzia, S; Bourlakos, I</t>
  </si>
  <si>
    <t>Vassilakis, Costas; Antoniou, Angeliki; Lepouras, George; Poulopoulos, Vassilis; Wallace, Manolis; Bampatzia, Stavroula; Bourlakos, Ioannis</t>
  </si>
  <si>
    <t>Stimulation of reflection and discussion in museum visits through the use of social media</t>
  </si>
  <si>
    <t>Social networks; User profiling; Cognitive style; Reflection; Communication; Big data</t>
  </si>
  <si>
    <t>ARCHITECTURE</t>
  </si>
  <si>
    <t>In this paper, we examine how social media can be linked to cultural heritage and in particular how we can incorporate games, social networks, history reflection and culture. More specifically, we explore the following aspects: (a) how social media sites can be integrated into the museum user experience (b) how user interactions within the social media, both within the context of the museum experience and outside it, can be exploited to enhance the quality of recommendations made to the users, (c) how trending topics from social media can be used to link museum exhibits with today's topics of interest and (d) how multi-level related terms extraction from social media data can lead to proposals for reflections to users. The end goal is to provide increased stimuli for users to study exhibits deeper and reflect on them, as well as to trigger discussion between the users, thus maximizing the impact of a museum visit.</t>
  </si>
  <si>
    <t>[Vassilakis, Costas; Antoniou, Angeliki; Lepouras, George; Bampatzia, Stavroula; Bourlakos, Ioannis] Univ Peloponnese, Dept Informat &amp; Telecommun, Tripoli, Greece; [Poulopoulos, Vassilis; Wallace, Manolis] Univ Peloponnese, FAB LAB Knowledge &amp; Uncertainty Res Lab, Dept Informat &amp; Telecommun, Tripoli, Greece</t>
  </si>
  <si>
    <t>Vassilakis, C (corresponding author), Univ Peloponnese, Dept Informat &amp; Telecommun, Tripoli, Greece.</t>
  </si>
  <si>
    <t>costas@uop.gr</t>
  </si>
  <si>
    <t>Lepouras, Georgios/AAM-3058-2021; Vassilakis, Costas/AAH-5948-2019; Poulopoulos, Vassilis/AAM-7314-2021; Wallace, Manolis/QAY-7063-2026; Antoniou, Angeliki/E-4824-2012</t>
  </si>
  <si>
    <t>Vassilakis, Costas/0000-0001-9940-1821; Poulopoulos, Vassilis/0000-0003-1707-3153; Wallace, Manolis/0000-0002-4629-5946</t>
  </si>
  <si>
    <t>This work has been realized within the project CrossCult: Empowering reuse of digital cultural heritage in context-aware crosscuts of European history, funded by the European Union's Horizon 2020 research and innovation program, Grant#693150.</t>
  </si>
  <si>
    <t>AUG 23</t>
  </si>
  <si>
    <t>10.1007/s13278-017-0460-3</t>
  </si>
  <si>
    <t>FF1KA</t>
  </si>
  <si>
    <t>WOS:000408657200002</t>
  </si>
  <si>
    <t>Ren, FX; Zhang, ZB; Yan, Y; Wang, Z; Su, S; Yu, PS</t>
  </si>
  <si>
    <t>Chen, Y; Ludwig, H; Tu, Y; Fayyad, U; Zhu, X; Hu, X; Byna, S; Liu, X; Zhang, J; Pan, S; Papalexakis, V; Wang, J; Cuzzocrea, A; Ordonez, C</t>
  </si>
  <si>
    <t>Ren, Fuxin; Zhang, Zhongbao; Yan, Yang; Wang, Zhi; Su, Sen; Yu, Philip S.</t>
  </si>
  <si>
    <t>HAMLET: Hierarchical Attention-based Model with muLti-task sElf-Training for user profiling</t>
  </si>
  <si>
    <t>2021 IEEE INTERNATIONAL CONFERENCE ON BIG DATA (BIG DATA)</t>
  </si>
  <si>
    <t>9th IEEE International Conference on Big Data (IEEE BigData)</t>
  </si>
  <si>
    <t>DEC 15-18, 2021</t>
  </si>
  <si>
    <t>IEEE,IEEE Comp Soc,Ankura,Lyve Cloud, Seagate,NSF</t>
  </si>
  <si>
    <t>User profiling; Hierarchical attention; Multi-Task learning</t>
  </si>
  <si>
    <t>User profiling is playing an increasingly important role in real-world applications. Previous works have shown that integrating user information from multiple social networks helps to significantly improve the performance of user profiling. However, these studies either ignore the different contributions of various features in different profiling tasks or need to train one model for each task. What's more, the assumption of the strong relatedness between user profiling tasks limits their application. These phenomena make inferring comprehensive user attributes still an open problem. In this paper, we propose a novel method, called Hierarchical Attention-based Model with sparse-sharing-based muLti-task sElf-Training algorithm (HAMLET), for comprehensive user profiling. More specifically, we first employ a hierarchical attention-based network as our base network to represent users. It assigns various features from different social networks with different weights for different users during the fusing procedure. Then, we propose a multi-task self-training algorithm that takes advantage of both task correlations and self-training to obtain better performance. We conduct extensive experiments on two real-world datasets and verify the superiority of HAMLET for user profiling.</t>
  </si>
  <si>
    <t>[Ren, Fuxin; Zhang, Zhongbao; Yan, Yang; Wang, Zhi; Su, Sen] Beijing Univ Posts &amp; Telecommun, State Key Lab Networking &amp; Switching Technol, Beijing, Peoples R China; [Yu, Philip S.] Univ Illinois, Chicago, IL USA</t>
  </si>
  <si>
    <t>Beijing University of Posts &amp; Telecommunications; University of Illinois System; University of Illinois Chicago; University of Illinois Chicago Hospital</t>
  </si>
  <si>
    <t>renfuxin@bupt.edu.cn; zhongbaozb@bupt.edu.cn; yanyang42@bupt.edu.cn; wz618@bupt.edu.cn; susen@bupt.edu.cn; psyu@uic.edu</t>
  </si>
  <si>
    <t>Zhang, Zhongbao/GZA-8939-2022; Yu, Philip/A-2815-2012; Ren, Fu-Xin/C-2970-2009</t>
  </si>
  <si>
    <t>National Natural Science Foundation [U1936103, 61921003]; Fundamental Research Funds for the Central Universities [2019XD11]; NSF [III-1763325, III-1909323, III-2106758, SaTC-1930941]</t>
  </si>
  <si>
    <t>National Natural Science Foundation(National Natural Science Foundation of China (NSFC)); Fundamental Research Funds for the Central Universities(Fundamental Research Funds for the Central Universities); NSF(National Science Foundation (NSF))</t>
  </si>
  <si>
    <t>This work was supported in part by: National Natural Science Foundation under Grant U1936103 and 61921003, and the Fundamental Research Funds for the Central Universities 2019XD11. Dr. Philip S. Yu is supported in part by NSF under grants III-1763325, III-1909323, III-2106758, and SaTC-1930941.</t>
  </si>
  <si>
    <t>978-1-6654-3902-2</t>
  </si>
  <si>
    <t>10.1109/BigData52589.2021.9671313</t>
  </si>
  <si>
    <t>BT1RU</t>
  </si>
  <si>
    <t>WOS:000800559500051</t>
  </si>
  <si>
    <t>Alrehili, MM; Yafooz, WMS; Alsaeedi, A; Emara, AHM; Saad, A; Al Aqrabi, H</t>
  </si>
  <si>
    <t>Alrehili, Marwa M.; Yafooz, Wael M. S.; Alsaeedi, Abdullah; Emara, Abdel-Hamid M.; Saad, Aldosary; Al Aqrabi, Hussain</t>
  </si>
  <si>
    <t>The Impact of Personality and Demographic Variables in Collaborative Filtering of User Interest on Social Media</t>
  </si>
  <si>
    <t>user interests; user modeling; topic modeling; social medial; big five personality traits</t>
  </si>
  <si>
    <t>COLD-START; INFORMATION; ALLEVIATE; NETWORK</t>
  </si>
  <si>
    <t>The advent of social networks and micro-blogging sites online has led to an abundance of user-generated content. Hence, the enormous amount of content is viewed as inappropriate and unimportant information by many users on social media. Therefore, there is a need to use personalization to select information related to users' interests or searchers on social media platforms. Therefore, in recent years, user interest mining has been a prominent research area. However, almost all of the emerging research suffers from significant gaps and drawbacks. Firstly, it suffers from focusing on the explicit content of the users to determine the interests of the users while neglecting the multiple facts as the personality of the users; demographic data may be a valuable source of influence on the interests of the users. Secondly, existing work represents users with their interesting topics without considering the semantic similarity between the topics based on clusters to extract the users' implicit interests. This paper is aims to propose a novel user interest mining approach and model based on demographic data, big five personality traits and similarity between the topics based on clusters. To demonstrate the leverage of combining user personality traits and demographic data into interest investigation, various experiments were conducted on the collected data. The experimental results showed that looking at personality and demographic data gives more accurate results in mining systems, increases utility, and can help address cold start problems for new users. Moreover, the results also showed that interesting topics were the dominant factor. On the other hand, the results showed that the current users' implicit interests can be predicted through the cluster based on similar topics. Moreover, the hybrid model based on graphs facilitates the study of the patterns of interaction between users and topics. This model can be beneficial for researchers, people on social media, and for certain research in related fields.</t>
  </si>
  <si>
    <t>[Alrehili, Marwa M.; Yafooz, Wael M. S.; Alsaeedi, Abdullah; Emara, Abdel-Hamid M.] Taibah Univ, Coll Comp Sci &amp; Engn, Dept Comp Sci, Medina 42353, Saudi Arabia; [Emara, Abdel-Hamid M.] Al Azhar Univ, Fac Engn, Dept Comp &amp; Syst Engn, Cairo 11884, Egypt; [Saad, Aldosary] King Saud Univ, Community Coll, Comp Sci Dept, Riyadh 11437, Saudi Arabia; [Al Aqrabi, Hussain] Univ Huddersfield Queensgate Campus, Comp Sci Dept, Huddersfield HD1 3DH, W Yorkshire, England</t>
  </si>
  <si>
    <t>Taibah University; Egyptian Knowledge Bank (EKB); Al Azhar University; King Saud University</t>
  </si>
  <si>
    <t>Alrehili, MM; Yafooz, WMS (corresponding author), Taibah Univ, Coll Comp Sci &amp; Engn, Dept Comp Sci, Medina 42353, Saudi Arabia.</t>
  </si>
  <si>
    <t>mmrehil@gmail.com; wyafooz@taibahu.edu.sa; aasaeedi@taibahu.edu.sa; aemara@taibahu.edu.sa; saldosary@ksu.edu.sa; h.al-aqrabi@hud.ac.uk</t>
  </si>
  <si>
    <t>Emara, Abdel-Hamid/ACU-8000-2022; Yafooz, Wael/AFE-4105-2022; Alsaeedi, Abdullah/HDM-0570-2022; Saad, Aldosary/GXZ-8063-2022</t>
  </si>
  <si>
    <t>Emara, Abdel-Hamid/0000-0002-7730-9693; Yafooz, Wael/0000-0002-2842-9736; Alsaeedi, Abdullah/0000-0002-7974-7638; Al-Aqrabi, Hussain/0000-0003-1920-7418;</t>
  </si>
  <si>
    <t>King Saud University (Riyadh, Saudi Arabia) [RSP-2021/260]</t>
  </si>
  <si>
    <t>King Saud University (Riyadh, Saudi Arabia)(King Saud University)</t>
  </si>
  <si>
    <t>FundingThe authors would like to extend their gratitude to King Saud University (Riyadh, Saudi Arabia) for funding this research through Researchers Supporting Project number (RSP-2021/260).</t>
  </si>
  <si>
    <t>10.3390/app12042157</t>
  </si>
  <si>
    <t>ZL7UZ</t>
  </si>
  <si>
    <t>Green Submitted, Green Published, gold</t>
  </si>
  <si>
    <t>WOS:000763879800001</t>
  </si>
  <si>
    <t>Li, YM; Yang, L; Xu, B; Wang, J; Lin, HF</t>
  </si>
  <si>
    <t>Li, Yumeng; Yang, Liang; Xu, Bo; Wang, Jian; Lin, Hongfei</t>
  </si>
  <si>
    <t>Improving User Attribute Classification with Text and Social Network Attention</t>
  </si>
  <si>
    <t>COGNITIVE COMPUTATION</t>
  </si>
  <si>
    <t>User attribute classification; Social media; Convolution neural network; Attention mechanism</t>
  </si>
  <si>
    <t>User attribute classification is an important research topic in social media user profiling, which has great commercial value in modern advertisement systems. Existing research on user profiling has mostly focused on manually handcrafted features for different attribute classification tasks. However, these research has partly overlooked the social relation of users. We propose an end-to-end neural network model called the social convolution attention neural network. Our model leverages the convolution attention mechanism to automatically extract user features with respect to different attributes from social texts. The proposed model can capture the social relation of users by combining semantic context and social network information, and improve the performance of attribute classification. We evaluate our model in the gender, age, and geography classification tasks based on the dataset from SMP CUP 2016 competition, respectively. The experimental results demonstrate that the proposed model is effective in automatic user attribute classification with a particular focus on fine-grained user information. We propose an effective model based on the convolution attention mechanism and social relation information for user attribute classification. The model can significantly improve the accuracy in various user attribute classification tasks.</t>
  </si>
  <si>
    <t>[Li, Yumeng; Yang, Liang; Xu, Bo; Wang, Jian; Lin, Hongfei] Dalian Univ Technol, Dalian, Peoples R China</t>
  </si>
  <si>
    <t>Dalian University of Technology</t>
  </si>
  <si>
    <t>Lin, HF (corresponding author), Dalian Univ Technol, Dalian, Peoples R China.</t>
  </si>
  <si>
    <t>lym199286@mail.dlut.edu.cn; liang@dlut.edu.cn; xubo@dlut.edu.cn; wangjian@dlut.edu.cn; hflin@dlut.edu.cn</t>
  </si>
  <si>
    <t>Xu, Bo/N-2077-2019; Yang, Liang/QLW-1183-2026</t>
  </si>
  <si>
    <t>Xu, Bo/0000-0001-5453-978X;</t>
  </si>
  <si>
    <t>Natural Science Foundation of China [61632011, 61572102, 61772103, 61702080, 61602078]; Ministry of Education Humanities and Social Science Project [16YJCZH12]; Fundamental Research Funds for the Central Universities [DUT18ZD102]; National Key Research Development Program of China [2016YFB1001103]; China Postdoctoral Science Foundation [2018M641691]</t>
  </si>
  <si>
    <t>Natural Science Foundation of China(National Natural Science Foundation of China (NSFC)); Ministry of Education Humanities and Social Science Project; Fundamental Research Funds for the Central Universities(Fundamental Research Funds for the Central Universities); National Key Research Development Program of China(National Key Research &amp; Development Program of China); China Postdoctoral Science Foundation(China Postdoctoral Science Foundation)</t>
  </si>
  <si>
    <t>This work is partially supported by grant from the Natural Science Foundation of China (Nos. 61632011, 61572102, 61772103, 61702080, 61602078), the Ministry of Education Humanities and Social Science Project (No. 16YJCZH12), the Fundamental Research Funds for the Central Universities (DUT18ZD102), and the National Key Research Development Program of China (No. 2016YFB1001103). China Postdoctoral Science Foundation (No. 2018M641691).</t>
  </si>
  <si>
    <t>1866-9956</t>
  </si>
  <si>
    <t>1866-9964</t>
  </si>
  <si>
    <t>COGN COMPUT</t>
  </si>
  <si>
    <t>Cogn. Comput.</t>
  </si>
  <si>
    <t>10.1007/s12559-019-9624-y</t>
  </si>
  <si>
    <t>Computer Science, Artificial Intelligence; Neurosciences</t>
  </si>
  <si>
    <t>JE2UL</t>
  </si>
  <si>
    <t>WOS:000490550100001</t>
  </si>
  <si>
    <t>Dong, HS; Xiang, HL; Xu, XL; Zhang, XY</t>
  </si>
  <si>
    <t>Dong, Hongsheng; Xiang, Haolong; Xu, Xiaolong; Zhang, Xuyun</t>
  </si>
  <si>
    <t>Enhanced Cold-Start Sequential Recommendation with Causal Diffusion Preference Model</t>
  </si>
  <si>
    <t>PROCEEDINGS OF THE NINETEENTH ACM INTERNATIONAL CONFERENCE ON WEB SEARCH AND DATA MINING, WSDM 2026</t>
  </si>
  <si>
    <t>19th International Conference on Web Search and Data Mining-WSDM</t>
  </si>
  <si>
    <t>FEB 22-26, 2026</t>
  </si>
  <si>
    <t>Sequential Recommendation; Cold-start; Causal Inference; Diffusion Model</t>
  </si>
  <si>
    <t>Sequential recommendation has achieved remarkable success across various application domains due to its ability to capture dynamic user preferences. Therefore, its effectiveness significantly diminishes in user cold-start scenarios, where new users have limited or no interaction history. Current solutions typically design specialized model architectures to infer cold-start user preferences from auxiliary information, such as user attributes or social networks. However, such methods overlook compatibility with advanced sequential recommender models, preventing the efficient extraction of sequential features. To address this limitation, we propose CDMRec, a Causal Diffusion Preference Model for user cold-start sequential recommendation. CDMRec generates diffusion-based preference representations for cold-start users, which can be directly utilized by existing sequential recommendation models. The framework first constructs a Preference-Dominant Sequence (PDS) by isolating interactions most indicative of user interests, mitigating noise from irrelevant behaviors. Then, leveraging causal inference, CDMRec identifies key causal variables from PDS to condition the diffusion process, enabling the generation of personalized behavioral preferences. Extensive experiments on three public datasets demonstrate that CDMRec can be seamlessly integrated into mainstream sequential recommender models, yielding substantial performance gains in cold-start settings.</t>
  </si>
  <si>
    <t>[Dong, Hongsheng; Xiang, Haolong; Xu, Xiaolong] Nanjing Univ Informat Sci &amp; Technol, Nanjing, Jiangsu, Peoples R China; [Zhang, Xuyun] Macquarie Univ, Sydney, NSW, Australia</t>
  </si>
  <si>
    <t>Nanjing University of Information Science &amp; Technology; Macquarie University</t>
  </si>
  <si>
    <t>Xu, XL (corresponding author), Nanjing Univ Informat Sci &amp; Technol, Nanjing, Jiangsu, Peoples R China.</t>
  </si>
  <si>
    <t>202312210008@nuist.edu.cn; hlx6700@gmail.com; njuxlxu@gmail.com; xuyun.zhang@mq.edu.au</t>
  </si>
  <si>
    <t>Xiang, Haolong/KMX-9063-2024; Zhang, Xuyun/ADR-2749-2022</t>
  </si>
  <si>
    <t>National Natural Science Foundation of China [62372242]; Jiangsu Provincial Major Project on Basic Research of Cutting-edge and Leading Technologies [BK20232032]; Jiangsu Province Graduate Research Innovation Program [KYCX25_1679]</t>
  </si>
  <si>
    <t>National Natural Science Foundation of China(National Natural Science Foundation of China (NSFC)); Jiangsu Provincial Major Project on Basic Research of Cutting-edge and Leading Technologies; Jiangsu Province Graduate Research Innovation Program</t>
  </si>
  <si>
    <t>This work was supported in part by the National Natural Science Foundation of China under Grant 62372242, Jiangsu Provincial Major Project on Basic Research of Cutting-edge and Leading Technologies, under grant no. BK20232032, and Jiangsu Province Graduate Research Innovation Program under Grant KYCX25_1679.</t>
  </si>
  <si>
    <t>979-8-4007-2292-9</t>
  </si>
  <si>
    <t>10.1145/3773966.3778026</t>
  </si>
  <si>
    <t>BA9ZT</t>
  </si>
  <si>
    <t>WOS:001832724900016</t>
  </si>
  <si>
    <t>Wu, X; Ngo, CW; Zhu, YM; Peng, Q</t>
  </si>
  <si>
    <t>Wu, Xiao; Chong-Wah Ngo; Zhu, Yi-Ming; Peng, Qiang</t>
  </si>
  <si>
    <t>Boosting web video categorization with contextual information from social web</t>
  </si>
  <si>
    <t>categorization; query expansion; context information; social web; web video; data-driven</t>
  </si>
  <si>
    <t>IMAGES</t>
  </si>
  <si>
    <t>Web video categorization is a fundamental task for web video search. In this paper, we explore web video categorization from a new perspective, by integrating the model-based and data-driven approaches to boost the performance. The boosting comes from two aspects: one is the performance improvement for text classifiers through query expansion from related videos and user videos. The model-based classifiers are built based on the text features extracted from title and tags. Related videos and user videos act as external resources for compensating the shortcoming of the limited and noisy text features. Query expansion is adopted to reinforce the classification performance of text features through related videos and user videos. The other improvement is derived from the integration of model-based classification and data-driven majority voting from related videos and user videos. From the data-driven viewpoint, related videos and user videos are treated as sources for majority voting from the perspective of video relevance and user interest, respectively. Semantic meaning from text, video relevance from related videos, and user interest induced from user videos, are combined to robustly determine the video category. Their combination from semantics, relevance and interest further improves the performance of web video categorization. Experiments on YouTube videos demonstrate the significant improvement of the proposed approach compared to the traditional text based classifiers.</t>
  </si>
  <si>
    <t>[Wu, Xiao; Zhu, Yi-Ming; Peng, Qiang] SW Jiaotong Univ, Dept Comp Sci &amp; Engn, Chengdu, Peoples R China; [Chong-Wah Ngo] City Univ Hong Kong, Dept Comp Sci, Kowloon, Hong Kong, Peoples R China</t>
  </si>
  <si>
    <t>Southwest Jiaotong University; City University of Hong Kong</t>
  </si>
  <si>
    <t>Wu, X (corresponding author), SW Jiaotong Univ, Dept Comp Sci &amp; Engn, 111,N Sect 1,2nd Ring Rd, Chengdu, Peoples R China.</t>
  </si>
  <si>
    <t>wuxiaohk@home.swjtu.edu.cn; cwngo@cs.cityu.edu.hk; yiming.z.jtu@gmail.com; qpeng@home.swjtu.edu.cn</t>
  </si>
  <si>
    <t>Wu, Xiao/0000-0002-8322-8558; Ngo, Chong Wah/0000-0003-4182-8261</t>
  </si>
  <si>
    <t>National Natural Science Foundation of China (NSFC) [61071184, 60972111, 6103600]; Ph.D. Programs Foundation of Ministry of Education of China [20100184120009]; National Laboratory of Pattern Recognition (NLPR); Fundamental Research Funds for the Central Universities [SWJTU09CX032, SWJTU10CX08]; Research Grants Council of Hong Kong Special Administrative Regions, China [CityU 119709]</t>
  </si>
  <si>
    <t>National Natural Science Foundation of China (NSFC)(National Natural Science Foundation of China (NSFC)); Ph.D. Programs Foundation of Ministry of Education of China(Ministry of Education of the People's Republic of China); National Laboratory of Pattern Recognition (NLPR); Fundamental Research Funds for the Central Universities(Fundamental Research Funds for the Central Universities); Research Grants Council of Hong Kong Special Administrative Regions, China</t>
  </si>
  <si>
    <t>The work described in this article was supported by the National Natural Science Foundation of China (NSFC grant no. 61071184, 60972111, 6103600); Ph.D. Programs Foundation of Ministry of Education of China (Grant no: 20100184120009); the Open Project Program of the National Laboratory of Pattern Recognition (NLPR); the Fundamental Research Funds for the Central Universities (Project no. SWJTU09CX032, SWJTU10CX08); and a grant from the Research Grants Council of Hong Kong Special Administrative Regions, China, (CityU 119709).</t>
  </si>
  <si>
    <t>10.1007/s11280-011-0129-1</t>
  </si>
  <si>
    <t>886YR</t>
  </si>
  <si>
    <t>WOS:000299891800005</t>
  </si>
  <si>
    <t>Sathick, J; Venkat, J</t>
  </si>
  <si>
    <t>Sathick, Javubar; Venkat, Jaya</t>
  </si>
  <si>
    <t>A Generic Framework for Extraction of Knowledge from Social Web Sources (Social Networking Websites) for an Online Recommendation System</t>
  </si>
  <si>
    <t>INTERNATIONAL REVIEW OF RESEARCH IN OPEN AND DISTRIBUTED LEARNING</t>
  </si>
  <si>
    <t>Knowledge management; knowledge extraction; web mining; decision making system; R tool; natural language processing; query mapping; k-means clustering; knowledge engine; social web source; online recommender interface</t>
  </si>
  <si>
    <t>Mining social web data is a challenging task and finding user interest for personalized and non-personalized recommendation systems is another important task. Knowledge sharing among web users has become crucial in determining usage of web data and personalizing content in various social websites as per the user's wish. This paper aims to design a framework for extracting knowledge from web sources for the end users to take a right decision at a crucial juncture. The web data is collected from various web sources and structured appropriately and stored as an ontology based data repository. The proposed framework implements an online recommender application for the learners online who pursue their graduation in an open and distance learning environment. This framework possesses three phases: data repository, knowledge engine, and online recommendation system. The data repository possesses common data which is attained by the process of acquiring data from various web sources. The knowledge engine collects the semantic data from the ontology based data repository and maps it to the user through the query processor component. Establishment of an online recommendation system is used to make recommendations to the user for a decision making process. This research work is implemented with the help of an experimental case study which deals with an online recommendation system for the career guidance of a learner. The online recommendation application is implemented with the help of R-tool, NLP parser and clustering algorithm. This research study will help users to attain semantic knowledge from heterogeneous web sources and to make decisions.</t>
  </si>
  <si>
    <t>[Sathick, Javubar; Venkat, Jaya] BS Abdur Rahman Univ, Madras, Tamil Nadu, India</t>
  </si>
  <si>
    <t>B. S. Abdur Rahman Crescent Institute of Science &amp; Technology</t>
  </si>
  <si>
    <t>Sathick, J (corresponding author), BS Abdur Rahman Univ, Madras, Tamil Nadu, India.</t>
  </si>
  <si>
    <t>Sathick, Javubar/0000-0002-2248-8380</t>
  </si>
  <si>
    <t>ATHABASCA UNIV PRESS</t>
  </si>
  <si>
    <t>ATHABASCA</t>
  </si>
  <si>
    <t>1 UNIVERSITY DR, ATHABASCA, AB T9S 3A3, CANADA</t>
  </si>
  <si>
    <t>1492-3831</t>
  </si>
  <si>
    <t>INT REV RES OPEN DIS</t>
  </si>
  <si>
    <t>Int. Rev. Res. Open Distrib. Learn.</t>
  </si>
  <si>
    <t>CL7YS</t>
  </si>
  <si>
    <t>WOS:000357189500013</t>
  </si>
  <si>
    <t>Abbasi, R; Rehman, G; Lee, J; Riaz, FM; Luo, B</t>
  </si>
  <si>
    <t>Xu, B</t>
  </si>
  <si>
    <t>Abbasi, Rashid; Rehman, Gohar; Lee, Jia; Riaz, Farhad Muhammad; Luo, Bin</t>
  </si>
  <si>
    <t>Discovering Temporal User Interest on Twitter by Using Semantic Based Dynamic Interest Finding Model (TUT)</t>
  </si>
  <si>
    <t>PROCEEDINGS OF 2017 IEEE 2ND INFORMATION TECHNOLOGY, NETWORKING, ELECTRONIC AND AUTOMATION CONTROL CONFERENCE (ITNEC)</t>
  </si>
  <si>
    <t>IEEE 2nd Information Technology, Networking, Electronic and Automation Control Conference (ITNEC)</t>
  </si>
  <si>
    <t>DEC 15-17, 2017</t>
  </si>
  <si>
    <t>IEEE PRESS</t>
  </si>
  <si>
    <t>Topic Model; User Interest; Twitter; Twitter-User Model; Social Network; Time Topic Modeling</t>
  </si>
  <si>
    <t>Social media systems are very popular in today's dynamic web. One of the famous social media systems is Twitter, in which peoples used to share their personal ideas about current issues with their friends. This work focuses on the problem of discovering a user's interest over time on twitter. Previous approaches have used to model the user topic of interest on twitter by building the profile of the users, that contain the words which can be used the user in his or her conversions with other users, but on twitter users used the noisy words which does not represent the correct topics or topic related to interest. This model has extended by a novel framework by using twitter user model. This model uses the latent topic variable to indicate the relatedness of the topic with any user. In this work, we propose a Temporal User Topic (TUT) approach which can consider the text of tweet by any user and time of the tweet. The proposed approach is used to discover topically related Users for different time periods. We also show how the interests and relationships of these users are changeovers a time period.</t>
  </si>
  <si>
    <t>[Abbasi, Rashid; Luo, Bin] Anhui Univ, Sch Comp Sci &amp; Technol, Hefei 230601, Anhui, Peoples R China; [Rehman, Gohar; Lee, Jia] Chongqing Univ, Coll Comp Sci, Chongqing 400044, Peoples R China; [Luo, Bin] Minist Educ, Key Lab Intelligent Comp &amp; Signal Proc, Hefei, Anhui, Peoples R China</t>
  </si>
  <si>
    <t>Anhui University; Chongqing University</t>
  </si>
  <si>
    <t>Abbasi, R (corresponding author), Anhui Univ, Sch Comp Sci &amp; Technol, Hefei 230601, Anhui, Peoples R China.</t>
  </si>
  <si>
    <t>rashidd.abbasi@gmail.com; gohar_rehman25@yahoo.com; lijia@cqu.edu.cn; luobin@ahu.edu.cn</t>
  </si>
  <si>
    <t>; Abbasi, Rashid/E-1734-2013; Riaz, Dr. Farhad Muhammad/PWG-3039-2026; Chughtai, Gohar Rehman/A-4933-2018</t>
  </si>
  <si>
    <t>Riaz, Farhad Muhammad/0000-0001-9167-8690; Abbasi, Rashid Hanif/0000-0001-9092-1708;</t>
  </si>
  <si>
    <t>978-1-5090-6414-4</t>
  </si>
  <si>
    <t>BJ6SO</t>
  </si>
  <si>
    <t>WOS:000426941100146</t>
  </si>
  <si>
    <t>Le, DL; Nguyen, AT; Nguyen, DT; Hunger, A</t>
  </si>
  <si>
    <t>Salajan, F</t>
  </si>
  <si>
    <t>Le, Duc-Long; Nguyen, An-Te; Nguyen, Dinh-Thuc; Hunger, Axel</t>
  </si>
  <si>
    <t>Building Learner Profile in Adaptive e-Learning Systems</t>
  </si>
  <si>
    <t>PROCEEDINGS OF THE 4TH INTERNATIONAL CONFERENCE ON E-LEARNING</t>
  </si>
  <si>
    <t>4th International Conference on e-Learning</t>
  </si>
  <si>
    <t>JUL 16-17, 2009</t>
  </si>
  <si>
    <t>Univ Toronto, Toronto, CANADA</t>
  </si>
  <si>
    <t>Univ Toronto</t>
  </si>
  <si>
    <t>Adaptive e-Learning System (AeLS); learner profile; user model; profile feature; rule-based induction; alpha-community spaces model</t>
  </si>
  <si>
    <t>Researches and applications of e-Learning start with building course contents and materials based on Internet, besides the development of Learning Management Systems. However, in most early e-Learning systems, learners are often provided with identical services and learning materials, in the form of one size fits all. That means all learners are the same; the systems do not discriminate the learner's backgrounds, learning goals and personal interests. Now, profile is being studied to apply widely in the e-Learning systems, in which the adaptation focuses on the goal of how helping learner to get knowledge, take interest in the learning activities effectively and suitably fit to learner. The core idea of our paper is to suggest a generic user model that supports more teaching activities and provides appropriately learning resources and services to each learner in the blended-learning environment: traditional learning in the classroom and on-line training. In this article, we will discuss building learner profile structure, especially initiating and updating profile. Structure of profile includes information components about demographics, training experiences, self-study activities and learning demands, in which each component can have the needed features to represent completely individual characteristics of learner when he/she joins in any training course of system. It is based on psychological and pedagogical foundations that we will present completely and clearly in article content. Besides, we deal with some main problems in the classical initiating and updating process based on explicit and implicit feedbacks. The updating process that is only based on the feedbacks still has challenges even when the correctness of feedbacks is ensured. Thus, we use rule-based induction approach for initiating and updating process. The inductive method is based on the alpha-Community Spaces Model. The basic idea of this approach is the feature values of a learner's profile that can be inferred basing on the profile of members in the same communities or learning groups with him/her. We have offered the architecture of Adaptive e-Learning System together with the proposed user model which has both the adaptability and communication support among the learners in learning activities formed from profile features. From the view of a personalized system, it aims at improving interactions between learner and materials, learner and instructor, and learners in group. Finally, some illustrated examples concretely for taking advantage of learner profile in system are also presented.</t>
  </si>
  <si>
    <t>[Le, Duc-Long] Univ Pedag, Ho Chi Minh City, Vietnam; [Nguyen, An-Te; Nguyen, Dinh-Thuc] Univ Sci, Ho Chi Minh City, Vietnam; [Hunger, Axel] Univ Duisburg, Essen, Germany</t>
  </si>
  <si>
    <t>Vietnam National University Ho Chi Minh City (VNUHCM) System; University of Duisburg Essen</t>
  </si>
  <si>
    <t>Le, DL (corresponding author), Univ Pedag, Ho Chi Minh City, Vietnam.</t>
  </si>
  <si>
    <t>longld@hcmup.edu.vn; nate@hcmuns.edu.vn; ndthuc@fit.hcmuns.edu.vn; axel.hunger@uni-due.de</t>
  </si>
  <si>
    <t>Vietnam National University- Hochiminh city [B2009-18-01TD]</t>
  </si>
  <si>
    <t>Vietnam National University- Hochiminh city</t>
  </si>
  <si>
    <t>This work has been partly funded by Vietnam National University- Hochiminh city under the User Modeling for e-Learning project (code B2009-18-01TD).</t>
  </si>
  <si>
    <t>978-1-906638-37-5</t>
  </si>
  <si>
    <t>BNA13</t>
  </si>
  <si>
    <t>WOS:000274016700039</t>
  </si>
  <si>
    <t>Jiamthapthaksin, R; Aung, TH</t>
  </si>
  <si>
    <t>Jiamthapthaksin, Rachsuda; Aung, Than Htike</t>
  </si>
  <si>
    <t>User Preferences Profiling Based on User Behaviors on Facebook Page Categories</t>
  </si>
  <si>
    <t>2017 9TH INTERNATIONAL CONFERENCE ON KNOWLEDGE AND SMART TECHNOLOGY (KST)</t>
  </si>
  <si>
    <t>International Conference on Knowledge and Smart Technology</t>
  </si>
  <si>
    <t>9th International Conference on Knowledge and Smart Technology (KST)</t>
  </si>
  <si>
    <t>FEB 01-04, 2017</t>
  </si>
  <si>
    <t>Pattaya, THAILAND</t>
  </si>
  <si>
    <t>Burapha Univ, Fac Informat, KST Res Lab,IEEE Thailand Sect,IEEE,ECTI Assoc,SiPA,AIAT,IEEE Xplore Digital Lib,Sripatum Univ,Assumpt Univ Thailand,KISTI,Toyohashi Univ Technol</t>
  </si>
  <si>
    <t>user preferences; profiling; social computing; social networking; Facebook page category; Support Vector Machine; Naive Bayes</t>
  </si>
  <si>
    <t>User preference profiling is important in both social networking mining and recommender systems. Facebook provides information of page category over two hundred relating to user preferences, but the pre-defined categories may not fit application well. Explicitly mapping those categories to a desirable set of user preferences is a tedious task This paper proposes an effective user profiling technique using features constructed from user behaviours on Facebook page in different categories. The models created from three well known classification algorithms: Naive Bayes (NB), Artificial Neural Network (ANN), and Support Vector Machine (SVM) turn the raw data of user behaviours into a set of user preferences defined by application. The experiments performed on Facebook dataset show that the constructed features are implicitly reflecting user preferences and can be used to tailor the preferences as needed. Among the three algorithms SVM leverages classification performance the most with accuracy over seventy-two percent.</t>
  </si>
  <si>
    <t>[Jiamthapthaksin, Rachsuda; Aung, Than Htike] Assumption Univ, Dept Comp Sci, Bangkok, Thailand</t>
  </si>
  <si>
    <t>rachsuda@scitech.au.edu; g5619309@au.edu</t>
  </si>
  <si>
    <t>2374-314X</t>
  </si>
  <si>
    <t>978-1-4673-9077-4</t>
  </si>
  <si>
    <t>INT CONF KNOWL SMART</t>
  </si>
  <si>
    <t>BH8SF</t>
  </si>
  <si>
    <t>WOS:000403616300012</t>
  </si>
  <si>
    <t>Fakhouri, HN; Alawadi, S; Awaysheh, FM; Hamad, F; Alzubi, S; AlAdwan, MN</t>
  </si>
  <si>
    <t>Quwaider, M; Awaysheh, F; Jararweh, Y</t>
  </si>
  <si>
    <t>Fakhouri, Hussam N.; Alawadi, Sadi; Awaysheh, Feras M.; Hamad, Faten; Alzubi, Sawsan; AlAdwan, Mohammad Naser</t>
  </si>
  <si>
    <t>An Overview of using of Artificial Intelligence in Enhancing Security and Privacy in Mobile Social Networks</t>
  </si>
  <si>
    <t>2023 EIGHTH INTERNATIONAL CONFERENCE ON FOG AND MOBILE EDGE COMPUTING, FMEC</t>
  </si>
  <si>
    <t>8th IEEE International Conference on Fog and Mobile Edge Computing (FMEC)</t>
  </si>
  <si>
    <t>SEP 18-20, 2023</t>
  </si>
  <si>
    <t>Tartu, ESTONIA</t>
  </si>
  <si>
    <t>IEEE,IEEE Estonia Sect,Univ Tartuensis,Data Syst Grp</t>
  </si>
  <si>
    <t>Mobile social networks; Security; Privacy; Artificial intelligence</t>
  </si>
  <si>
    <t>CHALLENGES; ISSUES</t>
  </si>
  <si>
    <t>Mobile Social Networks (MSNs) have emerged as pivotal platforms for communication, information dissemination, and social connection in contemporary society. As their prevalence escalates, so too do concerns regarding security and privacy. This paper presents a furnishes a detailed analysis of these pressing issues and elucidates how Artificial Intelligence (AI) can be instrumental in addressing them. The study thoroughly explores a spectrum of security and privacy challenges endemic to MSNs, such as data leakage, unauthorized access, cyberstalking, location privacy, and more. Additionally, the investigation expands to encompass problems like impersonation, phishing attacks, malware threats, information overload, user profiling, inadequate privacy policies, third-party application vulnerabilities, and privacy issues related to photos, videos, end-to-end encryption, Wi-Fi connections, and data retention. Each of these issues is dissected in depth, highlighting the potential risks and implications for users. Furthermore, the paper underlines how AI can provide in mitigating these problems, establishing its fundamental role in fortifying the security and privacy of MSNs. This thorough analysis offers valuable insights and feasible solutions using AI to bolster security and privacy in the ever-evolving landscape of Mobile Social Networks.</t>
  </si>
  <si>
    <t>[Fakhouri, Hussam N.] Univ Petra, Fac Informat Technol, Data Sci &amp; Artificial Intelligence Dept, Amman, Jordan; [Alawadi, Sadi] Blekinge Inst Technol, Dept Comp Sci, Karlskrona, Sweden; [Awaysheh, Feras M.] Univ Tartu, Tartu, Estonia; [Hamad, Faten] Sultan Qaboos Univ, Seeb, Oman; [Hamad, Faten] Univ Jordan, Amman, Jordan; [Alzubi, Sawsan] Tartu Univ, Tartu, Estonia; [AlAdwan, Mohammad Naser] Jerash Univ, Jerash, Jordan</t>
  </si>
  <si>
    <t>Petra University; Blekinge Institute Technology; University of Tartu; University of Jordan; University of Tartu</t>
  </si>
  <si>
    <t>Fakhouri, HN (corresponding author), Univ Petra, Fac Informat Technol, Data Sci &amp; Artificial Intelligence Dept, Amman, Jordan.</t>
  </si>
  <si>
    <t>Hussam.fakhouri@uop.edu.jo; sadi.alawadi@bth.se; feras.awaysheh@ut.ee; sawsanalzoubi34@gmail.com</t>
  </si>
  <si>
    <t>Awaysheh, Feras/AAG-7301-2019; alawadi, sadi/Q-8576-2016; fakhouri, hussam/A-3089-2016; Hamad, Faten/S-6262-2016</t>
  </si>
  <si>
    <t>fakhouri, hussam/0000-0002-9170-3291; Hamad, Faten/0000-0001-7548-0529</t>
  </si>
  <si>
    <t>979-8-3503-1697-1</t>
  </si>
  <si>
    <t>10.1109/FMEC59375.2023.10305886</t>
  </si>
  <si>
    <t>BW1AL</t>
  </si>
  <si>
    <t>WOS:001103180200006</t>
  </si>
  <si>
    <t>Yang, Q; Farseev, A; Filchenkov, A</t>
  </si>
  <si>
    <t>Yang, Qi; Farseev, Aleksandr; Filchenkov, Andrey</t>
  </si>
  <si>
    <t>Two-Faced Humans on Twitter and Facebook: Harvesting Social Multimedia for Human Personality Profiling</t>
  </si>
  <si>
    <t>ICDAR '21: PROCEEDINGS OF THE 2021 WORKSHOP ON INTELLIGENT CROSS-DATA ANALYSIS AND RETRIEVAL</t>
  </si>
  <si>
    <t>2nd Workshop on Intelligent Cross-Data Analysis and Retrieval (ICDAR)</t>
  </si>
  <si>
    <t>AUG 21, 2021</t>
  </si>
  <si>
    <t>Taipai, TAIWAN</t>
  </si>
  <si>
    <t>ACM SIGMM,Assoc Comp Machinery</t>
  </si>
  <si>
    <t>User Profiling; Multimedia Retrieval; Machine Learning</t>
  </si>
  <si>
    <t>Human personality traits are the key drivers behind our decision-making, influencing our life path on a daily basis. Inference of personality traits, such as Myers-Briggs Personality Type, as well as an understanding of dependencies between personality traits and users' behavior on various social media platforms is of crucial importance to modern research and industry applications. The emergence of diverse and cross-purpose social media avenues makes it possible to perform user personality profiling automatically and efficiently based on data represented across multiple data modalities. However, the research efforts on personality profiling from multi-source multi-modal social media data are relatively sparse, and the level of impact of different social network data on machine learning performance has yet to be comprehensively evaluated. Furthermore, there is not such dataset in the research community to benchmark. This study is one of the first attempts towards bridging such an important research gap. Specifically, in this work, we infer the Myers-Briggs Personality Type indicators, by applying a novel multi-view fusion framework, called PERS and comparing the performance results not just across data modalities but also with respect to different social network data sources. Our experimental results demonstrate the PERS's ability to learn from multi-view data for personality profiling by efficiently leveraging on the significantly different data arriving from diverse social multimedia sources. We have also found that the selection of a machine learning approach is of crucial importance when choosing social network data sources and that people tend to reveal multiple facets of their personality in different social media avenues. Our released social multimedia dataset facilitates future research on this direction.</t>
  </si>
  <si>
    <t>[Yang, Qi; Farseev, Aleksandr; Filchenkov, Andrey] ITMO Univ, St Petersburg, Russia; [Farseev, Aleksandr] SoMin ai Res, SUSS Sch Business, Singapore, Singapore</t>
  </si>
  <si>
    <t>Yang, Q (corresponding author), ITMO Univ, St Petersburg, Russia.</t>
  </si>
  <si>
    <t>yangqi@itmo.ru; farseev@gmail.com; afilchenkov@itmo.ru</t>
  </si>
  <si>
    <t>National Center for Cognitive Research of ITMO University; Ministry of Science and Higher Education of Russian Federation [075-03-2020-139/2, 2019-1339]; Enterprise Singapore Startup SG Tech POV Grant Scheme under SOMIN PTE LTD</t>
  </si>
  <si>
    <t>National Center for Cognitive Research of ITMO University; Ministry of Science and Higher Education of Russian Federation; Enterprise Singapore Startup SG Tech POV Grant Scheme under SOMIN PTE LTD</t>
  </si>
  <si>
    <t>This work is financially supported by National Center for Cognitive Research of ITMO University. This work was supported by the Ministry of Science and Higher Education of Russian Federation, research project no. 075-03-2020-139/2 (goszadanie no. 2019-1339). This research is also supported supported by Enterprise Singapore Startup SG Tech POV Grant Scheme under SOMIN PTE LTD project.</t>
  </si>
  <si>
    <t>978-1-4503-8529-9</t>
  </si>
  <si>
    <t>10.1145/3463944.3469270</t>
  </si>
  <si>
    <t>BS7UM</t>
  </si>
  <si>
    <t>WOS:000767940900007</t>
  </si>
  <si>
    <t>Freire, MLM; Oulasvirta, A; Di Francesco, M</t>
  </si>
  <si>
    <t>Freire, Maria L. Montoya; Oulasvirta, Antti; Di Francesco, Mario</t>
  </si>
  <si>
    <t>Inverse Foraging: Inferring Users' Interest in Pervasive Displays</t>
  </si>
  <si>
    <t>PROCEEDINGS OF THE ACM ON INTERACTIVE MOBILE WEARABLE AND UBIQUITOUS TECHNOLOGIES-IMWUT</t>
  </si>
  <si>
    <t>parameter estimation; inverse modeling; information foraging theory; pervasive displays</t>
  </si>
  <si>
    <t>Users' engagement with pervasive displays has been extensively studied, however, determining how their content is interesting remains an open problem. Tracking of body postures and gaze has been explored as an indication of attention; still, existing works have not been able to estimate the interest of passers-by from readily available data, such as the display viewing time. This article presents a simple yet accurate method of estimating users' interest in multiple content items shown at the same time on displays. The proposed approach builds on the information foraging theory, which assumes that users optimally decide on the content they consume. Through inverse foraging, the parameters of a foraging model are fitted to the values of viewing times observed in practice, to yield estimates of user interest. Different foraging models are evaluated by using synthetic data and with a controlled user study. The results demonstrate that inverse foraging accurately estimates interest, achieving an R-2 above 70% in comparison to self-reported interest. As a consequence, the proposed solution allows to dynamically adapt the content shown on pervasive displays, based on viewing data that can be easily obtained in field deployments.</t>
  </si>
  <si>
    <t>[Freire, Maria L. Montoya; Oulasvirta, Antti; Di Francesco, Mario] Aalto Univ, Espoo, Finland</t>
  </si>
  <si>
    <t>Aalto University</t>
  </si>
  <si>
    <t>Freire, MLM (corresponding author), Aalto Univ, Espoo, Finland.</t>
  </si>
  <si>
    <t>maria.montoyafreire@aalto.fi; antti.oulasvirta@aalto.fi; mario.di.francesco@aalto.fi</t>
  </si>
  <si>
    <t>Oulasvirta, Antti/G-8066-2011</t>
  </si>
  <si>
    <t>Oulasvirta, Antti/0000-0002-2498-7837</t>
  </si>
  <si>
    <t>Academy of Finland [326346, 332307, 328813, 318559]; Finnish Center for Artificial Intelligence; Finnish Foundation for Technology Promotion; Academy of Finland (AKA) [332307, 328813, 318559] Funding Source: Academy of Finland (AKA)</t>
  </si>
  <si>
    <t>Academy of Finland(Research Council of Finland); Finnish Center for Artificial Intelligence; Finnish Foundation for Technology Promotion; Academy of Finland (AKA)(Research Council of Finland)</t>
  </si>
  <si>
    <t>This work was partially supported by: the Academy of Finland under grants number 326346, 332307, 328813 and 318559; the Finnish Center for Artificial Intelligence; and the Finnish Foundation for Technology Promotion. The authors would like to thank Emilio Lopez for his help in implementing the pervasive display prototype and the CSC -IT Center for Science for provisioning the computational resources used in the study.</t>
  </si>
  <si>
    <t>2474-9567</t>
  </si>
  <si>
    <t>PROC ACM INTERACT MO</t>
  </si>
  <si>
    <t>Proc. ACM Interact. Mob. Wearable Ubiquitous Technol.</t>
  </si>
  <si>
    <t>10.1145/3478103</t>
  </si>
  <si>
    <t>VL7LY</t>
  </si>
  <si>
    <t>WOS:000908405300035</t>
  </si>
  <si>
    <t>Sojka, P; Kopecek, I; Pala, K; Horak, A</t>
  </si>
  <si>
    <t>Recognizing Preferred Grammatical Gender in Russian Anonymous Online Confessions</t>
  </si>
  <si>
    <t>TEXT, SPEECH, AND DIALOGUE (TSD 2020)</t>
  </si>
  <si>
    <t>23rd Annual International Conference on Text, Speech, and Dialogue (TSD)</t>
  </si>
  <si>
    <t>SEP 08-11, 2020</t>
  </si>
  <si>
    <t>Masaryk Univ, Fac Informat,Univ W Bohemia Plzen, Fac Appl Sci,Lexical Comp Ltd,IBM Ceska Republika spol s r o,Amazon Alexa</t>
  </si>
  <si>
    <t>Anonymous data; User profiling; Russian NLP</t>
  </si>
  <si>
    <t>We present annotation results for a dataset of public anonymous online confessions in Russian (Overheard/Podslushano group in VKontakte, posts tagged #family). Unlike many other cases with online social network data, intentionally anonymous posts do not contain any explicit metadata such as age or gender. We consider the problem of predicting the author's preferred grammatical gender for self-reference, a problem that proved to be surprisingly hard and not reducible to simple morphological analysis. We describe an expert labeling of a dataset for this problem, show the findings of predictive analysis, and introduce rule-based and machine learning approaches.</t>
  </si>
  <si>
    <t>[Alekseev, Anton; Nikolenko, Sergey] Steklov Math Inst St Petersburg, Samsung PDMI Joint AI Ctr, St Petersburg 191023, Russia; [Nikolenko, Sergey] Neuromat OU, EE-10111 Tallinn, Estonia</t>
  </si>
  <si>
    <t>Russian Academy of Sciences; Steklov Mathematical Institute of the Russian Academy of Sciences; St. Petersburg Department of the Steklov Mathematical Institute of the Russian Academy of Sciences</t>
  </si>
  <si>
    <t>Alekseev, A (corresponding author), Steklov Math Inst St Petersburg, Samsung PDMI Joint AI Ctr, St Petersburg 191023, Russia.</t>
  </si>
  <si>
    <t>anton.m.alexeyev@gmail.com</t>
  </si>
  <si>
    <t>Nikolenko, Sergey/AAU-3615-2020</t>
  </si>
  <si>
    <t>Nikolenko, Sergey/0000-0001-7787-2251; Alekseev, Anton/0000-0001-6456-3329</t>
  </si>
  <si>
    <t>978-3-030-58323-1; 978-3-030-58322-4</t>
  </si>
  <si>
    <t>10.1007/978-3-030-58323-1_24</t>
  </si>
  <si>
    <t>Computer Science, Artificial Intelligence; Computer Science, Interdisciplinary Applications; Linguistics</t>
  </si>
  <si>
    <t>BQ6GA</t>
  </si>
  <si>
    <t>WOS:000611543200024</t>
  </si>
  <si>
    <t>Francisco, Manuel; Castro, Juan L.</t>
  </si>
  <si>
    <t>A fuzzy model to enhance user profiles in microblogging sites using deep relations</t>
  </si>
  <si>
    <t>FUZZY SETS AND SYSTEMS</t>
  </si>
  <si>
    <t>User profiling; Fuzzy relation; Fuzzy modelling; Incomplete information; Online behaviour; Social network</t>
  </si>
  <si>
    <t>SOCIAL NETWORKS; TRUST</t>
  </si>
  <si>
    <t>Social Networking Sites (SNS) have entailed a revolution for society. They have given a say to everyone regardless of their status and this has been translated into loads of data. The task of profiling users constitutes a way to learn from this data in order to show users only the content that is relevant to them. Several recommendation system techniques have been used to address this problem, being mainly based on what the user explicitly says about themselves, on what the user publishes in the SNS and on the similarities between users. However, in social media context, it is also possible to use relations between users. Considering basic relations like follower or followee to extract information from them may result in noise, since they do not imply that users share interest or even ideas. In this work, we present a fuzzy framework to enrich user profiles with complex properties in order to have an even better representation of them. We use basic relations defined by SNSs to complete the information available in user profiles with topics of interest and ideas towards them and to define deep relations that will enable new ways of analysis. We use these deep relations to create clusters of similar users that, ultimately, will allow the expansion of properties from known users to the rest of the cluster. We tested our proposal with a dataset of Tweets in Spanish related to a political event. Our experiments prove the potential that this approach has for a lot of applications in microblogging context. (C) 2020 Elsevier B.V. All rights reserved.</t>
  </si>
  <si>
    <t>[Francisco, Manuel; Castro, Juan L.] Univ Granada, Dept Comp Sci &amp; Artificial Intelligence, Granada, Spain</t>
  </si>
  <si>
    <t>Francisco, M (corresponding author), Univ Granada, Dept Comp Sci &amp; Artificial Intelligence, Granada, Spain.</t>
  </si>
  <si>
    <t>Francisco, Manuel/N-6814-2014; Castro Peña, Juan Luis/C-2403-2012</t>
  </si>
  <si>
    <t>Francisco, Manuel/0000-0001-9748-2269; Castro Peña, Juan Luis/0000-0003-0501-0139</t>
  </si>
  <si>
    <t>Spanish Ministry of Economy and Competitiveness (MINECO); European Social Fund (ESF) [FFI2016-79748-R]; FPI 2017 predoctoral programme from the Spanish Ministry of Economy and Competitiveness (MINECO) [BES-2017-081202]</t>
  </si>
  <si>
    <t>Spanish Ministry of Economy and Competitiveness (MINECO)(Spanish Government); European Social Fund (ESF)(European Social Fund (ESF)); FPI 2017 predoctoral programme from the Spanish Ministry of Economy and Competitiveness (MINECO)</t>
  </si>
  <si>
    <t>This work has been financially supported by the Spanish Ministry of Economy and Competitiveness (MINECO) and European Social Fund (ESF), project FFI2016-79748-R. Manuel Francisco Aparicio was supported by the FPI 2017 predoctoral programme, from the Spanish Ministry of Economy and Competitiveness (MINECO), grant number BES-2017-081202.</t>
  </si>
  <si>
    <t>0165-0114</t>
  </si>
  <si>
    <t>1872-6801</t>
  </si>
  <si>
    <t>FUZZY SET SYST</t>
  </si>
  <si>
    <t>Fuzzy Sets Syst.</t>
  </si>
  <si>
    <t>10.1016/j.fss.2020.05.006</t>
  </si>
  <si>
    <t>Computer Science, Theory &amp; Methods; Mathematics, Applied; Statistics &amp; Probability</t>
  </si>
  <si>
    <t>OD7DA</t>
  </si>
  <si>
    <t>WOS:000580008600008</t>
  </si>
  <si>
    <t>Carmagnola, F; Osborne, F; Torre, I</t>
  </si>
  <si>
    <t>Carmagnola, Francesca; Osborne, Francesco; Torre, Ilaria</t>
  </si>
  <si>
    <t>Escaping the Big Brother: An empirical study on factors influencing identification and information leakage on the Web</t>
  </si>
  <si>
    <t>privacy; inference of user attributes; social networks; cross-site user profiling; user identification</t>
  </si>
  <si>
    <t>This paper presents a study on factors that may increase the risks of personal information leakage, owing to the possibility of connecting user profiles that are not explicitly linked together. First, we introduce a technique for user identification based on cross-site checking and linking of user attributes. Then, we describe the experimental evaluation of the identification technique both in a real setting and on an online sample, showing its accuracy to discover unknown personal data. Finally, we combine the results on the accuracy of identification with the results of a questionnaire completed by the same subjects who performed the test in the real setting. The aim of the study was to discover possible factors that make users vulnerable to this kind of technique. We found that the number of social networks used, their features and especially the amount of profiles abandoned and forgotten by the user are factors that increase the likelihood of identification and the privacy risks.</t>
  </si>
  <si>
    <t>[Carmagnola, Francesca; Osborne, Francesco] Univ Turin, Dept Comp Sci, I-10124 Turin, Italy; [Osborne, Francesco] Open Univ, Knowledge Media Inst, Milton Keynes, Bucks, England; [Torre, Ilaria] Univ Genoa, Dept Comp Sci Bioengn Robot &amp; Syst Engn, I-16145 Genoa, Italy</t>
  </si>
  <si>
    <t>University of Turin; Open University - UK; University of Genoa</t>
  </si>
  <si>
    <t>Torre, I (corresponding author), Univ Genoa, Dept Comp Sci Bioengn Robot &amp; Syst Engn, Viale Causa 13, I-16145 Genoa, Italy.</t>
  </si>
  <si>
    <t>Ilaria.torre@unige.it</t>
  </si>
  <si>
    <t>; Osborne, Francesco/HGU-2673-2022</t>
  </si>
  <si>
    <t>TORRE, ILARIA/0000-0003-1159-2833; Osborne, Francesco/0000-0001-6557-3131</t>
  </si>
  <si>
    <t>10.1177/0165551513509564</t>
  </si>
  <si>
    <t>AC0VX</t>
  </si>
  <si>
    <t>WOS:000332214700005</t>
  </si>
  <si>
    <t>Wandabwa, HM; Naeem, MA; Mirza, F; Pears, R</t>
  </si>
  <si>
    <t>Wandabwa, Herman Masindano; Naeem, M. Asif; Mirza, Farhaan; Pears, Russel</t>
  </si>
  <si>
    <t>Topical affinity in short text microblogs</t>
  </si>
  <si>
    <t>Information retrieval; Short text mining; Taste profiling; Data mining; Neural networks; Social web</t>
  </si>
  <si>
    <t>Knowledge-based applications like recommender systems in social networks are powered by complex network of social discussions and user connections. Short text microblog platforms like Twitter are powerful in this aspect due to their real-time content dissemination as well as having a complex mesh of user connections. For example, users on Twitter tend to consume certain content to a greater or less extent depending on their interests over time. Quantifying this degree of content consumption in certain topics is an arduous task. This is further compounded by the amount of digital information that such platforms generate at any given time. Formulation of personalized user profiles based on user interests over time and friendship network is thus a problem. Therefore, user profiling based on their interests is important for personalized third-party content recommendations on the platform. In this paper we address this problem by presenting our solution in a two-step process:- (i) Firstly, we compute users' Degree of Interest (DoI) towards a certain topic based on the overall users' affinity towards that topic. (ii) Secondly, we affirm this DoI by correlating it to their friendship network. Furthermore, we describe our model for DoI computation and follow-back recommendation system by learning a low-dimensional vector representation of users and their disseminated content. This representation is used to train models for prediction of correct cluster classifications. In our experiments, we use a Twitter dataset to validate our approach by computing degrees of interest for certain test users in three diverse and generic topics. Experimental results show the effectiveness of our approach in the extraction of intra-user interests and better accuracy in follow-back recommendations with diversities in the topics. (C) 2020 Elsevier Ltd. All rights reserved.</t>
  </si>
  <si>
    <t>[Wandabwa, Herman Masindano; Naeem, M. Asif; Mirza, Farhaan; Pears, Russel] Auckland Univ Technol, Sch Engn Comp &amp; Math Sci, Auckland, New Zealand; [Naeem, M. Asif] Natl Univ Comp &amp; Emerging Sci, Dept Comp Sci, Islamabad, Pakistan</t>
  </si>
  <si>
    <t>Auckland University of Technology</t>
  </si>
  <si>
    <t>Wandabwa, HM (corresponding author), Auckland Univ Technol, Sch Engn Comp &amp; Math Sci, Auckland, New Zealand.</t>
  </si>
  <si>
    <t>herman.wandabwa@aut.ac.nz; mnaeem@aut.ac.nz; farhaan.mirza@aut.ac.nz; russel.pears@aut.ac.nz</t>
  </si>
  <si>
    <t>Naeem, Muhammad Asif/0000-0001-6785-7875; Wandabwa, Herman/0000-0002-2063-1382</t>
  </si>
  <si>
    <t>10.1016/j.is.2020.101662</t>
  </si>
  <si>
    <t>PA4WD</t>
  </si>
  <si>
    <t>WOS:000595637100005</t>
  </si>
  <si>
    <t>Frantis, P; Bures, M; Coufalíková, A; Klaban, I</t>
  </si>
  <si>
    <t>Lehto, M</t>
  </si>
  <si>
    <t>Frantis, Petr; Bures, Michel; Coufalikova, Aneta; Klaban, Ivo</t>
  </si>
  <si>
    <t>Automated Extraction of Structured Data from the Social Network Instagram</t>
  </si>
  <si>
    <t>PROCEEDINGS OF THE 23RD EUROPEAN CONFERENCE ON CYBER WARFARE AND SECURITY, ECCWS 2024</t>
  </si>
  <si>
    <t>European Conference on Cyber Warfare and Security</t>
  </si>
  <si>
    <t>23rd European Conference on Cyber Warfare and Security</t>
  </si>
  <si>
    <t>JUN 27-28, 2024</t>
  </si>
  <si>
    <t>University Of Jyvskyl, Jyvaeskylae, FINLAND</t>
  </si>
  <si>
    <t>University Of Jyvskyl</t>
  </si>
  <si>
    <t>Instagram; Profiling; Instagram Private API; Automation; Osintgram; Python</t>
  </si>
  <si>
    <t>The paper explores the extraction of structured information from the social network Instagram through a suitable application programming interface, namely the unofficial Instagram Private API. It focuses on creating a computer program that identifies which posts a user has tagged as Likes and then stores this information for profiling specific user profiles. The introduction of the paper highlights the general use of social media in modern society and the importance of personal data for these platforms. It specifies the aim of the study, which is to extract information from Instagram and then analyse it for user profiling. It then describes the evolution of the social network Instagram and key features such as different types of posts. This paper further focuses on the solution and implementation by using Python programming language to minimize the load on Instagram servers and reduce the risk of detection of automated processes. It describes the process of setting up new Instagram accounts, the obstacles in obtaining login credentials, and the need to simulate human behaviour to bypass the network's defence mechanisms. It then focuses on the actual retrieval of information such as the users followed, their posts and information about which posts the user has marked as favourites. It mentions that extracting data from closed profiles is difficult and elaborates on the technical challenges associated with this task. A significant part of this paper is a discussion of Instagram's defence mechanisms that respond to automated computer programs. It describes access denial, account blocking, and identity verification prompts such as CAPTCHA tests. Finally, the conclusion summarizes the results obtained, which indicate the acquisition of approximately 90,000 records for user profiling. It discusses the shortcomings of a fully automated solution due to Instagram's account creation conditions and defence mechanisms. It mentions the need for further research and highlights key gaps and challenges in this area. Overall, the study highlights the technical and security challenges in extracting information from Instagram and emphasises the need for further research and improvements in the technical procedures for extracting data from the platform.</t>
  </si>
  <si>
    <t>[Frantis, Petr; Bures, Michel; Coufalikova, Aneta; Klaban, Ivo] Univ Def, Fac Mil Technol, Dept Informat &amp; Cyber Operat, Brno, Czech Republic</t>
  </si>
  <si>
    <t>University of Defence - Czech Republic</t>
  </si>
  <si>
    <t>Frantis, P (corresponding author), Univ Def, Fac Mil Technol, Dept Informat &amp; Cyber Operat, Brno, Czech Republic.</t>
  </si>
  <si>
    <t>Petr.Frantis@unob.cz; Michal.Bures3@unob.cz; Aneta.Coufalikova@unob.cz; Ivo.Klaban@unob.cz</t>
  </si>
  <si>
    <t>; Frantis, Petr/ABF-7659-2020</t>
  </si>
  <si>
    <t>Bureš, Michal/0009-0008-3921-0052; Coufalikova, Aneta/0000-0001-7037-3126; Frantis, Petr/0000-0001-8369-1334</t>
  </si>
  <si>
    <t>2048-8602</t>
  </si>
  <si>
    <t>978-1-917204-06-4; 978-1-917204-07-1</t>
  </si>
  <si>
    <t>Euro Con on Cyber Wa</t>
  </si>
  <si>
    <t>Computer Science, Information Systems; Computer Science, Interdisciplinary Applications; Computer Science, Theory &amp; Methods; Social Sciences, Interdisciplinary</t>
  </si>
  <si>
    <t>Computer Science; Social Sciences - Other Topics</t>
  </si>
  <si>
    <t>BY3KJ</t>
  </si>
  <si>
    <t>WOS:001419654100018</t>
  </si>
  <si>
    <t>Xie, QJ; Wang, YQ; Xu, ZJ; Yu, KD; Wei, C; Yu, ZC</t>
  </si>
  <si>
    <t>Zhang, M; Ng, V; Zhao, D; Li, S; Zan, H</t>
  </si>
  <si>
    <t>Xie, Qiaojing; Wang, Yuqian; Xu, Zhenjing; Yu, Kaidong; Wei, Chen; Yu, ZhiChen</t>
  </si>
  <si>
    <t>First Place Solution for NLPCC 2018 Shared Task User Profiling and Recommendation</t>
  </si>
  <si>
    <t>NATURAL LANGUAGE PROCESSING AND CHINESE COMPUTING, NLPCC 2018, PT II</t>
  </si>
  <si>
    <t>7th CCF International Conference on Natural Language Processing and Chinese Computing, NLPCC</t>
  </si>
  <si>
    <t>AUG 26-30, 2018</t>
  </si>
  <si>
    <t>Hohhot, PEOPLES R CHINA</t>
  </si>
  <si>
    <t>AI Strong,JINGDONG,Tencent LINGO Lab,ZHINENGYIDIAN,Sogou,AISPEECH,LIULISHUO,China Mobile,Alibaba Grp,GTCOM,Microsoft,Baidu,Leyan Technologies,Laiye,Huawei,GRIDSUM,LENOVO,AITC,Unisound,XIAOMI,CVTE,ByteDance,WISERS,NiuParser,SoftBank Robot,Genelife</t>
  </si>
  <si>
    <t>User profiling; User tags prediction; Multi label classification; Friend recommendation</t>
  </si>
  <si>
    <t>Social networking sites have been growing at an unprecedented rate in recent years. User profiling and personalized recommendation plays an important role in social networking, such as targeting advertisement and personalized news feed. For NLPCC Task 8, there are two subtasks. Subtask one is User Tags Prediction (UTP), which is to predict tags related to a user. We consider UTP as a Multi Label Classification (MLC) problem and proposed a CNN-RNN framework to explicitly exploit the label dependencies. The proposed framework employs CNN to get the user profile representation and the RNN module captures the dependencies among labels. Subtask two, User Following Recommendation (UFR), is to recommend friends to the users. There are mainly two approaches: Collaborative Filtering (CF) and Most Popular Friends (MPF), and we adopted a combination of both. Our experiments show that both of our methods yield clear improvements in F1@K compared to other algorithms and achieved first place in both subtasks.</t>
  </si>
  <si>
    <t>[Xie, Qiaojing; Wang, Yuqian; Xu, Zhenjing; Yu, Kaidong; Wei, Chen; Yu, ZhiChen] Turing Robot, Beijing, Peoples R China</t>
  </si>
  <si>
    <t>Wei, C (corresponding author), Turing Robot, Beijing, Peoples R China.</t>
  </si>
  <si>
    <t>xieqiaojing@uzoo.cn; wangyuqian@uzoo.cn; weichen@uzoo.cn</t>
  </si>
  <si>
    <t>yu, kaidong/OHT-1263-2025</t>
  </si>
  <si>
    <t>978-3-319-99501-4; 978-3-319-99500-7</t>
  </si>
  <si>
    <t>10.1007/978-3-319-99501-4_2</t>
  </si>
  <si>
    <t>BO0HL</t>
  </si>
  <si>
    <t>WOS:000490899300002</t>
  </si>
  <si>
    <t>Eichinger, T; Beierle, F; Khan, SU; Middelanis, R; Sekar, V; Tabibzadeh, S</t>
  </si>
  <si>
    <t>Eichinger, Tobias; Beierle, Felix; Khan, Sumsam U.; Middelanis, Robin; Sekar, Veeraraghavan; Tabibzadeh, Sam</t>
  </si>
  <si>
    <t>affinity: A System for Latent User Similarity Comparison on Texting Data</t>
  </si>
  <si>
    <t>ICC 2019 - 2019 IEEE INTERNATIONAL CONFERENCE ON COMMUNICATIONS (ICC)</t>
  </si>
  <si>
    <t>IEEE International Conference on Communications (IEEE ICC)</t>
  </si>
  <si>
    <t>MAY 20-24, 2019</t>
  </si>
  <si>
    <t>IEEE,China Mobile,Huawei,ZTE,Qualcomm,Oppo,Natl Instruments</t>
  </si>
  <si>
    <t>Latent Features; Social Networking; User Similarity; User Profiling; Document Similarity; Word Mover's Distance; Word Embedding; tf-idf</t>
  </si>
  <si>
    <t>In the field of social networking services, finding similar users based on profile data is common practice. Smart-phones harbor sensor and personal context data that can be used for user profiling. Yet, one vast source of personal data, that is text messaging data, has hardly been studied for user profiling. We see three reasons for this: First, private text messaging data is not shared due to their intimate character. Second, the definition of an appropriate privacy-preserving similarity measure is non-trivial. Third, assessing the quality of a similarity measure on text messaging data representing a potentially infinite set of topics is non-trivial. In order to overcome these obstacles we propose affinity, a system that assesses the similarity between text messaging histories of users reliably and efficiently in a privacy-preserving manner. Private texting data stays on user devices and data for comparison is compared in a latent format that neither allows to reconstruct the comparison words nor any original private plain text. We evaluate our approach by calculating similarities between Twitter histories of 60 US senators. The resulting similarity network reaches an average 85.0% accuracy on a political party classification task.</t>
  </si>
  <si>
    <t>[Eichinger, Tobias; Beierle, Felix] Tech Univ Berlin, Serv Centr Networking, Telekom Innovat Labs, Berlin, Germany; [Khan, Sumsam U.; Middelanis, Robin; Sekar, Veeraraghavan; Tabibzadeh, Sam] Tech Univ Berlin, Berlin, Germany</t>
  </si>
  <si>
    <t>Technical University of Berlin; Technical University of Berlin</t>
  </si>
  <si>
    <t>Eichinger, T (corresponding author), Tech Univ Berlin, Serv Centr Networking, Telekom Innovat Labs, Berlin, Germany.</t>
  </si>
  <si>
    <t>tobias.eichinger@tu-berlin.de; beierle@tu-berlin.de</t>
  </si>
  <si>
    <t>Beierle, Felix/U-2641-2019; Middelanis, Robin/ABG-2592-2021</t>
  </si>
  <si>
    <t>Middelanis, Robin/0000-0001-8848-3745</t>
  </si>
  <si>
    <t>978-1-5386-8088-9</t>
  </si>
  <si>
    <t>10.1109/icc.2019.8761051</t>
  </si>
  <si>
    <t>BO0MA</t>
  </si>
  <si>
    <t>WOS:000492038800005</t>
  </si>
  <si>
    <t>Ghapanchi, AH</t>
  </si>
  <si>
    <t>Soliman, KS</t>
  </si>
  <si>
    <t>Ghapanchi, Amir Hossein</t>
  </si>
  <si>
    <t>A Framework to Represent Antecedents of User Interest in Open-Source Software Projects</t>
  </si>
  <si>
    <t>BUSINESS TRANSFORMATION THROUGH INNOVATION AND KNOWLEDGE MANAGEMENT: AN ACADEMIC PERSPECTIVE, VOLS 1-2</t>
  </si>
  <si>
    <t>14th International-Business-Information-Management-Association Conference</t>
  </si>
  <si>
    <t>JUN 23-24, 2010</t>
  </si>
  <si>
    <t>Int Business Informat Management Assoc</t>
  </si>
  <si>
    <t>Project success; Open source software; User interest; OSS project success</t>
  </si>
  <si>
    <t>SUCCESS</t>
  </si>
  <si>
    <t>This paper uses a literature survey to gain an insight into existing studies on the success of open source software (OSS) projects. Current literature has studied various aspects of OSS success such as project activity, user interest, and project effectiveness. However, this study focuses on user interest because, according to prior research, a higher user interest contributes to positive project outcomes (e.g. product quality, project performance, and project vitality). Based on the literature survey in this study, we found 43 conceptually distinct determinants of user interest in OSS projects. We classified them into 7 broad categories of including project status, project characteristics, community contribution, process, network structure, product characteristics, and resources. Implications for practice and research are also presented.</t>
  </si>
  <si>
    <t>[Ghapanchi, Amir Hossein] Univ New S Wales, Sch Informat Syst Technol &amp; Management, Sydney, NSW, Australia</t>
  </si>
  <si>
    <t>University of New South Wales Sydney</t>
  </si>
  <si>
    <t>ghapanchi@unsw.edu.au</t>
  </si>
  <si>
    <t>Ghapanchi, Amir/QWC-5378-2026</t>
  </si>
  <si>
    <t>INT BUSINESS INFORMATION MANAGEMENT ASSOC-IBIMA</t>
  </si>
  <si>
    <t>NORRISTOWN</t>
  </si>
  <si>
    <t>34 E GERMANTOWN PIKE, NO. 327, NORRISTOWN, PA 19401 USA</t>
  </si>
  <si>
    <t>978-0-9821489-3-8</t>
  </si>
  <si>
    <t>Management</t>
  </si>
  <si>
    <t>BVQ10</t>
  </si>
  <si>
    <t>WOS:000292274900049</t>
  </si>
  <si>
    <t>Tang, XY; Zeng, QT</t>
  </si>
  <si>
    <t>Tang, Xiaoyu; Zeng, Qingtian</t>
  </si>
  <si>
    <t>Keyword clustering for user interest profiling refinement within paper recommender systems</t>
  </si>
  <si>
    <t>JOURNAL OF SYSTEMS AND SOFTWARE</t>
  </si>
  <si>
    <t>Weighted keyword graph; Keyword clustering; User interest profiles; Recommender systems; Ontology extension</t>
  </si>
  <si>
    <t>ONTOLOGIES; NETWORKS</t>
  </si>
  <si>
    <t>To refine user interest profiling, this paper focuses on extending scientific subject ontology via keyword clustering and on improving the accuracy and effectiveness of recommendation of the electronic academic publications in online services. A clustering approach is proposed for domain keywords for the purpose of the subject ontology extension. Based on the keyword clusters, the construction of user interest profiles is presented on a rather fine granularity level. In the construction of user interest profiles, we apply two types of interest profiles: explicit profiles and implicit profiles. The explicit profiles are obtained by relating users' interest-topic relevance factors to users' interest measurements of these topics computed by a conventional ontology-based method, and the implicit profiles are acquired on the basis of the correlative relationships among the topic nodes in topic network graphs. Three experiments are conducted which reveal that the uses of the subject ontology extension approach as well as the two types of interest profiles satisfyingly contribute to an improvement in the accuracy of recommendation. Crown Copyright (C) 2011 Published by Elsevier Inc. All rights reserved.</t>
  </si>
  <si>
    <t>[Tang, Xiaoyu; Zeng, Qingtian] Shandong Univ Sci &amp; Technol, Coll Informat Sci &amp; Engn, Qingdao 266510, Peoples R China</t>
  </si>
  <si>
    <t>Shandong University of Science &amp; Technology</t>
  </si>
  <si>
    <t>Zeng, QT (corresponding author), Shandong Univ Sci &amp; Technol, Coll Informat Sci &amp; Engn, 579 Qianwangang Rd, Qingdao 266510, Peoples R China.</t>
  </si>
  <si>
    <t>lonewar@163.com; qtzeng@163.com</t>
  </si>
  <si>
    <t>Zeng, Qingtian/AHB-5093-2022</t>
  </si>
  <si>
    <t>NSFC [60603090, 50875158]; Sci. &amp; Tech. Development Fund of Shandong Province of China [2010GSF10811]; Specialized Research Fund for the Doctoral Program of Higher Education of China [20103718110007]; Sci. &amp; Tech. Development Fund of Qingdao [10-3-3-32-nsh]; Excellent Young Scientist Foundation of Shandong Province of China [BS2009DX004]; Special Fund for Fast Sharing of Science Paper in Net Era by CSTD [20093718110008]; Research Foundation of Shandong Educational Committee [J08LJ77]; Natural Science Foundation for Distinguished Young Scholars of Shandong; SDUST [JQ200816, 2010KYJQ101]</t>
  </si>
  <si>
    <t>NSFC(National Natural Science Foundation of China (NSFC)); Sci. &amp; Tech. Development Fund of Shandong Province of China; Specialized Research Fund for the Doctoral Program of Higher Education of China(Research Fund for the Doctoral Program of Higher Education of China (RFDP)); Sci. &amp; Tech. Development Fund of Qingdao; Excellent Young Scientist Foundation of Shandong Province of China; Special Fund for Fast Sharing of Science Paper in Net Era by CSTD; Research Foundation of Shandong Educational Committee; Natural Science Foundation for Distinguished Young Scholars of Shandong; SDUST</t>
  </si>
  <si>
    <t>This paper is supported partly by the NSFC under Grant No. 60603090 and 50875158; Sci. &amp; Tech. Development Fund of Shandong Province of China (2010GSF10811); Specialized Research Fund for the Doctoral Program of Higher Education of China (20103718110007), Sci. &amp; Tech. Development Fund of Qingdao (10-3-3-32-nsh), Excellent Young Scientist Foundation of Shandong Province of China under Grant No. BS2009DX004; the Special Fund for Fast Sharing of Science Paper in Net Era by CSTD (20093718110008); the Research Foundation of Shandong Educational Committee under Grant No. J08LJ77; and Natural Science Foundation for Distinguished Young Scholars of Shandong and SDUST (JQ200816 and 2010KYJQ101).</t>
  </si>
  <si>
    <t>0164-1212</t>
  </si>
  <si>
    <t>1873-1228</t>
  </si>
  <si>
    <t>J SYST SOFTWARE</t>
  </si>
  <si>
    <t>J. Syst. Softw.</t>
  </si>
  <si>
    <t>10.1016/j.jss.2011.07.029</t>
  </si>
  <si>
    <t>859RG</t>
  </si>
  <si>
    <t>WOS:000297892900009</t>
  </si>
  <si>
    <t>Zamir, MT; Ullah, F; Tariq, R; Bangyal, WH; Arif, M; Gelbukh, A</t>
  </si>
  <si>
    <t>Tayyab Zamir, Muhammad; Ullah, Fida; Tariq, Rasikh; Bangyal, Waqas Haider; Arif, Muhammad; Gelbukh, Alexander</t>
  </si>
  <si>
    <t>Machine and deep learning algorithms for sentiment analysis during COVID-19: A vision to create fake news resistant society</t>
  </si>
  <si>
    <t>CLASSIFICATION; MODEL</t>
  </si>
  <si>
    <t>Informal education via social media plays a crucial role in modern learning, offering self-directed and community-driven opportunities to gain knowledge, skills, and attitudes beyond traditional educational settings. These platforms provide access to a broad range of learning materials, such as tutorials, blogs, forums, and interactive content, making education more accessible and tailored to individual interests and needs. However, challenges like information overload and the spread of misinformation highlight the importance of digital literacy in ensuring users can critically evaluate the credibility of information. Consequently, the significance of sentiment analysis has grown in contemporary times due to the widespread utilization of social media platforms as a means for individuals to articulate their viewpoints. Twitter (now X) is well recognized as a prominent social media platform that is predominantly utilized for microblogging. Individuals commonly engage in expressing their viewpoints regarding contemporary events, hence presenting a significant difficulty for scholars to categorize the sentiment associated with such expressions effectively. This research study introduces a highly effective technique for detecting misinformation related to the COVID-19 pandemic. The spread of fake news during the COVID-19 pandemic has created significant challenges for public health and safety because misinformation about the virus, its transmission, and treatments has led to confusion and distrust among the public. This research study introduce highly effective techniques for detecting misinformation related to the COVID-19 pandemic. The methodology of this work includes gathering a dataset comprising fabricated news articles sourced from a corpus and subjected to the natural language processing (NLP) cycle. After applying some filters, a total of five machine learning classifiers and three deep learning classifiers were employed to forecast the sentiment of news articles, distinguishing between those that are authentic and those that are fabricated. This research employs machine learning classifiers, namely Support Vector Machine, Logistic Regression, K-Nearest Neighbors, Decision Trees, and Random Forest, to analyze and compare the obtained results. This research employs Convolutional Neural Networks, Long Short-Term Memory (LSTM), and Gated Recurrent Unit (GRU) as deep learning classifiers, and afterwards compares the obtained results. The results indicate that the BiGRU deep learning classifier demonstrates high accuracy and efficiency, with the following indicators: accuracy of 0.91, precision of 0.90, recall of 0.93, and F1-score of 0.92. For the same algorithm, the true negatives, and true positives came out to be 555 and 580, respectively, whereas, the false negatives and false positives came out to be 81, and 68, respectively. In conclusion, this research highlights the effectiveness of the BiGRU deep learning classifier in detecting misinformation related to COVID-19, emphasizing its significance for fostering media literacy and resilience against fake news in contemporary society. The implications of this research are significant for higher education and lifelong learners as it highlights the potential for using advanced machine learning to help educators and institutions in the process of combating the spread of misinformation and promoting critical thinking skills among students. By applying these methods to analyze and classify news articles, educators can develop more effective tools and curricula for teaching media literacy and information validation, equipping students with the skills needed to discern between authentic and fabricated information in the context of the COVID-19 pandemic and beyond. The implications of this research extrapolate to the creation of a society that is resistant to the spread of fake news through social media platforms.</t>
  </si>
  <si>
    <t>[Tayyab Zamir, Muhammad; Ullah, Fida; Arif, Muhammad; Gelbukh, Alexander] Inst Politecn Nacl, Ctr Invest Comp CIC, Ciudad Mexico, Mexico City, DF, Mexico; [Tariq, Rasikh] Inst Future Educ, Tecnol Monterrey, Monterrey, Mexico; [Bangyal, Waqas Haider] Kohsar Univ Murree, Dept Comp Sci, Murree, Pakistan</t>
  </si>
  <si>
    <t>Instituto Politecnico Nacional - Mexico; Tecnologico de Monterrey</t>
  </si>
  <si>
    <t>Tariq, R; Gelbukh, A (corresponding author), Inst Politecn Nacl, Ctr Invest Comp CIC, Ciudad Mexico, Mexico City, DF, Mexico.;Tariq, R (corresponding author), Inst Future Educ, Tecnol Monterrey, Monterrey, Mexico.</t>
  </si>
  <si>
    <t>gelbukh@gelbukh.com</t>
  </si>
  <si>
    <t>Tariq, Rasikh/AAO-6006-2020; Bangyal, Waqas/A-6019-2012; Gelbukh, Alexander/A-8979-2008</t>
  </si>
  <si>
    <t>Tecnologico de Monterrey [IJXT070-23EG99001]</t>
  </si>
  <si>
    <t>Tecnologico de Monterrey</t>
  </si>
  <si>
    <t>The authors would like to thank Tecnologico de Monterrey for the financial support provided through the 'Challenge-Based Research Funding Program 2023', Project ID #IJXT070-23EG99001, entitled 'Complex Thinking Education for All (CTE4A): A Digital Hub and School for Lifelong Learners.' The authors acknowledge the financial support of Writing Lab, Institute for the Future of Education, Tecnologico de Monterrey, Mexico, in the production of this work.</t>
  </si>
  <si>
    <t>e0315407</t>
  </si>
  <si>
    <t>10.1371/journal.pone.0315407</t>
  </si>
  <si>
    <t>S3V1P</t>
  </si>
  <si>
    <t>WOS:001397531300078</t>
  </si>
  <si>
    <t>Kang, Y; Pu, B; Kou, YQ; Yang, Y; Chen, JG; Muhammad, K; Yang, P; Xu, LD; Hijji, M</t>
  </si>
  <si>
    <t>Kang, Yan; Pu, Bin; Kou, Yongqi; Yang, Yun; Chen, Jianguo; Muhammad, Khan; Yang, Po; Xu, Lida; Hijji, Mohammad</t>
  </si>
  <si>
    <t>A Deep Graph Network with Multiple Similarity for User Clustering in Human-Computer Interaction</t>
  </si>
  <si>
    <t>ACM TRANSACTIONS ON MULTIMEDIA COMPUTING COMMUNICATIONS AND APPLICATIONS</t>
  </si>
  <si>
    <t>Attributed graph clustering; cluster-friendly features; deep graph embedding; self-supervision module</t>
  </si>
  <si>
    <t>User counterparts, such as user attributes in social networks or user interests, are the keys to more natural Human-Computer Interaction (HCI). In addition, users' attributes and social structures help us understand the complex interactions in HCI. Most previous studies have been based on supervised learning to improve the performance of HCI. However, in the real world, owing to signal malfunctions in user devices, large amounts of abnormal information, unlabeled data, and unsupervised approaches (e.g., the clustering method) based on mining user attributes are particularly crucial. This paper focuses on improving the clustering performance of users' attributes in HCI and proposes a deep graph embedding network with feature and structure similarity (called DGENFS) to cluster users' attributes in HCI applications based on feature and structure similarity. The DGENFS model consists of a Feature Graph Autoencoder (FGA) module, a Structure Graph Attention Network (SGAT) module, and a Dual Self-supervision (DSS) module. First, we design an attributed graph clustering method to divide users into clusters by making full use of their attributes. To take full advantage of the information of human feature space, a k-neighbor graph is generated as a feature graph based on the similarity between human features. Then, the FGA and SGAT modules are utilized to extract the representations of human features and topological space, respectively. Next, an attention mechanism is further developed to learn the importance weights of different representations to effectively integrate human features and social structures. Finally, to learn cluster-friendly features, the DSS module unifies and integrates the features learned from the FGA and SGAT modules. DSS explores the high-confidence cluster assignment as a soft label to guide the optimization of the entire network. Extensive experiments are conducted on five real-world data sets on user attribute clustering. The experimental results demonstrate that the proposed DGENFS model achieves the most advanced performance compared with nine competitive baselines.</t>
  </si>
  <si>
    <t>[Kang, Yan; Kou, Yongqi; Yang, Yun] Yunnan Univ, East Outer Ring Rd, Kunming 650091, Yunnan, Peoples R China; [Pu, Bin] Hunan Univ, Lushan Rd S, Changsha 410082, Hunan, Peoples R China; [Muhammad, Khan] Sungkyunkwan Univ, Visual Analyt Knowledge Lab VIS2KNOW Lab, Dept Appl Artificial Intelligence, Sch Convergence,Coll Comp &amp; Informat, Seoul 03063, South Korea; [Yang, Po] Univ Sheffield, Sheffield, S Yorkshire, England; [Xu, Lida] Old Dominion Univ, Norfolk, VA 23529 USA; [Hijji, Mohammad] Univ Tabuk, Tabuk 47711, Saudi Arabia</t>
  </si>
  <si>
    <t>Yunnan University; Hunan University; Sungkyunkwan University (SKKU); University of Sheffield; Old Dominion University; University of Tabuk</t>
  </si>
  <si>
    <t>Yang, Y (corresponding author), Yunnan Univ, East Outer Ring Rd, Kunming 650091, Yunnan, Peoples R China.</t>
  </si>
  <si>
    <t>kangyan@ynu.edu.cn; pubin@hnu.edu.cn; yongqikou@163.com; yunyang@ynu.edu.cn; chenjg33@mail.sysu.edu.cn; khan.muhammad@ieee.org; po.yang@sheffield.ac.uk; LXu@odu.edu; m.hijji@ut.edu.sa</t>
  </si>
  <si>
    <t>Hijji, Mohammad/HMP-1048-2023; Chen, Jianguo/AFZ-9932-2022; Yang, Po/C-9936-2011; Muhammad, Khan/L-9059-2016</t>
  </si>
  <si>
    <t>Yang, Po/0000-0002-8553-7127; Muhammad, Khan/0000-0002-5302-1150; Yang, Yun/0000-0002-9893-3436</t>
  </si>
  <si>
    <t>1551-6857</t>
  </si>
  <si>
    <t>1551-6865</t>
  </si>
  <si>
    <t>ACM T MULTIM COMPUT</t>
  </si>
  <si>
    <t>ACM Trans. Multimed. Comput. Commun. Appl.</t>
  </si>
  <si>
    <t>10.1145/3549954</t>
  </si>
  <si>
    <t>W6GR4</t>
  </si>
  <si>
    <t>WOS:001092595800016</t>
  </si>
  <si>
    <t>Buntain, C; Lin, J</t>
  </si>
  <si>
    <t>Buntain, Cody; Lin, Jimmy</t>
  </si>
  <si>
    <t>Burst Detection in Social Media Streams for Tracking Interest Profiles in Real Time</t>
  </si>
  <si>
    <t>SIGIR'16: PROCEEDINGS OF THE 39TH INTERNATIONAL ACM SIGIR CONFERENCE ON RESEARCH AND DEVELOPMENT IN INFORMATION RETRIEVAL</t>
  </si>
  <si>
    <t>39th International ACM SIGIR conference on Research and Development in Information Retrieval</t>
  </si>
  <si>
    <t>JUL 17-21, 2016</t>
  </si>
  <si>
    <t>ACM SIGIR</t>
  </si>
  <si>
    <t>burst detection; real-time tracking; twitter</t>
  </si>
  <si>
    <t>This work presents RTTBurst, an end-to-end system for ingesting descriptions of user interest profiles and discovering new and relevant tweets based on those interest profiles using a simple model for identifying bursts in token usage. Our approach differs from standard retrieval-based techniques in that it primarily focuses on identifying noteworthy moments in the tweet stream, and summarizes those moments using selected tweets. We lay out the architecture of RTTBurst, our participation in and performance at the TREC 2015 Microblog track, and a method for combining and potentially improving existing TREC systems. Official results and post hoc experiments show that our simple targeted burst detection technique is competitive with existing systems. Furthermore, we demonstrate that our burst detection mechanism can be used to improve the performance of other systems for the same task.</t>
  </si>
  <si>
    <t>[Buntain, Cody] Univ Maryland, Dept Comp Sci, College Pk, MD 20742 USA; [Lin, Jimmy] Univ Waterloo, David R Cheriton Sch Comp Sci, Waterloo, ON, Canada</t>
  </si>
  <si>
    <t>University System of Maryland; University of Maryland College Park; University of Waterloo</t>
  </si>
  <si>
    <t>Buntain, C (corresponding author), Univ Maryland, Dept Comp Sci, College Pk, MD 20742 USA.</t>
  </si>
  <si>
    <t>cbuntain@cs.umd.edu; jimmylin@uwaterloo.ca</t>
  </si>
  <si>
    <t>Buntain, Cody/AAP-7418-2020</t>
  </si>
  <si>
    <t>Buntain, Cody/0000-0003-4797-3726</t>
  </si>
  <si>
    <t>National Science Foundation [IIS-1218043, CNS-1405688]</t>
  </si>
  <si>
    <t>This work was supported in part by the National Science Foundation under awards IIS-1218043 and CNS-1405688. Any opinions, findings, conclusions, or recommendations expressed are those of the authors and do not necessarily reflect the views of the sponsors.</t>
  </si>
  <si>
    <t>978-1-4503-4069-4</t>
  </si>
  <si>
    <t>10.1145/2911451.2914733</t>
  </si>
  <si>
    <t>BL7JK</t>
  </si>
  <si>
    <t>WOS:000455100800104</t>
  </si>
  <si>
    <t>Hu, XC; Zheng, DQ; Sun, WL; Li, S</t>
  </si>
  <si>
    <t>Wan, WG; Luo, FL; Yu, XQ</t>
  </si>
  <si>
    <t>Hu, Xinchen; Zheng, Dequan; Sun, Wanglong; Li, Sheng</t>
  </si>
  <si>
    <t>Topic Model-Based Micro-Blog User Interest Analysis</t>
  </si>
  <si>
    <t>2014 INTERNATIONAL CONFERENCE ON AUDIO, LANGUAGE AND IMAGE PROCESSING (ICALIP), VOLS 1-2</t>
  </si>
  <si>
    <t>International Conference on Audio, Language and Image Processing</t>
  </si>
  <si>
    <t>JUL 07-09, 2014</t>
  </si>
  <si>
    <t>microblog; topic model; user interest</t>
  </si>
  <si>
    <t>As a popular Internet information exchange platform, Micro-Blog like Twitter attracts a large amount of users to share information through short and noisy messages. In this paper, we aim to discover Micro-Blog users' interest using topic model. In the topic model, users' metadata such as labels are taken as new features and been put into user document which will be used to infer user's interest. Experimental results indicate that this method gives satisfying user interest and is capable for reality project. This paper also introduce two applications based on user interest detected before: 1) Keywords extraction based on interest (We calculate word entropy using word topic distribution as new feature). 2) User clustering based on user interest.</t>
  </si>
  <si>
    <t>[Hu, Xinchen; Zheng, Dequan; Sun, Wanglong; Li, Sheng] Harbin Inst Technol, MOE MS Key Lab Nat Language Proc &amp; Speech, Harbin, Peoples R China</t>
  </si>
  <si>
    <t>Hu, XC (corresponding author), Harbin Inst Technol, MOE MS Key Lab Nat Language Proc &amp; Speech, Harbin, Peoples R China.</t>
  </si>
  <si>
    <t>xchu@mtlab.hit.edu.cn; dqzheng@mtlab.hit.edu.cn; wlsun@mtlab.hit.edu.cn; lisheng@mtlab.hit.edu.cn</t>
  </si>
  <si>
    <t>978-1-4799-3903-9</t>
  </si>
  <si>
    <t>BF1UM</t>
  </si>
  <si>
    <t>WOS:000380438100089</t>
  </si>
  <si>
    <t>Abbas, R; Amran, GA; Alsanad, A; Ma, SJ; Almisned, FA; Huang, JF; Al Bakhrani, AA; Ahmed, AB; Alzahrani, AI</t>
  </si>
  <si>
    <t>Abbas, Rizwan; Amran, Gehad Abdullah; Alsanad, Ahmed; Ma, Shengjun; Almisned, Faisal Abdulaziz; Huang, Jianfeng; Al Bakhrani, Ali Ahmed; Ahmed, Almesbahi Belal; Alzahrani, Ahmed Ibrahim</t>
  </si>
  <si>
    <t>Recommending Reforming Trip to a Group of Users</t>
  </si>
  <si>
    <t>recommending dynamic trip; location-based social networks; POI sequence recommendation; deep neural network</t>
  </si>
  <si>
    <t>With the quick evolution of mobile apps and trip guidance technologies, a trip recommender that recommends sequential points of interest (POIs) to travelers has emerged and recently received popularity. Compared to other outing recommenders, which suggest the following single POI, our proposed trip proposal research centers around the POI sequence proposal. An advanced sequence of the POI recommendation system named Recommending Reforming Trip (RRT) is presented, recommending a dynamic sequence of POIs to a group of users. It displays the information progression in a verifiable direction, and the output produced is the arrangement of POIs to be expected for a group of users. A successful plan is executed depending upon the deep neural network (DNN) to take care of this sequence-to-sequence problem. From start to finish of the work process, RRT can permit the input to change over time by smoothly recommending a dynamic sequence of POIs. Moreover, two advanced new estimations, adjusted precision (AP) and sequence-mindful precision (SMP), are introduced to analyze the recommended precision of a sequence of POIs. It considers the POIs' consistency and also meets the sequence of order. We evaluate our algorithm using users' travel histories extracted from a Weeplaces dataset. We argue that our algorithm outperforms various benchmarks by satisfying user interests in the trips.</t>
  </si>
  <si>
    <t>[Abbas, Rizwan] Northeastern Univ, Coll Software Engn, Shenyang 110169, Peoples R China; [Amran, Gehad Abdullah; Ahmed, Almesbahi Belal] Dalian Univ Technol, Fac Management &amp; Econ, Dept Management Sci Engn, Dalian 116024, Peoples R China; [Alsanad, Ahmed] King Saud Univ, Coll Comp &amp; Informat Sci, Dept Informat Syst, STCs Artificial Intelligence Chair, Riyadh 11543, Saudi Arabia; [Ma, Shengjun] Northeastern Univ, Coll Comp Sci &amp; Engn, Shenyang 110169, Peoples R China; [Almisned, Faisal Abdulaziz] King Saud Univ, Coll Comp &amp; Informat Sci, Dept Informat Syst, Riyadh 11451, Saudi Arabia; [Huang, Jianfeng] Peking Univ, Coll Comp Sci &amp; Engn, Beijing 100871, Peoples R China; [Al Bakhrani, Ali Ahmed] Tech Leaders Coll, Dept Comp Sci, Sanaa 31220, Yemen; [Alzahrani, Ahmed Ibrahim] King Saud Univ, Community Coll, Comp Sci Dept, Riyadh 11451, Saudi Arabia</t>
  </si>
  <si>
    <t>Northeastern University - China; Dalian University of Technology; King Saud University; Northeastern University - China; King Saud University; Peking University; King Saud University</t>
  </si>
  <si>
    <t>Abbas, R (corresponding author), Northeastern Univ, Coll Software Engn, Shenyang 110169, Peoples R China.;Amran, GA (corresponding author), Dalian Univ Technol, Fac Management &amp; Econ, Dept Management Sci Engn, Dalian 116024, Peoples R China.;Alsanad, A (corresponding author), King Saud Univ, Coll Comp &amp; Informat Sci, Dept Informat Syst, STCs Artificial Intelligence Chair, Riyadh 11543, Saudi Arabia.</t>
  </si>
  <si>
    <t>rizwanabbas@stumail.neu.edu.cn; jehad.westran@gmail.com; aasanad@ksu.edu.sa; shengjunma@stumail.neu.edu.cn; falmisned@ksu.edu.sa; jianfenghuang@pku.edu.cn; posalbakhrani2017@gmail.com; belal1012010@gmail.com; ahmed@ksu.edu.sa</t>
  </si>
  <si>
    <t>A. AL-Bakhrani, Ali/MVU-1254-2025; AlSanad, Ahmed/GSE-3705-2022; Alzahrani, Ahmed/AGC-4025-2022</t>
  </si>
  <si>
    <t>A. AL-Bakhrani, Ali/0000-0003-1360-8640; Huang, Jianfeng/0000-0001-6861-7742;</t>
  </si>
  <si>
    <t>Deanship of Scientific Research, King Saud University</t>
  </si>
  <si>
    <t>Deanship of Scientific Research, King Saud University(King Saud University)</t>
  </si>
  <si>
    <t>The authors are grateful to the Deanship of Scientific Research, King Saud University for funding through Vice Deanship of Scientific Research Chairs.</t>
  </si>
  <si>
    <t>10.3390/electronics11071037</t>
  </si>
  <si>
    <t>0L3UW</t>
  </si>
  <si>
    <t>WOS:000781403800001</t>
  </si>
  <si>
    <t>Zhang, HJ; Sun, YF; Zhao, MB; Chow, TWS; Wu, QMJ</t>
  </si>
  <si>
    <t>Zhang, Haijun; Sun, Yanfang; Zhao, Mingbo; Chow, Tommy W. S.; Wu, Q. M. Jonathan</t>
  </si>
  <si>
    <t>Bridging User Interest to Item Content for Recommender Systems: An Optimization Model</t>
  </si>
  <si>
    <t>Feature extraction; Optimization; Sparse matrices; Motion pictures; Recommender systems; Estimation; Social networking (online); Content based; optimization; recommendation; relation learning; user preference</t>
  </si>
  <si>
    <t>Recommender systems are currently utilized widely in e-commerce for product recommendations and within content delivery platforms. Previous studies usually use independent features to represent item content. As a result, the relationship hidden among the content features is overlooked. In fact, the reason that an item attracts a user may be attributed to only a few set of features. In addition, these features are often semantically coupled. In this paper, we present an optimization model for extracting the relationship hidden in content features by considering user preferences. The learned feature relationship matrix is then applied to address the cold-start recommendations and content-based recommendations. It could also easily be employed for the visualization of feature relation graphs. Our proposed method was examined on three public datasets: 1) hetrec-movielens-2k-v2; 2) book-crossing; and 3) Netflix. The experimental results demonstrated the effectiveness of our method in comparison to the state-of-the-art recommendation methods.</t>
  </si>
  <si>
    <t>[Zhang, Haijun; Sun, Yanfang] Harbin Inst Technol, Shenzhen Grad Sch, Shenzhen 518055, Peoples R China; [Zhao, Mingbo] Donghua Univ, Coll Informat Sci &amp; Technol, Shanghai 200336, Peoples R China; [Chow, Tommy W. S.] City Univ Hong Kong, Dept Elect Engn, Hong Kong, Peoples R China; [Wu, Q. M. Jonathan] Univ Windsor, Dept Elect &amp; Comp Engn, Windsor, ON N9B 3P4, Canada</t>
  </si>
  <si>
    <t>Harbin Institute of Technology; Donghua University; City University of Hong Kong; University of Windsor</t>
  </si>
  <si>
    <t>Zhao, MB (corresponding author), Donghua Univ, Coll Informat Sci &amp; Technol, Shanghai 200336, Peoples R China.</t>
  </si>
  <si>
    <t>hjzhang@hit.edu.cn; ahongsun1993@gmail.com; mbzhao4@gmail.com; eetchow@cityu.edu.hk; jwu@uwindsor.ca</t>
  </si>
  <si>
    <t>Zhao, Mingbo/AAL-8496-2020; Wu, QM Jonathan/O-3234-2017; Zhang, Haijun/N-8470-2015</t>
  </si>
  <si>
    <t>Chow, Tommy W S/0000-0001-7051-0434; Wu, QM Jonathan/0000-0002-5208-7975;</t>
  </si>
  <si>
    <t>National Key Research and Development Program of China [2018YFB1003800, 2018YFB1003805]; National Natural Science Foundation of China [61572156, 61832004]; Shenzhen Science and Technology Program [JCYJ20170413105929681, JCYJ20170811161545863]</t>
  </si>
  <si>
    <t>National Key Research and Development Program of China(National Key Research &amp; Development Program of China); National Natural Science Foundation of China(National Natural Science Foundation of China (NSFC)); Shenzhen Science and Technology Program(Shenzhen Science and Technology Program)</t>
  </si>
  <si>
    <t>This work was supported in part by the National Key Research and Development Program of China under Grant 2018YFB1003800 and Grant 2018YFB1003805, in part by the National Natural Science Foundation of China under Grant 61572156 and Grant 61832004, and in part by the Shenzhen Science and Technology Program under Grant JCYJ20170413105929681 and Grant JCYJ20170811161545863. This paper was recommended by Associate Editor S. Ozawa.</t>
  </si>
  <si>
    <t>10.1109/TCYB.2019.2900159</t>
  </si>
  <si>
    <t>NT0EM</t>
  </si>
  <si>
    <t>WOS:000572625500007</t>
  </si>
  <si>
    <t>Pilato, G; Persia, F; Ge, MZ; Chondrogiannis, T; D'Auria, D</t>
  </si>
  <si>
    <t>Pilato, Giovanni; Persia, Fabio; Ge, Mouzhi; Chondrogiannis, Theodoros; D'Auria, Daniela</t>
  </si>
  <si>
    <t>A Modular Social Sensing System for Personalized Orienteering in the COVID-19 Era</t>
  </si>
  <si>
    <t>ACM TRANSACTIONS ON MANAGEMENT INFORMATION SYSTEMS</t>
  </si>
  <si>
    <t>COVID-19; orienteering; social sensing; personalization; itinerary planning</t>
  </si>
  <si>
    <t>Orienteering or itinerary planning algorithms in tourism are used to optimize travel routes by considering user preference and other constraints, such as time budget or traffic conditions. For these algorithms, it is essential to explore the user preference to predict potential points of interest (POIs) or tourist routes. However, nowadays, user preference has been significantly affected by COVID-19, since health concern plays a key tradeoff role. For example, people may try to avoid crowdedness, even if there is a strong desire for social interaction. Thus, the orienteering or itinerary planning algorithms should optimize routes beyond user preference. Therefore, this article proposes a social sensing system that considers the tradeoff between user preference and various factors, such as crowdedness, personality, knowledge of COVID-19, POI features, and desire for socialization. The experiments are conducted on profiling user interests with a properly trained fastText neural network and a set of specialized Naive Bayesian Classifiers based on the Yelp! dataset. Also, we demonstrate how to approach and integrate COVID-related factors via conversational agents. Furthermore, the proposed system is in a modular design and evaluated in a user study; thus, it can be efficiently adapted to different algorithms for COVID-19-aware itinerary planning.</t>
  </si>
  <si>
    <t>[Pilato, Giovanni] CNR, Inst High Performance Comp &amp; Networking, Rome, Italy; [Persia, Fabio] Univ Laquila, Dept Informat Engn Comp Sci &amp; Math, Via Vetoio, I-67100 Laquila, Italy; [Ge, Mouzhi] Deggendorf Inst Technol, European Campus Rottal Inn, Max Breiherr Str 32, D-84347 Pfarrkirchen, Germany; [Chondrogiannis, Theodoros] Univ Konstanz, Dept Comp &amp; Informat Sci, POB 188, D-78457 Constance, Germany; [D'Auria, Daniela] Free Univ Bozen Bolzano, Fac Engn, Piazza Domenicani 3, I-39100 Bozen Bolzano, Italy; [Pilato, Giovanni] Italian Natl Res Council, ICAR, CNR, Via Ugo La Malfa,153, I-90146 Palermo, Italy</t>
  </si>
  <si>
    <t>Consiglio Nazionale delle Ricerche (CNR); Istituto di Calcolo e Reti ad Alte Prestazioni (ICAR-CNR); University of L'Aquila; University of Konstanz; Free University of Bozen-Bolzano; Consiglio Nazionale delle Ricerche (CNR); Istituto di Calcolo e Reti ad Alte Prestazioni (ICAR-CNR)</t>
  </si>
  <si>
    <t>Pilato, G (corresponding author), CNR, Inst High Performance Comp &amp; Networking, Rome, Italy.;Pilato, G (corresponding author), Italian Natl Res Council, ICAR, CNR, Via Ugo La Malfa,153, I-90146 Palermo, Italy.</t>
  </si>
  <si>
    <t>giovanni.pilato@icar.cnr.it; fabio.persia@univaq.it; mouzhi.ge@th-deg.de; theodoros.chondrogiannis@uni-konstanz.de; daniela.dauria@unibz.it</t>
  </si>
  <si>
    <t>; Pilato, Giovanni/I-7516-2013</t>
  </si>
  <si>
    <t>D'Auria, Daniela/0000-0002-6951-8508; Pilato, Giovanni/0000-0002-6254-2249; Chondrogiannis, Theodoros/0000-0002-9623-9133; Persia, Fabio/0000-0002-1798-0215</t>
  </si>
  <si>
    <t>Deutsche Forschungsgemeinschaft (DFG) [CH 2464/1]</t>
  </si>
  <si>
    <t>Deutsche Forschungsgemeinschaft (DFG)(German Research Foundation (DFG))</t>
  </si>
  <si>
    <t>This work is partially supported by Grant No. CH 2464/1 of the Deutsche Forschungsgemeinschaft (DFG).</t>
  </si>
  <si>
    <t>2158-656X</t>
  </si>
  <si>
    <t>2158-6578</t>
  </si>
  <si>
    <t>ACM TRANS MANAG INF</t>
  </si>
  <si>
    <t>ACM Trans. Manag. Inf. Syst.</t>
  </si>
  <si>
    <t>10.1145/3615359</t>
  </si>
  <si>
    <t>EH6P1</t>
  </si>
  <si>
    <t>WOS:001138073000004</t>
  </si>
  <si>
    <t>Nakatsuji, M; Tanaka, A; Uchiyama, T; Fujimura, K</t>
  </si>
  <si>
    <t>Nakatsuji, Makoto; Tanaka, Akimichi; Uchiyama, Toshio; Fujimura, Ko</t>
  </si>
  <si>
    <t>Extracting Communities of Interests for Semantics-Based Graph Searches</t>
  </si>
  <si>
    <t>IEICE TRANSACTIONS ON INFORMATION AND SYSTEMS</t>
  </si>
  <si>
    <t>semantic search; semantics-based user interface; newman clustering; link navigation</t>
  </si>
  <si>
    <t>Users recently find their interests by checking the contents published or mentioned by their immediate neighbors in social networking services. We propose semantics-based link navigation; links guide the active user to potential neighbors who may provide new interests. Our method first creates a graph that has users as nodes and shared interests as links. Then it divides the graph by link pruning to extract practical numbers, that the active user can navigate, of interest-sharing groups, i.e. communities of interests (COIs). It then attaches a different semantic tag to the link to each representative user, which best reflects the interests of COIs that they are included in, and to the link to each immediate neighbor of the active user. It finally calculates link attractiveness by analyzing the semantic tags on links. The active user can select the link to access by checking the semantic tags and link attractiveness. User interests extracted from large scale actual blog-entries are used to confirm the efficiency of our proposal. Results show that navigation based on link attractiveness and representative users allows the user to find new interests much more accurately than is otherwise possible.</t>
  </si>
  <si>
    <t>[Nakatsuji, Makoto; Tanaka, Akimichi; Uchiyama, Toshio; Fujimura, Ko] NTT Corp, NIT Cyber Solut Labs, Yokosuka, Kanagawa 2390847, Japan</t>
  </si>
  <si>
    <t>Nakatsuji, M (corresponding author), NTT Corp, NIT Cyber Solut Labs, Yokosuka, Kanagawa 2390847, Japan.</t>
  </si>
  <si>
    <t>nakatsuji.makoto@lab.ntt.co.jp</t>
  </si>
  <si>
    <t>IEICE-INST ELECTRONICS INFORMATION COMMUNICATION ENGINEERS</t>
  </si>
  <si>
    <t>TOKYO</t>
  </si>
  <si>
    <t>KIKAI-SHINKO-KAIKAN BLDG, 3-5-8, SHIBA-KOEN, MINATO-KU, TOKYO, 105-0011, JAPAN</t>
  </si>
  <si>
    <t>0916-8532</t>
  </si>
  <si>
    <t>1745-1361</t>
  </si>
  <si>
    <t>IEICE T INF SYST</t>
  </si>
  <si>
    <t>IEICE Trans. Inf. Syst.</t>
  </si>
  <si>
    <t>E95D</t>
  </si>
  <si>
    <t>10.1587/transinf.E95.D.932</t>
  </si>
  <si>
    <t>926MF</t>
  </si>
  <si>
    <t>WOS:000302834400004</t>
  </si>
  <si>
    <t>Memarzadeh, M; Kamandi, A</t>
  </si>
  <si>
    <t>Memarzadeh, Maryam; Kamandi, Ali</t>
  </si>
  <si>
    <t>Model-Based Location Recommender System Using Geotagged Photos On Instagram</t>
  </si>
  <si>
    <t>2020 6TH INTERNATIONAL CONFERENCE ON WEB RESEARCH (ICWR)</t>
  </si>
  <si>
    <t>6th International Conference on Web Research (ICWR)</t>
  </si>
  <si>
    <t>APR 22-23, 2020</t>
  </si>
  <si>
    <t>location-based social networks; geo-tagged media; recommender systems; FastText</t>
  </si>
  <si>
    <t>Instagram is one of the popular social media services used by a variety of people around the world. It has a huge number of active users. The more users, the larger and the more different Instagram data are available. In this paper, we propose a Model-based location recommender system (MLRS), which creates a profile for each location and uses it to recommend locations, based on user interests. Since our analysis does not have an appropriate dataset to check, we use both Foursquare and Instagram to create our dataset. Next, we propose the Term-Frequency and Inverse Document Frequency(TF-IDF) method to rank extracted hashtags of selected Instagram locations based on Instagram image captions. This gives us the main idea of locations, based on 30 recent image captions hashtag posted. Then, we used FastText to classify hashtags of each location post. We evaluated our system with a large-scale real dataset collected from Instagram concerning precision, recall and the F-measure. Finally, the experimental results show that the highest result achieved when the FastText model tested with n=1 with an F-measure of 77.8%.</t>
  </si>
  <si>
    <t>[Memarzadeh, Maryam; Kamandi, Ali] Univ Tehran, Coll Engn, Sch Engn Sci, Tehran, Iran</t>
  </si>
  <si>
    <t>University of Tehran</t>
  </si>
  <si>
    <t>Kamandi, A (corresponding author), Univ Tehran, Coll Engn, Sch Engn Sci, Tehran, Iran.</t>
  </si>
  <si>
    <t>Maryamemarzadeh@ut.ac.ir; kamandi@ut.ac.ir</t>
  </si>
  <si>
    <t>/H-7394-2018</t>
  </si>
  <si>
    <t>978-1-7281-1051-6</t>
  </si>
  <si>
    <t>10.1109/icwr49608.2020.9122274</t>
  </si>
  <si>
    <t>BQ8IY</t>
  </si>
  <si>
    <t>WOS:000620335700034</t>
  </si>
  <si>
    <t>Zhou, XJ; Xu, Y; Li, YF; Josang, A; Cox, C</t>
  </si>
  <si>
    <t>Zhou, Xujuan; Xu, Yue; Li, Yuefeng; Josang, Audun; Cox, Clive</t>
  </si>
  <si>
    <t>The state-of-the-art in personalized recommender systems for social networking</t>
  </si>
  <si>
    <t>Social networking; Recommender systems; Trust; User profiles; User generated content</t>
  </si>
  <si>
    <t>MODEL</t>
  </si>
  <si>
    <t>With the explosion of Web 2.0 application such as blogs, social and professional networks, and various other types of social media, the rich online information and various new sources of knowledge flood users and hence pose a great challenge in terms of information overload. It is critical to use intelligent agent software systems to assist users in finding the right information from an abundance of Web data. Recommender systems can help users deal with information overload problem efficiently by suggesting items (e.g., information and products) that match users' personal interests. The recommender technology has been successfully employed in many applications such as recommending films, music, books, etc. The purpose of this report is to give an overview of existing technologies for building personalized recommender systems in social networking environment, to propose a research direction for addressing user profiling and cold start problems by exploiting user-generated content newly available in Web 2.0.</t>
  </si>
  <si>
    <t>[Zhou, Xujuan; Xu, Yue; Li, Yuefeng] Queensland Univ Technol, Fac Sci &amp; Technol, Brisbane, Qld 4001, Australia; [Josang, Audun] Univ Oslo, UNIK Grad Ctr, Oslo, Norway; [Cox, Clive] Rummble Com, Cambridge, England</t>
  </si>
  <si>
    <t>Queensland University of Technology (QUT); University of Oslo</t>
  </si>
  <si>
    <t>Zhou, XJ (corresponding author), Queensland Univ Technol, Fac Sci &amp; Technol, Brisbane, Qld 4001, Australia.</t>
  </si>
  <si>
    <t>x.zhou@qut.edu.au; yue.xu@qut.edu.au; y2.li@qut.edu.au; josang@unik.no; clive.cox@rummble.com</t>
  </si>
  <si>
    <t>Xu, Yue/AAD-9854-2020; Zhou, Xujuan/HIZ-7836-2022</t>
  </si>
  <si>
    <t>Xu, Yue/0000-0002-1137-0272; Zhou, Xujuan/0000-0002-1736-739X; Jøsang, Audun/0000-0001-6337-2264</t>
  </si>
  <si>
    <t>10.1007/s10462-011-9222-1</t>
  </si>
  <si>
    <t>892JY</t>
  </si>
  <si>
    <t>WOS:000300283700003</t>
  </si>
  <si>
    <t>Dokoohaki, N; Matskin, M; Afzal, U; Islam, MM</t>
  </si>
  <si>
    <t>Chang, CK; Gao, Y; Hurson, A; Matskin, M; McMillin, B; Okabe, Y; Seceleanu, C; Yoshida, K</t>
  </si>
  <si>
    <t>Dokoohaki, Nima; Matskin, Mihhail; Afzal, Usman; Islam, Md. Mustakimul</t>
  </si>
  <si>
    <t>An Enterprise Social Recommendation System for Connecting Swedish Professionals</t>
  </si>
  <si>
    <t>2014 38TH ANNUAL IEEE INTERNATIONAL COMPUTER SOFTWARE AND APPLICATIONS CONFERENCE WORKSHOPS (COMPSACW 2014)</t>
  </si>
  <si>
    <t>38th Annual IEEE International Computer Software and Applications Conference (COMPSAC)</t>
  </si>
  <si>
    <t>JUL 21-25, 2014</t>
  </si>
  <si>
    <t>Vasteras, SWEDEN</t>
  </si>
  <si>
    <t>IEEE,IEEE Cloud Comp,Korean Inst Informat Scientists &amp; Engineers,Iowa State Univ Sci &amp; Technol,IEEE Comp Soc,IPS,CCF,Malardalen Univ Sweden,ABB,Missouri S &amp; T</t>
  </si>
  <si>
    <t>social recommender systems; recommender systems; social networks; trust; privacy; social matching</t>
  </si>
  <si>
    <t>Most cooperative businesses rely on some form of social networking system to facilitate user profiling and networking of their employees. To facilitate the discovery, matchmaking and networking among the co-workers across the enterprises social recommendation systems are often used. Off-the-shelf nature of these components often makes it hard for individuals to control their exposure as well as their preferences of whom to connect to. To this end, trust based recommenders have been amongst the most popular and demanding solutions due to their advantage of using social trust to generate more accurate suggestions for peers to connect to. They also allow individuals to control their exposure based on explicit trust levels. In this work we have proposed for an enterprise trust-based recommendation system with privacy controls. To generate accurate predictions, a local trust metric is defined between users based on correlations of user's profiled content such as blogging, articles wrote, comments, and likes along with profile information such as organization, region, interests or skills. Privacy metric is defined in such a way that users have full freedom either to hide their data from the recommender or customize their profiles to make them visible only to users with defined level of trustworthy.</t>
  </si>
  <si>
    <t>[Dokoohaki, Nima; Matskin, Mihhail; Afzal, Usman; Islam, Md. Mustakimul] Royal Inst Technol KTH, Informat &amp; Commun Technol Sch ICT, S-16440 Stockholm, Sweden</t>
  </si>
  <si>
    <t>Royal Institute of Technology</t>
  </si>
  <si>
    <t>Dokoohaki, N (corresponding author), Royal Inst Technol KTH, Informat &amp; Commun Technol Sch ICT, Forum 120, S-16440 Stockholm, Sweden.</t>
  </si>
  <si>
    <t>nimad@kth.se; misha@kth.se; usmana@kth.se; islam8@kth.se</t>
  </si>
  <si>
    <t>978-1-4799-3578-9</t>
  </si>
  <si>
    <t>10.1109/COMPSACW.2014.42</t>
  </si>
  <si>
    <t>BC4NJ</t>
  </si>
  <si>
    <t>WOS:000352787700040</t>
  </si>
  <si>
    <t>Makki, R; Soto, AJ; Brooks, S; Milios, EE</t>
  </si>
  <si>
    <t>Kumar, R; Caverlee, J; Tong, H</t>
  </si>
  <si>
    <t>Makki, Raheleh; Soto, Axel J.; Brooks, Stephen; Milios, Evangelos E.</t>
  </si>
  <si>
    <t>Twitter Message Recommendation Based on User Interest Profiles</t>
  </si>
  <si>
    <t>PROCEEDINGS OF THE 2016 IEEE/ACM INTERNATIONAL CONFERENCE ON ADVANCES IN SOCIAL NETWORKS ANALYSIS AND MINING ASONAM 2016</t>
  </si>
  <si>
    <t>8th IEEE/ACM International Conference on Advances in Social Networks Analysis and Mining (ASONAM)</t>
  </si>
  <si>
    <t>AUG 18-21, 2016</t>
  </si>
  <si>
    <t>IEEE,Assoc Comp Machinery,ACM SIGMOD,IEEE Comp Soc,IEEE TCDE,Springer,VEEPIO</t>
  </si>
  <si>
    <t>social recommenders; information retrieval; real-time filtering</t>
  </si>
  <si>
    <t>Twitter has become one of the most important platforms for gathering information, where users follow breaking news, track ongoing events and learn about their topics of interest. Considering the sheer volume of Twitter data and the ever-growing number of users, it is of great importance to have real-time systems that can monitor and recommend relevant and non-redundant tweets with respect to users' interests. In this paper, we propose a framework using language models as a basis for analyzing strategies and techniques for tweet recommendation based on user interest profiles. Results show that identifying named entities in profiles has a major impact on the accuracy of the recommender. We also performed a thorough comparison to investigate whether state-of-the-art semantic relatedness techniques have a positive impact on the precision of the recommended tweets. The TREC 2015 Microblog track dataset is used for comparison and evaluation throughout this paper.</t>
  </si>
  <si>
    <t>[Makki, Raheleh; Brooks, Stephen; Milios, Evangelos E.] Dalhousie Univ, Fac Comp Sci, Halifax, NS, Canada; [Soto, Axel J.] Univ Manchester, Sch Comp Sci, Natl Ctr Text Min, Manchester M13 9PL, Lancs, England</t>
  </si>
  <si>
    <t>Dalhousie University; University of Manchester</t>
  </si>
  <si>
    <t>Makki, R (corresponding author), Dalhousie Univ, Fac Comp Sci, Halifax, NS, Canada.</t>
  </si>
  <si>
    <t>niri@cs.dal.ca; axel.soto@manchester.ac.uk; sbrooks@cs.dal.ca; eem@cs.dal.ca</t>
  </si>
  <si>
    <t>Milios, Evangelos/A-3008-2008; Soto, Axel/JHU-5618-2023</t>
  </si>
  <si>
    <t>Milios, Evangelos/0000-0001-5549-4675; Soto, Axel/0000-0002-9021-7566</t>
  </si>
  <si>
    <t>978-1-5090-2846-7</t>
  </si>
  <si>
    <t>Computer Science, Information Systems; Communication; Computer Science, Interdisciplinary Applications; Social Sciences, Interdisciplinary</t>
  </si>
  <si>
    <t>Computer Science; Communication; Social Sciences - Other Topics</t>
  </si>
  <si>
    <t>BG6PQ</t>
  </si>
  <si>
    <t>WOS:000390760100061</t>
  </si>
  <si>
    <t>Tablatin, CLS; Casano, JDL; Rodrigo, MMT</t>
  </si>
  <si>
    <t>Tablatin, Christine Lourrine S.; Casano, Jonathan D. L.; Rodrigo, Maria Mercedes T.</t>
  </si>
  <si>
    <t>Using Minecraft to cultivate student interest in STEM</t>
  </si>
  <si>
    <t>Minecraft; WHIMC world; STEM interest; digital game-based learning; educational games</t>
  </si>
  <si>
    <t>GAME; EDUCATION</t>
  </si>
  <si>
    <t>Due to the popularity and flexibility of Minecraft, educators have used this game to develop instructional materials and activities to cultivate student interests in science, technology, engineering and mathematics (STEM). One example of such an initiative is the What-If Hypothetical Implementations in Minecraft (WHIMC) project of the University of Illinois Urbana Champaign. The study reported in this paper describes a WHIMC deployment in the Philippines and the effects this deployment had on student STEM interest. The study used quantitative and qualitative methods to determine the effect of WHIMC on the STEM interest of Filipino students. We performed quantitative analysis of the pre- and post-STEM Interest Questionnaire (SIQ) ratings and Game Experience Questionnaire (GEQ) ratings of the high- and low-performers to determine the effect of using WHIMC in the students' STEM interest and the difference between the game experience of high- and low-performers, respectively. Qualitative analysis of the answers to the open-ended questions about the attributes of the module was also conducted to determine the relationship between the module attributes and student performance. The analysis of the aggregated SIQ ratings before and after using the WHIMC-based modules revealed only a minimal effect on the STEM interests of the students. However, there was a significant effect in the Choice Actions construct, which implies that students recognize the importance of studying hard if they want to pursue STEM-related careers. Further, the analysis of the overall GEQ of high-performers and low-performers also revealed no significant difference. Although no significant difference was observed in the overall GEQ, high-performers had significantly higher GEQ ratings in the Immersion dimension. This result suggested that high-performers had a more positive, engaging, and enjoyable learning experience. Moreover, the findings on the favorite module attributes suggested that students perform better in the out-of-game assessments when they like all the module attributes. This implies that students must be engaged in the game and learning task aside from being interested in the learning topic to have better assessment scores. The study also showed that open-ended learning environments coupled with tasks that demand exploration, observation, and higher-ordered thinking are demanding even on high-performers.</t>
  </si>
  <si>
    <t>[Tablatin, Christine Lourrine S.; Casano, Jonathan D. L.; Rodrigo, Maria Mercedes T.] Ateneo Manila Univ, Dept Informat Syst &amp; Comp Sci, Ateneo Lab Learning Sci, Quezon City, Philippines; [Tablatin, Christine Lourrine S.] Pangasinan State Univ, Informat Technol Dept, Urdaneta City, Philippines</t>
  </si>
  <si>
    <t>Ateneo de Manila University</t>
  </si>
  <si>
    <t>Tablatin, CLS (corresponding author), Ateneo Manila Univ, Dept Informat Syst &amp; Comp Sci, Ateneo Lab Learning Sci, Quezon City, Philippines.;Tablatin, CLS (corresponding author), Pangasinan State Univ, Informat Technol Dept, Urdaneta City, Philippines.</t>
  </si>
  <si>
    <t>tablatinchristine@gmail.com</t>
  </si>
  <si>
    <t>; Tablatin, Christine Lourrine/CAF-4333-2022</t>
  </si>
  <si>
    <t>Rodrigo, Maria Mercedes T/0000-0001-7881-7756; Tablatin, Christine Lourrine/0000-0001-5456-2322</t>
  </si>
  <si>
    <t>Ateneo de Manila University; Department of Science and Technology</t>
  </si>
  <si>
    <t>Ateneo de Manila University; Department of Science and Technology(Department of Science &amp; Technology (India))</t>
  </si>
  <si>
    <t>Ateneo de Manila University and the Department of Science and Technology for the grant entitled, Nurturing Interest in STEM among Filipino learners using Minecraft.</t>
  </si>
  <si>
    <t>MAR 16</t>
  </si>
  <si>
    <t>10.3389/feduc.2023.1127984</t>
  </si>
  <si>
    <t>C2UH3</t>
  </si>
  <si>
    <t>WOS:000960524000001</t>
  </si>
  <si>
    <t>Yang, F; Yue, Y; Li, GM; Payne, TR; Man, KL</t>
  </si>
  <si>
    <t>Yang, Fan; Yue, Yong; Li, Gangmin; Payne, Terry R.; Man, Ka Lok</t>
  </si>
  <si>
    <t>KEMIM: Knowledge-Enhanced User Multi-Interest Modeling for Recommender Systems</t>
  </si>
  <si>
    <t>Knowledge graphs; Recommender systems; Feature extraction; Predictive models; Semantics; Collaborative filtering; Behavioral sciences; Multi-interest; user modeling; knowledge graph; recommender systems</t>
  </si>
  <si>
    <t>Researchers typically leverage side information, such as social networks or the knowledge graph, to overcome the sparsity and cold start problem in collaborative filtering. To tackle the limitations of existing user interest modeling, we propose a knowledge-enhanced user multi-interest modeling for recommender systems (KEMIM). First, we utilize the user-item historical interaction as the knowledge graph's head entity to create a user's explicit interests and leverage the relationship path to expand the user's potential interests through connections in the knowledge graph. Second, considering the diversity of a user's interests, we adopt an attention mechanism to learn the user's attention to each historical interaction and each potential interest. Third, we combine the user's attribute features with interests to solve the cold start problem effectively. With the knowledge graph's structural data, KEMIM could describe the features of users at a fine granularity and provide explainable recommendation results to users. In this study, we conduct an in-depth empirical evaluation across three open datasets for two different recommendation tasks: Click-Through rate (CTR) prediction and Top-K recommendation. The experimental findings demonstrate that KEMIM outperforms several state-of-the-art baselines.</t>
  </si>
  <si>
    <t>[Yang, Fan; Yue, Yong; Man, Ka Lok] Xian Jiaotong Liverpool Univ, Sch Adv Technol, Suzhou 215000, Peoples R China; [Li, Gangmin] Univ Bedfordshire, Sch Comp Sci &amp; Technol, Luton LU2 8DL, England; [Payne, Terry R.] Univ Liverpool, Dept Comp Sci, Liverpool L69 7ZX, England</t>
  </si>
  <si>
    <t>Xi'an Jiaotong University; University of Liverpool; Xi'an Jiaotong-Liverpool University; University of Bedfordshire; University of Liverpool</t>
  </si>
  <si>
    <t>Yue, Y (corresponding author), Xian Jiaotong Liverpool Univ, Sch Adv Technol, Suzhou 215000, Peoples R China.</t>
  </si>
  <si>
    <t>yongyue@xjtlu.edu.cn</t>
  </si>
  <si>
    <t>Li, Gangmin/JYP-8631-2024; Man, Ka/K-7013-2013</t>
  </si>
  <si>
    <t>Li, Gangmin/0000-0003-4006-7472; Payne, Terence/0000-0002-0106-8731;</t>
  </si>
  <si>
    <t>Basic Public Welfare Research Project of Zhejiang, China [LGF20G020001]; AI University Research Centre (AI-URC) through the Xi'an Jiaotong-Liverpool University Key Program Special Fund [KSF-A-17]; Suzhou Municipal Key Laboratory for Intelligent Virtual Engineering [SZS2022004]</t>
  </si>
  <si>
    <t>Basic Public Welfare Research Project of Zhejiang, China; AI University Research Centre (AI-URC) through the Xi'an Jiaotong-Liverpool University Key Program Special Fund; Suzhou Municipal Key Laboratory for Intelligent Virtual Engineering</t>
  </si>
  <si>
    <t>This work was supported in part by the Basic Public Welfare Research Project of Zhejiang, China, under Grant LGF20G020001; in part by the AI University Research Centre (AI-URC) through the Xi'an Jiaotong-Liverpool University Key Program Special Fund under Grant KSF-A-17; and in part by the Suzhou Municipal Key Laboratory for Intelligent Virtual Engineering under Grant SZS2022004.</t>
  </si>
  <si>
    <t>10.1109/ACCESS.2023.3264550</t>
  </si>
  <si>
    <t>I8XZ1</t>
  </si>
  <si>
    <t>WOS:001005570300001</t>
  </si>
  <si>
    <t>Sharma, M; Pant, B; Singh, V</t>
  </si>
  <si>
    <t>Sharma, Manish; Pant, Bhasker; Singh, Vijay</t>
  </si>
  <si>
    <t>Demographic profile building for cold start in recommender system: A social media fusion approach</t>
  </si>
  <si>
    <t>MATERIALS TODAY-PROCEEDINGS</t>
  </si>
  <si>
    <t>International Conference on Technological Advancements in Materials Science and Manufacturing (ICTAMSM)</t>
  </si>
  <si>
    <t>FEB 19-20, 2021</t>
  </si>
  <si>
    <t>INDIA</t>
  </si>
  <si>
    <t>Data mining; Recommender system; Cold start; Machine learning</t>
  </si>
  <si>
    <t>New user recommendation is a big challenge for social networks site like reddit, where user profile is not so much rich. The aim of this paper is to enhance recommendation process that reddit can used for its users. We know that twitter and Facebook generate rich user information for social media behavior analysis and research. reddit recommendation system usually implement generic recommendation for its users in order to recommend subreddit, other side of coin, Like LinkedIn, amazon have very specialized user and item recommendation system based on user detail and create effective user profile for future reference. In this work fusion twitter and Facebook dataset user profile building by using tweets and post posted on Facebook by authentic unique user, and after that we extract user profile feature and parallelly perform subreddit listing for specific user feature generated by profile building. As per the reddit rank it is the 5th most visited site of USA and in world it holds 13th rank of most visited site. Twitter has 330 million active users with rich user profile like user demography. In this paper we analyze user timeline and identify user interest using machine learning and extract keywords using TF-IDF. Given the output with this machine learning used as input for a web based reddit subreddit listing application. (c) 2021 Elsevier Ltd. All rights reserved. Selection and peer-review under responsibility of the scientific committee of the International Conference on Technological Advancements in Materials Science and Manufacturing.</t>
  </si>
  <si>
    <t>[Sharma, Manish; Pant, Bhasker; Singh, Vijay] Graph Era Univ Dehradun, 566-6 Bell Rd, Dehra Dun 248002, Uttarakhand, India</t>
  </si>
  <si>
    <t>Graphic Era University</t>
  </si>
  <si>
    <t>Sharma, M (corresponding author), Graph Era Univ Dehradun, 566-6 Bell Rd, Dehra Dun 248002, Uttarakhand, India.</t>
  </si>
  <si>
    <t>Sharma, Manish/JXN-5116-2024; Singh, Vijay/AAF-2310-2020; /AAI-1178-2019</t>
  </si>
  <si>
    <t>Sharma, Manish/0000-0002-2131-301X;</t>
  </si>
  <si>
    <t>Graphic Era deemed to be University Dehradun Uttarakhand</t>
  </si>
  <si>
    <t>This research was supported by Graphic Era deemed to be University Dehradun Uttarakhand. I thank Dr. Bhasker Pant and Dr. Vijay Singh for assistance for this work that greatly improved the manuscript.</t>
  </si>
  <si>
    <t>2214-7853</t>
  </si>
  <si>
    <t>MATER TODAY-PROC</t>
  </si>
  <si>
    <t>Mater. Today-Proc.</t>
  </si>
  <si>
    <t>10.1016/j.matpr.2021.02.428</t>
  </si>
  <si>
    <t>Materials Science, Multidisciplinary</t>
  </si>
  <si>
    <t>Materials Science</t>
  </si>
  <si>
    <t>UX6AK</t>
  </si>
  <si>
    <t>WOS:000700925600014</t>
  </si>
  <si>
    <t>Jian, M; Jia, T; Yang, X; Wu, LF; Huo, LN</t>
  </si>
  <si>
    <t>Jian, Meng; Jia, Ting; Yang, Xun; Wu, Lifang; Huo, Lina</t>
  </si>
  <si>
    <t>Cross-modal Collaborative Manifold Propagation for Image Recommendation</t>
  </si>
  <si>
    <t>ICMR'19: PROCEEDINGS OF THE 2019 ACM INTERNATIONAL CONFERENCE ON MULTIMEDIA RETRIEVAL</t>
  </si>
  <si>
    <t>ACM International Conference on Multimedia Retrieval (ICMR)</t>
  </si>
  <si>
    <t>JUN 10-13, 2019</t>
  </si>
  <si>
    <t>Assoc Comp Machinery,Assoc Comp Machinery SIGMM</t>
  </si>
  <si>
    <t>Cross-modal; collaborative learning; manifold propagation; image recommendation; social preference</t>
  </si>
  <si>
    <t>With the rapid evolution of social networks, the increasing user intention gap and visual semantic gap both bring great challenge for users to access satisfied contents. It becomes promising to investigate users' customized multimedia recommendation. In this paper, we propose cross-modal collaborative manifold propagation ( CMP) for image recommendation. CMP leverages users' interest distribution to propagate images' user records, which lets users know the trend from others and produces interest-aware image candidates upon users' interests. Visual distribution is investigated simultaneously to propagate users' visual records along dense semantic visual manifold. Visual manifold propagation helps to estimate semantic accurate user-image correlations for the candidate images in recommendation ranking. Experimental performance demonstrate the collaborative user-image inferring ability of CMP with effective user interest manifold propagation and semantic visual manifold propagation in personalized image recommendation.</t>
  </si>
  <si>
    <t>[Jian, Meng; Jia, Ting; Wu, Lifang] Beijing Univ Technol, Beijing, Peoples R China; [Yang, Xun] Natl Univ Singapore, Singapore, Singapore; [Huo, Lina] Hebei Normal Univ, Shijiazhuang, Hebei, Peoples R China</t>
  </si>
  <si>
    <t>Beijing University of Technology; National University of Singapore; Hebei Normal University</t>
  </si>
  <si>
    <t>Wu, LF (corresponding author), Beijing Univ Technol, Beijing, Peoples R China.;Huo, LN (corresponding author), Hebei Normal Univ, Shijiazhuang, Hebei, Peoples R China.</t>
  </si>
  <si>
    <t>jianmeng648@163.com; jiatingkl@emails.bjut.edu.cn; xunyang@nus.edu.sg; lfwu@bjut.edu.cn; huolinalw@163.com</t>
  </si>
  <si>
    <t>National Natural Science Foundation of China [61702022, 61802011]; Beijing Municipal Education Committee Science Foundation [KM201910005024]; Beijing excellent young talent cultivation project of China [2017000020124G075]; Beijing University of Technology Ri Xin cultivation project, China Postdoctoral Science Foundation [2018T110019]</t>
  </si>
  <si>
    <t>National Natural Science Foundation of China(National Natural Science Foundation of China (NSFC)); Beijing Municipal Education Committee Science Foundation; Beijing excellent young talent cultivation project of China; Beijing University of Technology Ri Xin cultivation project, China Postdoctoral Science Foundation(China Postdoctoral Science Foundation)</t>
  </si>
  <si>
    <t>This work was supported by the National Natural Science Foundation of China (NO. 61702022, NO. 61802011), Beijing Municipal Education Committee Science Foundation (NO. KM201910005024), Beijing excellent young talent cultivation project of China (NO. 2017000020124G075), Beijing University of Technology Ri Xin cultivation project, China Postdoctoral Science Foundation funded project (No. 2018T110019).</t>
  </si>
  <si>
    <t>978-1-4503-6765-3</t>
  </si>
  <si>
    <t>10.1145/3323873.3325054</t>
  </si>
  <si>
    <t>BN4LK</t>
  </si>
  <si>
    <t>WOS:000482188900051</t>
  </si>
  <si>
    <t>Han, XH; Wang, LH; Liu, GQ; Zhao, DW; Xu, SJ</t>
  </si>
  <si>
    <t>Han, Xiaohui; Wang, Lianhai; Liu, Guangqi; Zhao, Dawei; Xu, Shujiang</t>
  </si>
  <si>
    <t>Occupation Profiling with User-Generated Geolocation Data</t>
  </si>
  <si>
    <t>PROCEEDINGS OF 2017 2ND INTERNATIONAL CONFERENCE ON KNOWLEDGE ENGINEERING AND APPLICATIONS (ICKEA)</t>
  </si>
  <si>
    <t>2nd International Conference on Knowledge Engineering and Applications (ICKEA)</t>
  </si>
  <si>
    <t>OCT 21-23, 2017</t>
  </si>
  <si>
    <t>Imperial Coll, London, ENGLAND</t>
  </si>
  <si>
    <t>Imperial Coll</t>
  </si>
  <si>
    <t>social media; user profiling; occupation inference; mobility pattern; location preference</t>
  </si>
  <si>
    <t>The flourishing of social networking applications (SNA) in recent years has revolutionized the way we live. On the other hand, SNA are also used for malicious activities. Identifying the physical person behind a SNA account is a challenge task in investigations of SNA-involved criminal cases. As one way to address this challenge, automatic user attribute inference, which is also referred to as user profiling, has become an increasingly attractive research topic. However, existing methods may suffer from problems such as low quality content and complex social networks. The increasing amounts of user-generated geolocation data on SNA give rise to new opportunities for user profiling. In this paper, we study the problem of user profiling with user-generated geolocation data. Specifically, we take occupation profiling as an entry point. We design a supervised occupation classification framework and propose two categories of geolocation-based features, i.e., mobility pattern features (MPF) and location preference features (LPF). Experiments performed using real-world SNA data reveal that LPF can indicate the occupation to a certain extent and are more efficient than word count features and TF-IDF features. Moreover, it is also revealed that good occupation profiling accuracy can be achieved by integrating LPF and LDA topic features inferred from text content.</t>
  </si>
  <si>
    <t>[Han, Xiaohui; Wang, Lianhai; Liu, Guangqi; Zhao, Dawei; Xu, Shujiang] Natl Super Comp Ctr Jinan, Shandong Comp Sci Ctr, Shandong Prov Key Lab Comp Network, Jinan, Shandong, Peoples R China</t>
  </si>
  <si>
    <t>Qilu University of Technology</t>
  </si>
  <si>
    <t>Han, XH (corresponding author), Natl Super Comp Ctr Jinan, Shandong Comp Sci Ctr, Shandong Prov Key Lab Comp Network, Jinan, Shandong, Peoples R China.</t>
  </si>
  <si>
    <t>hanxh@sdas.org; wanglh@sdas.org; liuguangqi@sdas.org; zhaodw@sdas.org; xushj@sdas.org</t>
  </si>
  <si>
    <t>Zhao, Dawei/ABA-4913-2020</t>
  </si>
  <si>
    <t>National Natural Science Foundation of China [61602281]; Natural Science Foundation of Shandong Province of China [ZR2015YL018, ZR2016YL011, ZR2016YL014]; Youth Science Funds of Shandong Academy of Sciences [2014QN011]</t>
  </si>
  <si>
    <t>National Natural Science Foundation of China(National Natural Science Foundation of China (NSFC)); Natural Science Foundation of Shandong Province of China(Natural Science Foundation of Shandong Province); Youth Science Funds of Shandong Academy of Sciences</t>
  </si>
  <si>
    <t>This work was supported in part by National Natural Science Foundation of China (61602281), Natural Science Foundation of Shandong Province of China (ZR2015YL018, ZR2016YL011 and ZR2016YL014), Youth Science Funds of Shandong Academy of Sciences (2014QN011).</t>
  </si>
  <si>
    <t>978-1-5386-2150-9</t>
  </si>
  <si>
    <t>BJ8HP</t>
  </si>
  <si>
    <t>WOS:000428208400017</t>
  </si>
  <si>
    <t>Xin, MJ; Wu, LJ; Li, SX</t>
  </si>
  <si>
    <t>Xin, Mingjun; Wu, Lijun; Li, Shunxiang</t>
  </si>
  <si>
    <t>A User Profile Awareness Service Collaborative Recommendation Algorithm Under LBSN Environment</t>
  </si>
  <si>
    <t>INTERNATIONAL JOURNAL OF COOPERATIVE INFORMATION SYSTEMS</t>
  </si>
  <si>
    <t>LBSN; location context; user profile; social relationship; service recommendation</t>
  </si>
  <si>
    <t>LOCATION; PREDICTION; SYSTEM</t>
  </si>
  <si>
    <t>Nowadays, location-based social network (LBSN) has become one of the most popular applications with the rapid development of mobile Internet. However, due to the spatial and real-time properties, mobile service recommendation under LBSN environment faces too many challenges especially data sparsity problem. To tackle these challenges, a recommendation framework is proposed in this paper which has four layers defined as data collection layer, user profile modeling layer, information processing layer and recommendation feedback layer, respectively. Furthermore, the ISC-CF algorithm is implemented to integrate users' interest profile, social influence and current location context to effectively overcome the data sparsity problem. Thus, the social influence is quantified by a modified measure way. Finally, a dynamic and personalized adjustment algorithm is built by using the users' profile tracking and the current location context. The experiment results show that the algorithm proposed in this paper has significantly superior performance compared with the other baseline recommendation methods in both hometown area and out-of-town area.</t>
  </si>
  <si>
    <t>[Xin, Mingjun; Wu, Lijun; Li, Shunxiang] Shanghai Univ, Sch Comp Engn &amp; Sci, Shanghai 200444, Peoples R China</t>
  </si>
  <si>
    <t>Shanghai University</t>
  </si>
  <si>
    <t>Xin, MJ (corresponding author), Shanghai Univ, Sch Comp Engn &amp; Sci, Shanghai 200444, Peoples R China.</t>
  </si>
  <si>
    <t>xinmj@shu.edu.cn; 1515870820@qq.com; 624356744@qq.com</t>
  </si>
  <si>
    <t>li, shunxiang/PBW-3978-2025; WU, LIJUN/U-2306-2019</t>
  </si>
  <si>
    <t>National Natural Science Foundation of China [61074135, 61303096, 71101086]; Shanghai Leading Academic Discipline Project [J50103]</t>
  </si>
  <si>
    <t>National Natural Science Foundation of China(National Natural Science Foundation of China (NSFC)); Shanghai Leading Academic Discipline Project(Shanghai Leading Academic Discipline Project)</t>
  </si>
  <si>
    <t>This work is partially supported by the National Natural Science Foundation of China under grants (61074135, 61303096, 71101086) and Shanghai Leading Academic Discipline Project (J50103). We also would like to show our great appreciations to all of our hard working fellows in the above projects.</t>
  </si>
  <si>
    <t>5 TOH TUCK LINK, SINGAPORE 596224, SINGAPORE</t>
  </si>
  <si>
    <t>0218-8430</t>
  </si>
  <si>
    <t>1793-6365</t>
  </si>
  <si>
    <t>INT J COOP INF SYST</t>
  </si>
  <si>
    <t>Int. J. Coop. Inf. Syst.</t>
  </si>
  <si>
    <t>10.1142/S0218843019500084</t>
  </si>
  <si>
    <t>JL2LO</t>
  </si>
  <si>
    <t>WOS:000495363800003</t>
  </si>
  <si>
    <t>Pany, P; Lörnitzo, A; Auleitner, L; Heidinger, C; Lampert, P; Kiehn, M</t>
  </si>
  <si>
    <t>Pany, Peter; Lornitzo, Agnes; Auleitner, Lisa; Heidinger, Christine; Lampert, Peter; Kiehn, Michael</t>
  </si>
  <si>
    <t>Using students' interest in useful plants to encourage plant vision in the classroom</t>
  </si>
  <si>
    <t>PLANTS PEOPLE PLANET</t>
  </si>
  <si>
    <t>individual interest; medicinal plants; plant blindness; situational interest; students' interest; teaching biology; useful plants</t>
  </si>
  <si>
    <t>Societal Impact Statement The phenomenon known as plant blindness leads to a restricted view on nature, which may in turn result in people and society having less understanding of important environmental and conservation issues. Biology educators must tackle this problem directly. By exploring students' interests in useful plants (spice plants and stimulant herbal drugs), we present a route by which educators could counteract plant blindness by taking students' plant-related interests into account when preparing a teaching unit. We reveal that educators must carefully select the plant materials used as examples in the classroom to effectively encourage plant vision in students. Summary The term plant blindness describes the phenomenon that many people tend to overlook plants in their everyday life. Therefore, they often do not understand key biological concepts to their full extent and may develop a more restricted view of nature. Here, we provide a possible method of counteracting plant blindness in schools by capitalizing on students' interest in useful plants to impart botanical content in biology lessons. We investigated 172 students aged 10-18 years old in order to explore the links between students' individual interests in spice plants and stimulant herbal drugs and their situational interest during an inquiry-based botany teaching unit by using a questionnaire and additional semi-structured interviews. Data analysis shows that, for students with low and medium individual interest, stimulant herbal drugs and spice plants can be used to generate higher situational interest. Furthermore, students with initially high individual interest should get the opportunity to follow their own questions concerning a plant group before working on a structured learning task. Using study objects from different subgroups of useful plants for introducing botanical content in biology lessons, and giving highly interested students time and space to follow their own interests, seems to be a promising way to counteract plant blindness and, thus, to help enable students to develop a more comprehensive view of nature.</t>
  </si>
  <si>
    <t>[Pany, Peter; Lampert, Peter; Kiehn, Michael] Univ Vienna, Austrian Educ Competence Ctr Biol AECCbio, Porzellangasse 4, A-1090 Vienna, Austria; [Pany, Peter; Lornitzo, Agnes; Auleitner, Lisa; Lampert, Peter; Kiehn, Michael] Univ Vienna, Bot Garden, Vienna, Austria; [Heidinger, Christine] Hsch Agrar &amp; Umweltpadag, Vienna, Austria</t>
  </si>
  <si>
    <t>University of Vienna; University of Vienna</t>
  </si>
  <si>
    <t>Pany, P (corresponding author), Univ Vienna, Austrian Educ Competence Ctr Biol AECCbio, Porzellangasse 4, A-1090 Vienna, Austria.</t>
  </si>
  <si>
    <t>peter.pany@univie.ac.at</t>
  </si>
  <si>
    <t>Kiehn, Michael/ABF-1258-2020; Pany, Peter/AAV-3671-2020; Lampert, Peter/LYO-7154-2024</t>
  </si>
  <si>
    <t>Kiehn, Michael/0000-0002-0095-0618; Pany, Peter/0000-0001-7452-4411;</t>
  </si>
  <si>
    <t>2572-2611</t>
  </si>
  <si>
    <t>Plants People Planet</t>
  </si>
  <si>
    <t>10.1002/ppp3.43</t>
  </si>
  <si>
    <t>Biodiversity Conservation; Plant Sciences; Ecology</t>
  </si>
  <si>
    <t>Biodiversity &amp; Conservation; Plant Sciences; Environmental Sciences &amp; Ecology</t>
  </si>
  <si>
    <t>VK3QK</t>
  </si>
  <si>
    <t>WOS:000683381100019</t>
  </si>
  <si>
    <t>Lytvynova, S; Vodopian, N; Sysoeva, O</t>
  </si>
  <si>
    <t>Tomczyk, L</t>
  </si>
  <si>
    <t>Lytvynova, Svitlana; Vodopian, Nataliia; Sysoeva, Olga</t>
  </si>
  <si>
    <t>Artificial Intelligence in Secondary Education: An Innovative Teacher's Tool to Ensure Individualised Learning for Students</t>
  </si>
  <si>
    <t>NEW MEDIA PEDAGOGY: RESEARCH TRENDS, METHODOLOGICAL CHALLENGES, AND SUCCESSFUL IMPLEMENTATIONS, NMP 2023</t>
  </si>
  <si>
    <t>2nd International Conference on New Media Pedagogy (NMP) - Research Trends, Methodological Challenges, and Successful Implementations</t>
  </si>
  <si>
    <t>NOV 21-23, 2023</t>
  </si>
  <si>
    <t>Cracow, POLAND</t>
  </si>
  <si>
    <t>Jagiellonian Univ</t>
  </si>
  <si>
    <t>AI; Secondary School; Media Pedagogy; Individualization of Education; ICT in Education; Teacher Development; Students</t>
  </si>
  <si>
    <t>In recent years, the digital transformation of society has characterised access to the Internet as a prerequisite for educational activities. Artificial intelligence (AI) has opened up newopportunities for developing individualised learning for students. A 2023 study analyses the results of using artificial intelligence by teachers of Ukrainian secondary schools. The main goal of the survey is to determine the state of AI applications for individualised learning and the integration of this technology into pedagogical practice. The study examines the timing of digital technology implementation and its impact on the continuous development of teachers' digital competencies. Particular attention is paid to the aspects of AI implementation, including educational purposes, teacher readiness, and limitations of this technology. It is established that to implement individualised learning, the goal and objectives of individualisation, the choice of AI services and platforms, opportunities for students, security measures, learning pace, level of mastery of the material and personal interests should be considered. The author proposes a classification of tasks for students using AI and provides examples of assessments for students of grades 7-9 in English, mathematics, and biology. Emphasis is given to the fact that AI-powered automatic assessment enables the recognition of the requirements of every individual student and adapts learning tasks according to their current abilities and knowledge. Despite the challenges and problems of integrating AI into the school environment, the study points to the growing interest of teachers in this technology, the improvement of AI capabilities, and its gradual development as a teacher's assistant.</t>
  </si>
  <si>
    <t>[Lytvynova, Svitlana; Vodopian, Nataliia] NAES Ukraine, Inst Digitalisat Educ, 9 M Berlinskoho St, UA-04060 Kyiv, Ukraine; [Sysoeva, Olga] Dnipro Sci Lyceum Informat Technol Dnipro City Co, 8 Shevchenko St, Dnipro, Ukraine</t>
  </si>
  <si>
    <t>Institute for Digitalisation of Education of the National Academy of Educational Sciences of Ukraine</t>
  </si>
  <si>
    <t>Lytvynova, S (corresponding author), NAES Ukraine, Inst Digitalisat Educ, 9 M Berlinskoho St, UA-04060 Kyiv, Ukraine.</t>
  </si>
  <si>
    <t>s.h.lytvynova@gmail.com; vodopyan_n@dlit.dp.ua; sysoieva@dlit.dp.ua</t>
  </si>
  <si>
    <t>; Lytvynova, Svitlana/O-7899-2016</t>
  </si>
  <si>
    <t>Sysoieva, Olha/0000-0001-7501-4050; Lytvynova, Svitlana/0000-0002-5450-6635</t>
  </si>
  <si>
    <t>978-3-031-63234-1; 978-3-031-63235-8</t>
  </si>
  <si>
    <t>10.1007/978-3-031-63235-8_26</t>
  </si>
  <si>
    <t>BX3XC</t>
  </si>
  <si>
    <t>WOS:001285637200026</t>
  </si>
  <si>
    <t>Ali, M; Huang, Y; Gertz, M; Renz, M; Sankaranarayanan, J</t>
  </si>
  <si>
    <t>Location Familiarity Based Flickr Photographer Classification for POI Mining</t>
  </si>
  <si>
    <t>23RD ACM SIGSPATIAL INTERNATIONAL CONFERENCE ON ADVANCES IN GEOGRAPHIC INFORMATION SYSTEMS (ACM SIGSPATIAL GIS 2015)</t>
  </si>
  <si>
    <t>23rd ACM SIGSPATIAL International Conference on Advances in Geographic Information Systems (ACM SIGSPATIAL GIS)</t>
  </si>
  <si>
    <t>NOV 03-06, 2015</t>
  </si>
  <si>
    <t>ACM SIGSPATIAL,Micorsoft,ESRI,Google,Facebook,Nvidia</t>
  </si>
  <si>
    <t>User profiling; location familiarity; geo-tagged image; probabilistic model; social network</t>
  </si>
  <si>
    <t>In this paper, we propose and compare three ways of modeling photographers' location familiarity: a social network driven model, a time driven model and a location driven model. Then, the integration of the three models is further discussed. Experimental evaluations and analysis on a real data set consisting of 14,112 images collected from three cities well demonstrate the performance of the proposed classification methods. Many applications could benefit from information about the location familiarity, such as personalized geo-social recommendation, epidemic dispersion, urban computing, and so on.</t>
  </si>
  <si>
    <t>[Zhuang, Chenyi; Ma, Qiang; Yoshikawa, Masatoshi] Kyoto Univ, Grad Sch Informat, Kyoto 6068501, Japan</t>
  </si>
  <si>
    <t>Zhuang, CY (corresponding author), Kyoto Univ, Grad Sch Informat, Kyoto 6068501, Japan.</t>
  </si>
  <si>
    <t>Zhuang, Chenyi/L-6992-2018; /L-6992-2018; /AID-2200-2022; Ma, Qiang/HCI-1013-2022</t>
  </si>
  <si>
    <t>Zhuang, Chenyi/0000-0003-1891-5666; Ma, Qiang/0000-0003-3430-9244</t>
  </si>
  <si>
    <t>JSPS KAKENHI [25700033, 15J01402]; Grants-in-Aid for Scientific Research [15J01402, 25700033] Funding Source: KAKEN</t>
  </si>
  <si>
    <t>JSPS KAKENHI(Ministry of Education, Culture, Sports, Science and Technology, Japan (MEXT)Japan Society for the Promotion of ScienceGrants-in-Aid for Scientific Research (KAKENHI)); Grants-in-Aid for Scientific Research(Ministry of Education, Culture, Sports, Science and Technology, Japan (MEXT)Japan Society for the Promotion of ScienceGrants-in-Aid for Scientific Research (KAKENHI))</t>
  </si>
  <si>
    <t>This work is supported by JSPS KAKENHI Grant Numbers 25700033 and 15J01402.</t>
  </si>
  <si>
    <t>978-1-4503-3967-4</t>
  </si>
  <si>
    <t>10.1145/2820783.2820875</t>
  </si>
  <si>
    <t>BH0PG</t>
  </si>
  <si>
    <t>WOS:000395825700084</t>
  </si>
  <si>
    <t>Roure, C; Pasco, D</t>
  </si>
  <si>
    <t>Roure, Cedric; Pasco, Denis</t>
  </si>
  <si>
    <t>Exploring the Effects of a Context Personalization Approach in Physical Education on Students' Interests and Perceived Competence</t>
  </si>
  <si>
    <t>JOURNAL OF TEACHING IN PHYSICAL EDUCATION</t>
  </si>
  <si>
    <t>motivation; video games; handball; adolescents</t>
  </si>
  <si>
    <t>SITUATIONAL INTEREST; GAMIFICATION; MATHEMATICS; DESIGN; IMPACT; MODEL</t>
  </si>
  <si>
    <t>Purpose: The context personalization approach refers to matching educational content with characters, objects, and themes of students' out-of-school interests. Considering the positive effects of individual interest on the regulation of student-in-context experiences, this study used the context personalization approach to match physical education (PE) lessons with students' out-of-school interest for video games. The purpose was to explore the effects of a context personalization approach through a gamified PE unit on students' interests and perceived competence. Method: One hundred and eighty-four students from eight PE classes were allocated to either an experimental group or a control group. All classes experienced a handball unit (six lessons), inspired by the Games-Centered Approach. The only difference between the experimental classes (N = 5) and the control classes (N = 3) was the presence or the absence of a context personalization approach centered on students' out-of-school interest for video games. The effects were assessed on three outcomes variables: students' individual interest, situational interest, and perceived competence. Results: The gamified PE unit resulted in positive effects on students' individual interest, situational interest, and perceived competence in handball, since the experimental classes reported higher scores for all variables compared to the control classes. However, the effects on students' situational interest were principally moderated by students' individual interest, indicating that the effect of the context personalization approach was higher for the students having low preintervention individual interest. Discussion/ Conclusion: Using a context personalization approach based on a gamified unit is a promising strategy in PE to impact students' interests and perceived competence.</t>
  </si>
  <si>
    <t>[Roure, Cedric] Univ Teacher Educ, Teaching &amp; Res Unit Phys Educ &amp; Sport UER EPS, Lausanne, Switzerland; [Pasco, Denis] Univ Bourgogne Franche Comte, Sch Educ, ELLIADD Lab, Besancon, France</t>
  </si>
  <si>
    <t>Universite Marie et Louis Pasteur</t>
  </si>
  <si>
    <t>Roure, C (corresponding author), Univ Teacher Educ, Teaching &amp; Res Unit Phys Educ &amp; Sport UER EPS, Lausanne, Switzerland.</t>
  </si>
  <si>
    <t>cedric.roure@hepl.ch</t>
  </si>
  <si>
    <t>Pasco, Denis/AAD-2647-2019</t>
  </si>
  <si>
    <t>HUMAN KINETICS PUBL INC</t>
  </si>
  <si>
    <t>CHAMPAIGN</t>
  </si>
  <si>
    <t>1607 N MARKET ST, PO BOX 5076, CHAMPAIGN, IL 61820-2200 USA</t>
  </si>
  <si>
    <t>0273-5024</t>
  </si>
  <si>
    <t>1543-2769</t>
  </si>
  <si>
    <t>J TEACH PHYS EDUC</t>
  </si>
  <si>
    <t>J. Teach. Phys. Educ.</t>
  </si>
  <si>
    <t>10.1123/jtpe.2021-0283</t>
  </si>
  <si>
    <t>JUL 2022</t>
  </si>
  <si>
    <t>Education &amp; Educational Research; Sport Sciences</t>
  </si>
  <si>
    <t>CN9H7</t>
  </si>
  <si>
    <t>WOS:000928352400001</t>
  </si>
  <si>
    <t>Sasso, F; Coluccia, A; Notarstefano, G</t>
  </si>
  <si>
    <t>Sasso, Francesco; Coluccia, Angelo; Notarstefano, Giuseppe</t>
  </si>
  <si>
    <t>Interaction-Based Distributed Learning in Cyber-Physical and Social Networks</t>
  </si>
  <si>
    <t>IEEE TRANSACTIONS ON AUTOMATIC CONTROL</t>
  </si>
  <si>
    <t>Bayes methods; Probabilistic logic; Maximum likelihood estimation; Social networking (online); Distributed algorithms; Random variables; Classification; consensus; distributed estimation; distributed learning; distributed optimization; empirical Bayes</t>
  </si>
  <si>
    <t>CONVERGENCE; CONSENSUS; DYNAMICS</t>
  </si>
  <si>
    <t>In this paper, we consider a network scenario in which agents can evaluate each other according to a score graph that models some physical or social interaction. The goal is to design a distributed protocol, run by the agents, allowing them to learn their unknown state among a finite set of possible values. We propose a Bayesian framework in which scores and states are associated to probabilistic events with unknown parameters and hyperparameters, respectively. We prove that each agent can learn its state by combining a local Bayesian classifier with a (centralized) Maximum Likelihood (ML) estimator of the parameter-hyperparameter. To overcome the intractability of the ML problem, we provide two relaxed probabilistic models that lead to distributed estimation schemes with affordable complexity. In order to highlight the appropriateness of the proposed relaxations, we demonstrate the distributed estimators on a machine-to-machine testing setup for anomaly detection and on a social interaction setup for user profiling.</t>
  </si>
  <si>
    <t>[Sasso, Francesco; Coluccia, Angelo] Univ Salento, Dept Engn, I-73100 Lecce, Italy; [Notarstefano, Giuseppe] Univ Bologna, Dept Elect Elect &amp; Informat Engn, I-40136 Bologna, Italy</t>
  </si>
  <si>
    <t>University of Salento; University of Bologna</t>
  </si>
  <si>
    <t>Notarstefano, G (corresponding author), Univ Bologna, Dept Elect Elect &amp; Informat Engn, I-40136 Bologna, Italy.</t>
  </si>
  <si>
    <t>francesco.sasso@unisalento.it; angelo.coluccia@unisalento.it; giuseppe.notarstefano@unibo.it</t>
  </si>
  <si>
    <t>Notarstefano, Giuseppe/N-9322-2015; Coluccia, Angelo/N-3219-2015</t>
  </si>
  <si>
    <t>Notarstefano, Giuseppe/0000-0002-0906-7848; Coluccia, Angelo/0000-0001-7118-9734</t>
  </si>
  <si>
    <t>European Research Council (ERC) under the European Union [638992 - OPT4SMART]</t>
  </si>
  <si>
    <t>European Research Council (ERC) under the European Union(European Research Council (ERC))</t>
  </si>
  <si>
    <t>This study was supported by the European Research Council (ERC) under the European Unions Horizon 2020 research and innovation programme (grant 638992 - OPT4SMART).</t>
  </si>
  <si>
    <t>0018-9286</t>
  </si>
  <si>
    <t>1558-2523</t>
  </si>
  <si>
    <t>IEEE T AUTOMAT CONTR</t>
  </si>
  <si>
    <t>IEEE Trans. Autom. Control</t>
  </si>
  <si>
    <t>10.1109/TAC.2019.2917715</t>
  </si>
  <si>
    <t>KC0BH</t>
  </si>
  <si>
    <t>WOS:000506851100016</t>
  </si>
  <si>
    <t>Sankar, H; Subramaniyaswamy, ; Vijayakumar, V; Kumar, SA; Logesh, R; Umamakeswari, A</t>
  </si>
  <si>
    <t>Sankar, H.; Subramaniyaswamy, V; Vijayakumar, V.; Kumar, Sangaiah Arun; Logesh, R.; Umamakeswari, A.</t>
  </si>
  <si>
    <t>Intelligent sentiment analysis approach using edge computing-based deep learning technique</t>
  </si>
  <si>
    <t>SOFTWARE-PRACTICE &amp; EXPERIENCE</t>
  </si>
  <si>
    <t>convolutional neural network; deep learning; edge computing; mobile; sentiment analysis; word embeddings</t>
  </si>
  <si>
    <t>Sentiment analysis and opinion mining has become a major tool for collecting information from customer reviews on user sentiments and emotions, especially for online video streaming services and social networks. The increasing use of smartphones has popularized subscription to various streaming services that provide streaming media and video-on-demand. These applications offer a gateway to analyze user reviews by introducing sentiment analysis in the mobile environment. Online user reviews can hold a lot of useful information and help predict user interests. Analysis of user reviews can provide substantive information for business processing. Sentiment classification of these reviews is a commonly used analysis technique. Usually, these reviews are given in a text format, with every word in each considered a feature, so selection should focus on optimal features from all available features present in the reviews. This study employs machine learning algorithms to extract the best features from the training review data set. Then, the selected features are fed into the convolutional neural network and other fully connected layers for further processing. The proposed approach is evaluated with the standard evaluation metrics, such as precision, accuracy, recall, and f-measure, using three distinct benchmark data sets: polarity, Rotten Tomatoes, and IMDb. This work has also employed a pretrained sentiment analysis model over an Android application framework to classify reviews on a Smartphone without the need for any cloud or server-side API.</t>
  </si>
  <si>
    <t>[Sankar, H.; Subramaniyaswamy, V; Logesh, R.; Umamakeswari, A.] SASTRA Deemed Univ, Sch Comp, Thanjavur, India; [Vijayakumar, V.] Vellore Inst Technol, Sch Comp Sci &amp; Engn, Chennai, Tamil Nadu, India; [Kumar, Sangaiah Arun] Vellore Inst Technol, Sch Comp Sci &amp; Engn, Vellore, Tamil Nadu, India</t>
  </si>
  <si>
    <t>Shanmugha Arts, Science, Technology &amp; Research Academy (SASTRA); Vellore Institute of Technology (VIT); VIT Chennai; Vellore Institute of Technology (VIT); VIT Vellore</t>
  </si>
  <si>
    <t>Kumar, SA (corresponding author), Vellore Inst Technol, Sch Comp Sci &amp; Engn, Vellore, Tamil Nadu, India.</t>
  </si>
  <si>
    <t>arunkumarsangaiah@gmail.com</t>
  </si>
  <si>
    <t>; varadarajan, vijayakumar/K-8007-2017; Sangaiah, Arun Kumar/U-6785-2019</t>
  </si>
  <si>
    <t>A, Umamakeswari/0000-0001-9724-1115; , Subramaniyaswamy/0000-0001-5328-7672; Sangaiah, Arun Kumar/0000-0002-0229-2460</t>
  </si>
  <si>
    <t>0038-0644</t>
  </si>
  <si>
    <t>1097-024X</t>
  </si>
  <si>
    <t>SOFTWARE PRACT EXPER</t>
  </si>
  <si>
    <t>Softw.-Pract. Exp.</t>
  </si>
  <si>
    <t>10.1002/spe.2687</t>
  </si>
  <si>
    <t>Computer Science, Software Engineering</t>
  </si>
  <si>
    <t>LE2UO</t>
  </si>
  <si>
    <t>WOS:000526578200011</t>
  </si>
  <si>
    <t>Bilal, M; Marjani, M; Hashem, IAT; Malik, N; Lali, MIU; Gani, A</t>
  </si>
  <si>
    <t>Bilal, Muhammad; Marjani, Mohsen; Hashem, Ibrahim Abaker Targio; Malik, Nadia; Lali, Muhammad Ikram Ullah; Gani, Abdullah</t>
  </si>
  <si>
    <t>Profiling reviewers' social network strength and predicting the Helpfulness of online customer reviews</t>
  </si>
  <si>
    <t>Online reviews; Review helpfulness; Information overload; Predictive modeling; User profiling; Feature engineering; Feature selection</t>
  </si>
  <si>
    <t>PRODUCT REVIEWS; INFORMATION; CONTRIBUTE; MEDIA</t>
  </si>
  <si>
    <t>Online customer reviews have become a popular source of information that influences the purchasing decisions of many prospective customers. However, the rapidly increasing volume of online reviews presents a problem of information overload, which makes it difficult for customers to determine the quality of the reviews. This study defines the helpfulness of the reviews as a count variable and takes the review helpfulness prediction from both regression and classification perspectives. The influence of friends and followers on review helpfulness is examined by introducing Social Network Strength (SNS) features. Furthermore, the performance of Machine Learning (ML) algorithms and the importance of features are separately examined for both problems using different time span of reviews. The evaluation performed using a dataset of 90,671 Yelp shopping reviews demonstrates the effectiveness of the proposed approach. The findings of this study have important theoretical and practical implications for researchers, businesses, reviewers and review platforms.</t>
  </si>
  <si>
    <t>[Bilal, Muhammad; Marjani, Mohsen] Taylors Univ, Sch Comp Sci &amp; Engn, Subang Jaya 47500, Malaysia; [Bilal, Muhammad; Marjani, Mohsen] Taylors Univ, Ctr Data Sci &amp; Analyt, Subang Jaya, Malaysia; [Hashem, Ibrahim Abaker Targio] Univ Sharjah, Coll Comp &amp; Informat, Dept Comp Sci, Sharjah, U Arab Emirates; [Malik, Nadia] COMSATS Univ Islamabad, Dept Management Sci, Islamabad, Pakistan; [Lali, Muhammad Ikram Ullah] Univ Educ, Dept Informat Sci, Lahore, Pakistan; [Gani, Abdullah] Univ Malaysia Sabah, Fac Comp &amp; Informat, Labuan, Malaysia; [Gani, Abdullah] Univ Malaya, Fac Comp Sci &amp; Informat Technol, Kuala Lumpur, Malaysia</t>
  </si>
  <si>
    <t>Taylor's University; Taylor's University; University of Sharjah; COMSATS University Islamabad (CUI); Universiti Malaya</t>
  </si>
  <si>
    <t>Bilal, M (corresponding author), Taylors Univ, Sch Comp Sci &amp; Engn, Subang Jaya 47500, Malaysia.</t>
  </si>
  <si>
    <t>muhammadbilal@sd.taylors.edu.my; mohsen.marjani@taylors.edu.myly; ihashem@sharjah.ac.ae; malik_16@yahoo.com; m.i.lali@ue.edu.pk; abdullahgani@ums.edu.my</t>
  </si>
  <si>
    <t>Lali, Ikramullah/V-4076-2019; Hashem, Ibrahim Abaker Targio/AAP-1204-2020; Marjani, Mohsen/IAO-8292-2023; Gani, Abdullah/C-2888-2009; Bilal, Muhammad/ABD-5413-2020</t>
  </si>
  <si>
    <t>Lali, Ikramullah/0000-0003-2208-5853; Hashem, Ibrahim Abaker Targio/0000-0001-7611-9540; Marjani, Mohsen/0000-0002-7445-7332; Gani, Abdullah/0000-0002-4388-020X; Bilal, Muhammad/0000-0002-9827-5023</t>
  </si>
  <si>
    <t>JAN-FEB</t>
  </si>
  <si>
    <t>10.1016/j.elerap.2020.101026</t>
  </si>
  <si>
    <t>JAN 2021</t>
  </si>
  <si>
    <t>PU0SI</t>
  </si>
  <si>
    <t>WOS:000609019600003</t>
  </si>
  <si>
    <t>Knekta, E; Rowland, AA; Corwin, LA; Eddy, S</t>
  </si>
  <si>
    <t>Knekta, Eva; Rowland, Ashley A.; Corwin, Lisa A.; Eddy, Sarah</t>
  </si>
  <si>
    <t>Measuring university students' interest in biology: evaluation of an instrument targeting Hidi and Renninger's individual interest</t>
  </si>
  <si>
    <t>INTERNATIONAL JOURNAL OF STEM EDUCATION</t>
  </si>
  <si>
    <t>Interest; Factor analysis; Validation; Higher education; Measurement invariance; Biology education</t>
  </si>
  <si>
    <t>INTRINSIC MOTIVATION; ACHIEVEMENT GOALS; FIT INDEXES; SAMPLE-SIZE; QUALITY; MODEL; TEXT</t>
  </si>
  <si>
    <t>Background Boosting students' disciplinary interest has long been considered an important mechanism to increase student success and retention in STEM education. Yet, interest is a complex construct and can mean different things to different people, and many of the existing interest questionnaires do not identify a specific theoretical framework underlying their items. To demonstrate that curricular interventions targeting students' interest are effective, educators need a theoretically based instrument to measure interest. The aim of this study was to develop an instrument measuring undergraduate students' interest in the discipline of biology and collect initial validity evidence supporting the proposed use. The instrument structure is based on Hidi and Renninger's (Educational Psychologist 41:111-127, 2006) conceptualization of individual interest, and the intended use is to evaluate changes in the biology interests of the US undergraduate students pursuing STEM degrees. To provide evidence of validity, the instrument was completed by 446 biology majors and 489 non-biology majors at two R1 universities. Exploratory and confirmatory factor analyses were applied to evaluate the internal structure of the instrument. Results The final three-factor instrument supported by these analyses includes 6 items representing positive feelings towards biology, 5 items representing personal value of biology, and 8 items representing reengagement in biology-related activities. Measurement invariance across biology and non-biology majors was established and subsequent comparisons of these populations demonstrated that biology majors report significantly higher positive feelings, personal value, and reengagement in biology-related activities compared to non-biology majors. Conclusions The study findings support the use of the instrument to gain a broad understanding of students' individual interest in biology. With minor adaptions, the instrument could also be evaluated for use in other STEM disciplines and for use by other populations.</t>
  </si>
  <si>
    <t>[Knekta, Eva] Umea Univ, Dept Sci &amp; Math Educ, S-90187 Umea, Sweden; [Knekta, Eva; Eddy, Sarah] Florida Int Univ, Dept Biol Sci, Miami, FL 33199 USA; [Rowland, Ashley A.; Corwin, Lisa A.] Univ Colorado, Dept Ecol &amp; Evolutionary Biol, Boulder, CO 80309 USA</t>
  </si>
  <si>
    <t>Umea University; State University System of Florida; Florida International University; University of Colorado System; University of Colorado Boulder</t>
  </si>
  <si>
    <t>Eddy, S (corresponding author), Florida Int Univ, Dept Biol Sci, Miami, FL 33199 USA.</t>
  </si>
  <si>
    <t>seddy@fiu.edu</t>
  </si>
  <si>
    <t>Knekta, Eva/0000-0002-1861-6589; Eddy, Sarah/0000-0003-0902-4570; Corwin, Lisa/0000-0002-3671-0261</t>
  </si>
  <si>
    <t>NSF [1712160, 1711082]; Division Of Undergraduate Education; Direct For Education and Human Resources [1712160, 1711082] Funding Source: National Science Foundation</t>
  </si>
  <si>
    <t>NSF(National Science Foundation (NSF)); Division Of Undergraduate Education; Direct For Education and Human Resources(National Science Foundation (NSF)NSF - Directorate for STEM Education (EDU))</t>
  </si>
  <si>
    <t>Research in this paper was funded by NSF #1712160 and #1711082.</t>
  </si>
  <si>
    <t>2196-7822</t>
  </si>
  <si>
    <t>INT J STEM EDUC</t>
  </si>
  <si>
    <t>Int. J. STEM Educ.</t>
  </si>
  <si>
    <t>MAY 19</t>
  </si>
  <si>
    <t>10.1186/s40594-020-00217-4</t>
  </si>
  <si>
    <t>LT0OK</t>
  </si>
  <si>
    <t>WOS:000536776100001</t>
  </si>
  <si>
    <t>Grossetti, Q; du Mouza, C; Travers, N; Constantin, C</t>
  </si>
  <si>
    <t>Grossetti, Quentin; du Mouza, Cedric; Travers, Nicolas; Constantin, Camelia</t>
  </si>
  <si>
    <t>Reducing the filter bubble effect on Twitter by considering communities for recommendations</t>
  </si>
  <si>
    <t>Communities on the Web; Web search and information extraction; Web media; Filter bubbles; Recommender systems</t>
  </si>
  <si>
    <t>ECHO CHAMBERS; NEWS; EXPOSURE</t>
  </si>
  <si>
    <t>Purpose Social network platforms are considered today as a major communication mean. Their success leads to an unprecedented growth of user-generated content; therefore, finding interesting content for a given user has become a major issue. Recommender systems allow these platforms to personalize individual experience and increase user engagement by filtering messages according to user interest and/or neighborhood. Recent research results show, however, that this content personalization might increase the echo chamber effect and create filter bubbles that restrain the diversity of opinions regarding the recommended content. Design/methodology/approach The purpose of this paper is to present a thorough study of communities on a large Twitter data set that quantifies the effect of recommender systems on users' behavior by creating filter bubbles. The authors further propose their community-aware model (CAM) that counters the impact of different recommender systems on information consumption. Findings The authors propose their CAM that counters the impact of different recommender systems on information consumption. The study results show that filter bubbles effects concern up to 10% of users and the proposed model based on the similarities between communities enhance recommendations. Originality/value The authors proposed the CAM approach, which relies on similarities between communities to re-rank lists of recommendations to weaken the filter bubble effect for these users.</t>
  </si>
  <si>
    <t>[Grossetti, Quentin; du Mouza, Cedric] Conservatoire Natl Arts &amp; Metiers, Cedr Lab, Paris, France; [Travers, Nicolas] Leonard de Vinci Pole Univ, Res Ctr, Paris, France; [Constantin, Camelia] Sorbonne Univ, LIP6, Paris, France</t>
  </si>
  <si>
    <t>heSam Universite; Conservatoire National Arts &amp; Metiers (CNAM); Sorbonne Universite</t>
  </si>
  <si>
    <t>du Mouza, C (corresponding author), Conservatoire Natl Arts &amp; Metiers, Cedr Lab, Paris, France.</t>
  </si>
  <si>
    <t>dumouza@cnam.fr</t>
  </si>
  <si>
    <t>Travers, Nicolas/C-4968-2014</t>
  </si>
  <si>
    <t>Travers, Nicolas/0000-0002-3502-151X</t>
  </si>
  <si>
    <t>10.1108/IJWIS-06-2021-0065</t>
  </si>
  <si>
    <t>OCT 2021</t>
  </si>
  <si>
    <t>XF4FB</t>
  </si>
  <si>
    <t>WOS:000705462000001</t>
  </si>
  <si>
    <t>Gurini, DF; Gasparetti, F; Micarelli, A; Sansonetti, G</t>
  </si>
  <si>
    <t>Dimitrova, V; Kuflik, T; Chin, D; Ricci, F; Dolog, P; Houben, GJ</t>
  </si>
  <si>
    <t>Gurini, Davide Feltoni; Gasparetti, Fabio; Micarelli, Alessandro; Sansonetti, Giuseppe</t>
  </si>
  <si>
    <t>iSCUR: Interest and Sentiment-Based Community Detection for User Recommendation on Twitter</t>
  </si>
  <si>
    <t>USER MODELING, ADAPTATION, AND PERSONALIZATION, UMAP 2014</t>
  </si>
  <si>
    <t>22nd International Conference on User Modeling, Adaptation, and Personalization (UMAP)</t>
  </si>
  <si>
    <t>JUL 07-11, 2014</t>
  </si>
  <si>
    <t>Aalborg, DENMARK</t>
  </si>
  <si>
    <t>User Modeling Inc,U S Natl Sci Fdn,Microsoft Res,Springer,Chen Family Fdn,Aalborg Univ, Comp Sci Dept, Intelligent Web &amp; Informat Syst</t>
  </si>
  <si>
    <t>The increasing popularity of social networks has encouraged a large number of significant research works on community detection and user recommendation. The idea behind this work is that taking into account peculiar users' attitudes (i.e., sentiments, opinions or ways of thinking) toward their own interests can bring benefits in performing such tasks. In this paper we describe (i) a novel method to infer sentiment-based communities without the requirement of obtaining the whole social structure, and (ii) a community-based approach to user recommendation. We take advantage of the SVO (sentiment-volume-objectivity) user profiling and the Tanimoto similarity to evaluate user similarity for each topic. Afterwards we employ a clustering algorithm based on modularity optimization to find densely connected users and the Adamic-Adar tie strength to finally suggest the most relevant users to follow. Preliminary experimental results on Twitter reveal the benefits of our approach compared to some state-of-the-art user recommendation techniques.</t>
  </si>
  <si>
    <t>[Gurini, Davide Feltoni; Gasparetti, Fabio; Micarelli, Alessandro; Sansonetti, Giuseppe] Roma Tre Univ, Artificial Intelligence Lab, Dept Engn, I-00146 Rome, Italy</t>
  </si>
  <si>
    <t>Roma Tre University</t>
  </si>
  <si>
    <t>Gurini, DF (corresponding author), Roma Tre Univ, Artificial Intelligence Lab, Dept Engn, Via Vasca Navale 79, I-00146 Rome, Italy.</t>
  </si>
  <si>
    <t>Sansonetti, Giuseppe/0000-0003-4953-1390</t>
  </si>
  <si>
    <t>978-3-319-08786-3; 978-3-319-08785-6</t>
  </si>
  <si>
    <t>BB7JW</t>
  </si>
  <si>
    <t>WOS:000345647000030</t>
  </si>
  <si>
    <t>Gaugler, KM; Bender, M; Matheus, CC</t>
  </si>
  <si>
    <t>Gaugler, Kevin M.; Bender, Max; Matheus, Carolyn C.</t>
  </si>
  <si>
    <t>A WEB-BASED PLATFORM FOR READING COMPREHENSION AND VOCABULARY ACQUISITION: THE PROJECT TALOS CASE STUDY</t>
  </si>
  <si>
    <t>INTED2015: 9TH INTERNATIONAL TECHNOLOGY, EDUCATION AND DEVELOPMENT CONFERENCE</t>
  </si>
  <si>
    <t>9th International Technology, Education and Development Conference (INTED)</t>
  </si>
  <si>
    <t>MAR 02-04, 2015</t>
  </si>
  <si>
    <t>learning analytics; computer assisted language learning; vocabulary acquisition</t>
  </si>
  <si>
    <t>Stephen Krashen's input hypothesis for learning a second language emphasizes the importance of comprehending what is read and acquiring new words through context. Thus, materials should be just outside the reach of a learner's ability. In second language acquisition theory this is often referred to as input +1 (i+1). Using the input hypothesis, many have experimented with the effectiveness of creating electronic glosses for texts, the power of differentiated learning, the importance of personal choice in reading, the need for reading for enjoyment over an extended period of time, and the usefulness of vocabulary review with peers and instructors. In spite of the research, language learning materials for vocabulary acquisition have changed little. Learners are largely introduced to works through vocabulary lists out of context first and then contextualization of vocabulary is attempted afterwards. This learning process goes against the incidental acquisition of vocabulary and ignores a learner's prior knowledge and personal motivation for learning a language. This paper introduces a Web-based platform for acquiring vocabulary based on the input hypothesis and differentiated learning preferences for the incidental acquisition of vocabulary as well as the use of learning analytics to support learning of vocabulary. The platform, currently in beta, is known as Project TALOS. This software prototype supports differentiated learning as well as common coursework, allowing both readers and leaders to contribute and access documents of interest while promoting ease of reading. The reading-support technology provided by TALOS has been designed to assist both individual learners and reading groups organized around a topic. Any reader in the system can elect to become a leader and assign texts to groups such as classes or other learning groups. Such empowerment of the learner will foster greater collaboration among learners and places more emphasis on individual interest, personal learning, and lifelong learning of another language. Learners can see tagged texts in their My Texts section of the website, which lists all texts in their collection. While reading the text they can click on any unknown word and it is immediately defined in the sidebar via multiple translation and contextual definition application programming interfaces (APIs). Leaders can create groups of learners, allowing them to assign texts to those users and track statistics of the learners in their groups. For example, a leader can view statistics for individual learners (e.g., which words they have clicked on) as well as total statistics for each text. These tasks are easily accomplished through a user-friendly interface and functional back-end for storing and retrieving data that can be accessed through most Web-Browsers. TALOS was developed using a LAMP (Linux, Apache, MySQL, PHP) server integrated with current Web technologies such as HTML5, JQuery, SCSS, and Javascript. This paper will introduce the TALOS platform and explain the theoretical underpinnings and results of initial beta testing among Spanish language learners. In short, an innovative learner-centered language-learning curriculum will be demonstrated, in which learners choose their own content and acquisition of vocabulary rather than course material solely assigned by a leader.</t>
  </si>
  <si>
    <t>[Gaugler, Kevin M.; Bender, Max; Matheus, Carolyn C.] Marist Coll, Poughkeepsie, NY 12601 USA</t>
  </si>
  <si>
    <t>Marist College</t>
  </si>
  <si>
    <t>Gaugler, KM (corresponding author), Marist Coll, Poughkeepsie, NY 12601 USA.</t>
  </si>
  <si>
    <t>978-84-606-5763-7</t>
  </si>
  <si>
    <t>BH1XF</t>
  </si>
  <si>
    <t>WOS:000398586303015</t>
  </si>
  <si>
    <t>Gorrab, A; Kboubi, F; Ben Ghezala, H; Le Grand, B</t>
  </si>
  <si>
    <t>Gorrab, Abir; Kboubi, Ferihane; Ben Ghezala, Henda; Le Grand, Benedicte</t>
  </si>
  <si>
    <t>Towards a dynamic and polarity-aware social user profile modeling</t>
  </si>
  <si>
    <t>2016 IEEE/ACS 13TH INTERNATIONAL CONFERENCE OF COMPUTER SYSTEMS AND APPLICATIONS (AICCSA)</t>
  </si>
  <si>
    <t>13th IEEE/ACS International Conference on Computer Systems and Applications (AICCSA)</t>
  </si>
  <si>
    <t>NOV 29-DEC 02, 2016</t>
  </si>
  <si>
    <t>Univ Ibn Zohr, Agadir, MOROCCO</t>
  </si>
  <si>
    <t>IEEE,ACS,QCRI,Univ Arizona,CNRST</t>
  </si>
  <si>
    <t>Univ Ibn Zohr</t>
  </si>
  <si>
    <t>Social networks; user profiling; temporality; negative relations; Social Information Retrieval; Social Recommendation</t>
  </si>
  <si>
    <t>The emergence of social networks and the communication facilities they offer have generated an enormous informational mass. This social content is used in several research and industrial works and has had a great impact in different processes. In this paper, we present an overview of social information use in Information Retrieval (IR) and Recommendation systems. We first describe several user profile models using social information. A special attention is given to the following points: the analysis of the different user profiling models incorporating social content in Information Retrieval (IR) and in social recommendation methods. We distinguish between the models using social signals and relations, and the models using temporal information. We also present current and future challenges and research directions to enhance IR and recommendation process. We then describe our proposed model of social polarized and temporal user profile building and use in social recommendation context. Our proposal tries to address open challenges and establish a new model of user profile that fits information needs in recommender systems.</t>
  </si>
  <si>
    <t>[Gorrab, Abir; Kboubi, Ferihane; Ben Ghezala, Henda] Univ Manouba, Natl Sch Comp Sci, RIADI Lab, Manouba, Tunisia; [Le Grand, Benedicte] Univ Parisi Pantheon Sorbonne, Ctr Rech Informat, Paris, France</t>
  </si>
  <si>
    <t>Gorrab, A (corresponding author), Univ Manouba, Natl Sch Comp Sci, RIADI Lab, Manouba, Tunisia.</t>
  </si>
  <si>
    <t>Abir.Gorrab@riadi.rnu.tn; Ferihane.Kboubi@riadi.rnu.tn; henda.benghezala@riadi.rnu.tn; Benedicte.Le-Grand@univ-parisl.fr</t>
  </si>
  <si>
    <t>Kboubi, Ferihane/MZR-8856-2025; Ben Ghezala, Henda/AAK-7052-2021</t>
  </si>
  <si>
    <t>978-1-5090-4320-0</t>
  </si>
  <si>
    <t>BH9YQ</t>
  </si>
  <si>
    <t>WOS:000404443800012</t>
  </si>
  <si>
    <t>Zhu, H; Gao, JX; Xue, XS; Yu, ZY; Chen, CM; Kumari, S; Kumar, S</t>
  </si>
  <si>
    <t>Zhu, Hai; Gao, Jixun; Xue, Xingsi; Yu, Zhongyang; Chen, Chien-Ming; Kumari, Saru; Kumar, Sachin</t>
  </si>
  <si>
    <t>Multigraph Neural Networks for Social-Aware Session-Based Recommendation in Large-Scale Dynamic Social Computing Environments</t>
  </si>
  <si>
    <t>Computational modeling; Social networking (online); Social computing; Adaptation models; Heuristic algorithms; Data mining; Recommender systems; Multimedia computing; Data models; User-generated content; Knowledge discovery; multigraph neural network; session-based recommendation; social computing; subgraph sampling</t>
  </si>
  <si>
    <t>The rapid growth of social media platforms has led to an unprecedented increase in user-generated content and social interactions, posing significant challenges for recommendation systems. This article addresses the challenges of recommendation in large-scale dynamic social environments, where user interactions and preferences evolve rapidly across vast networks. In large-scale dynamic social networks, knowledge discovery requires methods to efficiently process vast amounts of data while capturing the evolving nature of user interactions and preferences. Multigraph neural networks offer a promising approach for this task, as they can model complex relationships and temporal dynamics in these environments. This article proposes a novel social-aware multigraph neural network for the session-based recommendation (SAMGNN-SR) model that leverages dynamic social information and multigraph neural networks to enhance recommendation accuracy and knowledge discovery in complex social computing environments. The model constructs a global social-aware interaction graph from all user session sequences and employs an adaptive subgraph sampling strategy to extract relevant collaborative signals efficiently. A dynamic interest extraction module utilizing dual-direction information propagation captures users' evolving preferences, while a social information fusion network based on graph attention mechanisms models the dynamic nature of social influences. Experiments on three real-world datasets (Douban, Delicious, and Yelp) demonstrate the superiority of SAMGNN-SR over nine state-of-the-art baselines, with improvements of up to 6.79% in NDCG@20 and 6.19% in Hit@20. Ablation studies validate the effectiveness of each model component in capturing complex social dynamics and session-based user behaviors.</t>
  </si>
  <si>
    <t>[Zhu, Hai; Gao, Jixun; Yu, Zhongyang] Henan Univ Engn, Sch Comp, Zhengzhou 451191, Peoples R China; [Xue, Xingsi] Fujian Univ Technol, Sch Comp Sci &amp; Math, Fuzhou 350118, Peoples R China; [Chen, Chien-Ming] Nanjing Univ Informat Sci &amp; Technol, Sch Artificial Intelligence, Nanjing 210044, Peoples R China; [Kumari, Saru] Chaudhary Charan Singh Univ, Dept Math, Meerut 250005, India; [Kumar, Sachin] Galgotias Coll Engn &amp; Technol, Dept Comp Sci &amp; Engn, Greater Noida 201310, India</t>
  </si>
  <si>
    <t>Henan University of Engineering; Fujian University of Technology; Nanjing University of Information Science &amp; Technology; Chaudhary Charan Singh University; Galgotias College of Engineering &amp; Technology (GCET)</t>
  </si>
  <si>
    <t>Xue, XS (corresponding author), Fujian Univ Technol, Sch Comp Sci &amp; Math, Fuzhou 350118, Peoples R China.</t>
  </si>
  <si>
    <t>zhuhai@xjtu.edu.cn; gaojixun@haue.edu.cn; jack8375@gmail.com; xd_yzy2013@sina.com; chienmingchen@ieee.org; saryusiirohi@gmail.com; imsachingupta@rediffmail.com</t>
  </si>
  <si>
    <t>Kumar, Sachin/ABU-5986-2022; Chen, Chien-Ming/W-2133-2019; Kumar, Sachin/ABU-5986-2022; Yu, Zhongyang/JEF-7946-2023; Kumari, Saru/K-2038-2019</t>
  </si>
  <si>
    <t>Kumar, Sachin/0000-0002-5324-2156; Xue, Xingsi/0000-0002-3008-8782; Gao, Jixun/0000-0002-2933-3832; Chen, Chien-Ming/0000-0002-6502-472X; Kumar, Sachin/0000-0003-3949-0302; Yu, Zhongyang/0000-0002-4220-7777; Kumari, Saru/0000-0003-4929-5383</t>
  </si>
  <si>
    <t>National Natural Science Foundation of China [62172457, 62201198]</t>
  </si>
  <si>
    <t>This work was supported by the National Natural Science Foundation of China under Grant 62172457 and Grant 62201198.</t>
  </si>
  <si>
    <t>10.1109/TCSS.2024.3506633</t>
  </si>
  <si>
    <t>DEC 2024</t>
  </si>
  <si>
    <t>L4530</t>
  </si>
  <si>
    <t>WOS:001381441000001</t>
  </si>
  <si>
    <t>Uddin, MN; Duong, TH; Sean, V; Jo, GS</t>
  </si>
  <si>
    <t>Nguyen, NT; Hoang, K; Jedrzejowicz, P</t>
  </si>
  <si>
    <t>Uddin, Mohammed Nazim; Trong Hai Duong; Sean, Visal; Jo, Geun-Sik</t>
  </si>
  <si>
    <t>Construction of Semantic User Profile for Personalized Web Search</t>
  </si>
  <si>
    <t>COMPUTATIONAL COLLECTIVE INTELLIGENCE - TECHNOLOGIES AND APPLICATIONS, PT II</t>
  </si>
  <si>
    <t>4th International Conference on Computational Collective Intelligence - Technologies and Applications (ICCCI)</t>
  </si>
  <si>
    <t>NOV 28-30, 2012</t>
  </si>
  <si>
    <t>Ho Chi Minh City, VIETNAM</t>
  </si>
  <si>
    <t>Wroclaw Univ Technol,Vietnam Natl Univ, Univ Informat Technol,Polish Acad Sci, Comm Informat,IEEE SMC Tech Comm Computat Collect Intelligence,Natl Fdn Sci &amp; Technol Dev,Inha Univ,Hue Univ</t>
  </si>
  <si>
    <t>User profile; Ontology; Semantic search; Personalization</t>
  </si>
  <si>
    <t>User profile is an essential component for accessing the personalized information from the Web. Efficiency of personalized accessed information highly depends on how to model the user details to construct user profile. Previously, user profile was constructed by collecting list of keywords to inferring user interests. These kinds of approaches are not sufficient for many applications. In this paper, we have proposed a new method for constructing semantic user profile for personalized information access. User's query is extended using ontological profile for generation of personalized search context. Experimental results show that our method of constructing semantic profile is effective for searching information with individual needs.</t>
  </si>
  <si>
    <t>[Uddin, Mohammed Nazim; Trong Hai Duong; Sean, Visal; Jo, Geun-Sik] Inha Univ, Sch Comp &amp; Informat Engn, Inchon, South Korea</t>
  </si>
  <si>
    <t>Inha University</t>
  </si>
  <si>
    <t>Uddin, MN (corresponding author), Inha Univ, Sch Comp &amp; Informat Engn, Inchon, South Korea.</t>
  </si>
  <si>
    <t>tonazim@yahoo.com; haiduongtrong@gmail.com; seanvisal@eslab.inha.ac.kr; gsjo@inha.ac.kr</t>
  </si>
  <si>
    <t>Duong, Trong/B-6697-2011</t>
  </si>
  <si>
    <t>978-3-642-34707-8</t>
  </si>
  <si>
    <t>BB0PM</t>
  </si>
  <si>
    <t>WOS:000340584900011</t>
  </si>
  <si>
    <t>Xie, PT; Pei, YL; Xie, Y; Xing, E</t>
  </si>
  <si>
    <t>AAAI</t>
  </si>
  <si>
    <t>Xie, Pengtao; Pei, Yulong; Xie, Yuan; Xing, Eric</t>
  </si>
  <si>
    <t>Mining User Interests from Personal Photos</t>
  </si>
  <si>
    <t>PROCEEDINGS OF THE TWENTY-NINTH AAAI CONFERENCE ON ARTIFICIAL INTELLIGENCE</t>
  </si>
  <si>
    <t>29th Association-for-the-Advancement-of-Artificial-Intelligence (AAAI) Conference on Artificial Intelligence</t>
  </si>
  <si>
    <t>JAN 25-30, 2015</t>
  </si>
  <si>
    <t>Austin, TX</t>
  </si>
  <si>
    <t>Personal photos are enjoying explosive growth with the popularity of photo-taking devices and social media. The vast amount of online photos largely exhibit users' interests, emotion and opinions. Mining user interests from personal photos can boost a number of utilities, such as advertising, interest based community detection and photo recommendation. In this paper, we study the problem of user interests mining from personal photos. We propose a User Image Latent Space Model to jointly model user interests and image contents. User interests are modeled as latent factors and each user is assumed to have a distribution over them. By inferring the latent factors and users' distributions, we can discover what the users are interested in. We model image contents with a four-level hierarchical structure where the layers correspond to themes, semantic regions, visual words and pixels respectively. Users' latent interests are embedded in the theme layer. Given image contents, users' interests can be discovered by doing posterior inference. We use variational inference to approximate the posteriors of latent variables and learn model parameters. Experiments on 180K Flickr photos demonstrate the effectiveness of our model.</t>
  </si>
  <si>
    <t>[Xie, Pengtao; Pei, Yulong; Xie, Yuan; Xing, Eric] Carnegie Mellon Univ, Sch Comp Sci, 5000 Forbes Ave, Pittsburgh, PA 15213 USA</t>
  </si>
  <si>
    <t>Carnegie Mellon University</t>
  </si>
  <si>
    <t>Xie, PT (corresponding author), Carnegie Mellon Univ, Sch Comp Sci, 5000 Forbes Ave, Pittsburgh, PA 15213 USA.</t>
  </si>
  <si>
    <t>pengtaox@cs.cmu.edu; yulongp@andrew.cmu.edu; yxie1@andrew.cmu.edu; epxing@cs.cmu.edu</t>
  </si>
  <si>
    <t>Pei, Yulong/ACW-8190-2022; Xie, Yuan/GRS-7113-2022</t>
  </si>
  <si>
    <t>Pei, Yulong/0000-0003-3739-5627;</t>
  </si>
  <si>
    <t>NSF [IIS1111142, IIS1447676]; AFOSR [FA95501010247]</t>
  </si>
  <si>
    <t>NSF(National Science Foundation (NSF)); AFOSR(United States Department of DefenseAir Force Office of Scientific Research (AFOSR))</t>
  </si>
  <si>
    <t>We would like to thank the anonymous reviewers for their valuable comments and suggestions and thank Bin Zhao and Gunhee Kim for reviewing the preliminary draft. This work was supported by NSF IIS1111142, NSF IIS1447676 and AFOSR FA95501010247.</t>
  </si>
  <si>
    <t>BN6JS</t>
  </si>
  <si>
    <t>WOS:000485625501130</t>
  </si>
  <si>
    <t>Hao, XL; Gong, QY; Chen, Y</t>
  </si>
  <si>
    <t>Hao, Xinli; Gong, Qingyuan; Chen, Yang</t>
  </si>
  <si>
    <t>Defending against Topological Information Probing for Online Decentralized Web Services</t>
  </si>
  <si>
    <t>CMC-COMPUTERS MATERIALS &amp; CONTINUA</t>
  </si>
  <si>
    <t>crawler detection; machine learning; decentralized online social networks; Anti-mapping; crawler detection; machine learning; decentralized online social networks</t>
  </si>
  <si>
    <t>USER BEHAVIOR</t>
  </si>
  <si>
    <t>Topological information is very important for understanding different types of online web services, in particular, for online social networks (OSNs). People leverage such information for various applications, such as social relationship modeling, community detection, user profiling, and user behavior prediction. However, the leak of such information will also pose severe challenges for user privacy preserving due to its usefulness in characterizing users. Large-scale web crawling-based information probing is a representative way for obtaining topological information of online web services. In this paper, we explore how to defend against topological information probing for online web services, with a particular focus on online decentralized web services such as Mastodon. Different from traditional centralized web services, the federated nature of decentralized web services makes the identification of distributed crawlers even more difficult. We analyze the behavioral differences between legitimate users and crawlers in decentralized web services and highlight two key behavioral attributes that distinguish crawlers from legitimate users: instance interaction preferences and hop count in profile viewing patterns. Based on these insights: we propose a supervised machine learning-based framework for crawler detection, which is able to learn the federation-aware feature representations for users. To validate the framework's effectiveness, we construct a labeled dataset that integrates real users with real-trace driven simulated crawlers in Mastodon. We use this dataset to train various supervised classifiers for crawler detection. Experimental results demonstrate that our framework can achieve an excellent classification performance. Moreover, it is observed that federation-aware features are effective in improving detection performance.</t>
  </si>
  <si>
    <t>[Hao, Xinli; Chen, Yang] Fudan Univ, Coll Comp Sci &amp; Artificial Intelligence, Shanghai Key Lab Intelligent Informat Proc, Shanghai 200433, Peoples R China; [Gong, Qingyuan] Fudan Univ, Res Inst Intelligent Complex Syst, Shanghai 200433, Peoples R China</t>
  </si>
  <si>
    <t>Fudan University; Fudan University</t>
  </si>
  <si>
    <t>Chen, Y (corresponding author), Fudan Univ, Coll Comp Sci &amp; Artificial Intelligence, Shanghai Key Lab Intelligent Informat Proc, Shanghai 200433, Peoples R China.</t>
  </si>
  <si>
    <t>chenyang@fudan.edu.cn</t>
  </si>
  <si>
    <t>Hao, Xinli/OGO-9678-2025</t>
  </si>
  <si>
    <t>Hao, Xinli/0009-0008-0162-1147</t>
  </si>
  <si>
    <t>National Key R&amp;D Program of China [2022YFB3102901]; National Natural Science Foundation of China [62072115, 62102094]; Shanghai Science and Technology Innovation Action Plan Project [22510713600]</t>
  </si>
  <si>
    <t>National Key R&amp;D Program of China(National Key Research &amp; Development Program of China); National Natural Science Foundation of China(National Natural Science Foundation of China (NSFC)); Shanghai Science and Technology Innovation Action Plan Project</t>
  </si>
  <si>
    <t>Acknowledgement Funding Statement: This research was funded by the National Key R&amp;D Program of China under Grant (No. 2022YFB3102901) , National Natural Science Foundation of China (No. 62072115, No. 62102094) , Shanghai Science and Technology Innovation Action Plan Project (No. 22510713600) .</t>
  </si>
  <si>
    <t>1546-2218</t>
  </si>
  <si>
    <t>1546-2226</t>
  </si>
  <si>
    <t>CMC-COMPUT MATER CON</t>
  </si>
  <si>
    <t>CMC-Comput. Mat. Contin.</t>
  </si>
  <si>
    <t>10.32604/cmc.2025.073155</t>
  </si>
  <si>
    <t>Computer Science, Information Systems; Materials Science, Multidisciplinary</t>
  </si>
  <si>
    <t>Computer Science; Materials Science</t>
  </si>
  <si>
    <t>CR6KP</t>
  </si>
  <si>
    <t>WOS:001672788000001</t>
  </si>
  <si>
    <t>Ackermann, L; Hepach, R; Mani, N</t>
  </si>
  <si>
    <t>Ackermann, Lena; Hepach, Robert; Mani, Nivedita</t>
  </si>
  <si>
    <t>Children learn words easier when they are interested in the category to which the word belongs</t>
  </si>
  <si>
    <t>DEVELOPMENTAL SCIENCE</t>
  </si>
  <si>
    <t>category interest; curiosity driven learning; pupil dilation; word learning; word recognition; vocabulary size</t>
  </si>
  <si>
    <t>YOUNG-CHILDREN; SEE OTHERS; PUPIL</t>
  </si>
  <si>
    <t>The overall pattern of vocabulary development is relatively similar across children learning different languages. However, there are considerable differences in the words known to individual children. Historically, this variability has been explained in terms of differences in the input. Here, we examine the alternate possibility that children's individual interest in specific natural categories shapes the words they are likely to learn - a child who is more interested in animals will learn a new animal name easier relative to a new vehicle name. Two-year-old German-learning children (N = 39) were exposed to four novel word-object associations for objects from four different categories. Prior to the word learning task, we measured their interest in the categories that the objects belonged to. Our measure was pupillary change following exposure to familiar objects from these four categories, with increased pupillary change interpreted as increased interest in that category. Children showed more robust learning of word-object associations from categories they were more interested in relative to categories they were less interested in. We further found that interest in the novel objects themselves influenced learning, with distinct influences of both category interest and object interest on learning. These results suggest that children's interest in different natural categories shapes their word learning. This provides evidence for the strikingly intuitive possibility that a child who is more interested in animals will learn novel animal names easier than a child who is more interested in vehicles.</t>
  </si>
  <si>
    <t>[Ackermann, Lena; Mani, Nivedita] Univ Goettingen, Psychol Language Res Grp, Gottingen, Germany; [Ackermann, Lena; Mani, Nivedita] Leibniz ScienceCampus Primate Cognit, Gottingen, Germany; [Hepach, Robert] Univ Leipzig, Dept Res Methods Early Child Dev, Leipzig, Germany; [Hepach, Robert] Univ Leipzig, Leipzig Res Ctr Early Child Dev, Leipzig, Germany</t>
  </si>
  <si>
    <t>University of Gottingen; Leipzig University; Leipzig University</t>
  </si>
  <si>
    <t>Ackermann, L (corresponding author), Univ Goettingen, Psychol Language Res Grp, Leibniz ScienceCampus Primate Cognit, Gottingen, Germany.</t>
  </si>
  <si>
    <t>lackerm2@gwdg.de</t>
  </si>
  <si>
    <t>Mani, Nivedita/F-8795-2010</t>
  </si>
  <si>
    <t>Mani, Nivedita/0000-0002-9843-4629</t>
  </si>
  <si>
    <t>Leibniz-Gemeinschaft Funding Source: Medline</t>
  </si>
  <si>
    <t>Leibniz-Gemeinschaft</t>
  </si>
  <si>
    <t>1363-755X</t>
  </si>
  <si>
    <t>1467-7687</t>
  </si>
  <si>
    <t>DEVELOPMENTAL SCI</t>
  </si>
  <si>
    <t>Dev. Sci.</t>
  </si>
  <si>
    <t>e12915</t>
  </si>
  <si>
    <t>10.1111/desc.12915</t>
  </si>
  <si>
    <t>Psychology, Developmental; Psychology, Experimental</t>
  </si>
  <si>
    <t>LE8OX</t>
  </si>
  <si>
    <t>WOS:000526985500006</t>
  </si>
  <si>
    <t>Montañés, E; Quevedo, JR; Díaz, I; Cortina, R; Alonso, P; Ranilla, J</t>
  </si>
  <si>
    <t>Montanes, Elena; Ramon Quevedo, Jose; Diaz, Irene; Cortina, Raquel; Alonso, Pedro; Ranilla, Jose</t>
  </si>
  <si>
    <t>TagRanker: learning to recommend ranked tags</t>
  </si>
  <si>
    <t>LOGIC JOURNAL OF THE IGPL</t>
  </si>
  <si>
    <t>folksonomy; recommender system; suggestive tagging; SVM</t>
  </si>
  <si>
    <t>In a social network, recommenders are highly demanded since they provide user interests in order to construct user profiles. This user profiles might be valuable to be exploited in business management or marketing, for instance. Basically, a tag recommender provides to users a set keywords that describe certain resources. The existing approaches require exploiting content information or they just provide a set of tags without any kind of preference order. This article proposes TagRanker, a tag recommender based on logistic regression that is free of exploiting content information. In addition, it gives a ranking of certain tags and learns just from the relations among users, resources and tags previously posted avoiding the cost of exploiting the content of the resources. An adequate evaluation measure for this specific kind of ranking is also proposed, since the existing ones just consider the tags as coming from a classification. The experiments on several data sets show that TagRanker can effectively recommend relevant tags outperforming the performance of a benchmark of Tag Recommender Systems.</t>
  </si>
  <si>
    <t>[Montanes, Elena; Ramon Quevedo, Jose; Diaz, Irene; Cortina, Raquel; Ranilla, Jose] Univ Oviedo, Dept Informat, Gijon, Asturias, Spain; [Alonso, Pedro] Univ Oviedo, Dept Matemat, Gijon, Asturias, Spain</t>
  </si>
  <si>
    <t>University of Oviedo; University of Oviedo</t>
  </si>
  <si>
    <t>Montañés, E (corresponding author), Univ Oviedo, Dept Informat, Gijon, Asturias, Spain.</t>
  </si>
  <si>
    <t>montaneselena@uniovi.es</t>
  </si>
  <si>
    <t>Alonso, Pedro/O-7351-2014; Ranilla, Jose/E-8012-2013; Díaz, Irene/K-9976-2014; Montanes, Elena/H-6568-2015; /H-7332-2015</t>
  </si>
  <si>
    <t>Alonso, Pedro/0000-0001-5222-4522; Ranilla, Jose/0000-0003-2941-3741; Díaz, Irene/0000-0002-3024-6605; Montanes, Elena/0000-0003-0609-8945; Cortina-Parajon, Raquel/0000-0002-0805-2900;</t>
  </si>
  <si>
    <t>Spanish Ministry of Education and Science [TIN2007-61273]; European Regional Development Fund</t>
  </si>
  <si>
    <t>Spanish Ministry of Education and Science(Spanish Government); European Regional Development Fund(European Union (EU))</t>
  </si>
  <si>
    <t>This work has been supported by the TIN2007-61273 project of the Spanish Ministry of Education and Science and the European Regional Development Fund.</t>
  </si>
  <si>
    <t>1367-0751</t>
  </si>
  <si>
    <t>1368-9894</t>
  </si>
  <si>
    <t>LOG J IGPL</t>
  </si>
  <si>
    <t>Log. J. IGPL</t>
  </si>
  <si>
    <t>10.1093/jigpal/jzq036</t>
  </si>
  <si>
    <t>Mathematics, Applied; Mathematics; Logic</t>
  </si>
  <si>
    <t>747IH</t>
  </si>
  <si>
    <t>WOS:000289313000010</t>
  </si>
  <si>
    <t>Smith, TJ; Campbell, C</t>
  </si>
  <si>
    <t>Smith, Thomas J.; Campbell, Cynthia</t>
  </si>
  <si>
    <t>The Relationship Between Occupational Interests and Values</t>
  </si>
  <si>
    <t>JOURNAL OF CAREER ASSESSMENT</t>
  </si>
  <si>
    <t>occupational values; occupational interests; correspondence analysis; canonical correlation; structural representation</t>
  </si>
  <si>
    <t>A values characterization of the RIASEC occupational interest categories was developed using the U. S. Department of Labor's O*NET occupational data. Values profile plots were constructed for each interest category, then correspondence analysis and canonical correlation were carried out to assess the relationship between the interest and values categories. Suggestions for the use of values information in a counseling context are presented.</t>
  </si>
  <si>
    <t>[Smith, Thomas J.] No Illinois Univ, Coll Educ, Dept ETRA, De Kalb, IL 60115 USA</t>
  </si>
  <si>
    <t>Smith, TJ (corresponding author), No Illinois Univ, Coll Educ, Dept ETRA, De Kalb, IL 60115 USA.</t>
  </si>
  <si>
    <t>tjsmith@niu.edu</t>
  </si>
  <si>
    <t>1069-0727</t>
  </si>
  <si>
    <t>J CAREER ASSESSMENT</t>
  </si>
  <si>
    <t>J. Career Assess.</t>
  </si>
  <si>
    <t>10.1177/1069072708325740</t>
  </si>
  <si>
    <t>Psychology, Applied</t>
  </si>
  <si>
    <t>388SQ</t>
  </si>
  <si>
    <t>WOS:000262039900002</t>
  </si>
  <si>
    <t>Schirru, R; Baumann, S; Memmel, M; Dengel, A</t>
  </si>
  <si>
    <t>Schirru, Rafael; Baumann, Stephan; Memmel, Martin; Dengel, Andreas</t>
  </si>
  <si>
    <t>Extraction of Contextualized User Interest Profiles in Social Sharing Platforms</t>
  </si>
  <si>
    <t>user modeling; topic detection; Web 2.0 resource sharing; E-Learning 2.0; Enterprise 2.0</t>
  </si>
  <si>
    <t>Along with the emergence of the Web 2.0, E-learning more often takes place in open environments such as wikis, blogs, and resource sharing platforms. Nowadays, many companies deploy social media technologies to foster the knowledge transfer in the enterprise. They offer Enterprise 2.0 platforms where knowledge workers can share contents according to their different topics of interest. In this article we present an approach extracting contextualized user profiles in an enterprise resource sharing platform according to the users' different topics of interest. The system analyses the social annotations of each user's preferred resources and identifies thematic groups. For every group a weighted term vector is derived that represents the respective topic of interest. Each user profile consists of several such vectors that way enabling recommendation lists with a high degree of inter-topic diversity as well as targeted context-sensitive recommendations. The proposed approach has been tested in our Enterprise 2.0 platform ALOE. A first evaluation has shown that the method is likely to identify reasonable user interest topics and that resource recommendations for these topics are widely appreciated by the users.</t>
  </si>
  <si>
    <t>[Schirru, Rafael; Memmel, Martin; Dengel, Andreas] Univ Kaiserslautern, D-67663 Kaiserslautern, Germany</t>
  </si>
  <si>
    <t>RPTU University Kaiserslautern</t>
  </si>
  <si>
    <t>schirru@dfki.de; baumann@dfki.de; memmel@dfki.de; dengel@dfki.de</t>
  </si>
  <si>
    <t>IBB Berlin; European Union</t>
  </si>
  <si>
    <t>IBB Berlin; European Union(European Union (EU))</t>
  </si>
  <si>
    <t>This reasearch has been financed by the IBB Berlin in the project Social Media Miner, and co-financed by the EFRE fonds of the European Union.</t>
  </si>
  <si>
    <t>752TH</t>
  </si>
  <si>
    <t>WOS:000289716600003</t>
  </si>
  <si>
    <t>Pittarello, F; Narda, A</t>
  </si>
  <si>
    <t>Tjoa, AM; Wagner, RR</t>
  </si>
  <si>
    <t>Pittarello, Fabio; Narda, Alberto</t>
  </si>
  <si>
    <t>Organizing and navigating user-generated content for the web: a collaborative approach based on a 3D multimodal interactive environment</t>
  </si>
  <si>
    <t>DEXA 2008: 19TH INTERNATIONAL CONFERENCE ON DATABASE AND EXPERT SYSTEMS APPLICATIONS, PROCEEDINGS</t>
  </si>
  <si>
    <t>International Workshop on Database and Expert Systems Applications-DEXA</t>
  </si>
  <si>
    <t>19th International Conference on Database and Expert Systems Applications</t>
  </si>
  <si>
    <t>SEP 01-05, 2008</t>
  </si>
  <si>
    <t>This paper proposes an architecture for supporting the organization and fruition of information created by the collaborative effort of web users. Large repositories of video streams are nowadays available on the web; such repositories are usually accessed through interfaces that support only a subset of the search types that are typical on the web. This work proposes a different approach for organizing and accessing such repositories, that often include not only video streams but also a lot of meaningful information such as the user interests and their network of friends. This work offers an extended view on all the features of the approach, including the description of a set of authoring interfaces that enable different categories of users to collaboratively build an interactive shared environment. The result of the authoring effort is displayed to the web user as a 3D multimodal world where specific search types, such as associative seeking and information re-finding, are enhanced. A prototypical application, accessing the data from the YouTube video repository, is presented.</t>
  </si>
  <si>
    <t>[Pittarello, Fabio; Narda, Alberto] Univ Ca Foscari Venezia, Dipartimento Informat, I-30172 Venice, VE, Italy</t>
  </si>
  <si>
    <t>Universita Ca Foscari Venezia</t>
  </si>
  <si>
    <t>Pittarello, F (corresponding author), Univ Ca Foscari Venezia, Dipartimento Informat, Via Torino 155, I-30172 Venice, VE, Italy.</t>
  </si>
  <si>
    <t>pitt@dsi.unive.it; anarda@dsi.unive.it</t>
  </si>
  <si>
    <t>Pittarello, Fabio/ABJ-3587-2022</t>
  </si>
  <si>
    <t>Pittarello, Fabio/0000-0003-2825-9754</t>
  </si>
  <si>
    <t>1529-4188</t>
  </si>
  <si>
    <t>978-0-7695-3299-8</t>
  </si>
  <si>
    <t>INT WORKSHOP DATABAS</t>
  </si>
  <si>
    <t>10.1109/DEXA.2008.58</t>
  </si>
  <si>
    <t>Computer Science, Hardware &amp; Architecture; Computer Science, Software Engineering; Computer Science, Theory &amp; Methods; Engineering, Electrical &amp; Electronic</t>
  </si>
  <si>
    <t>BIH38</t>
  </si>
  <si>
    <t>WOS:000259487400025</t>
  </si>
  <si>
    <t>Wang, YQ; Shen, HW; Gao, JH; Cheng, XQ</t>
  </si>
  <si>
    <t>Wang, Yongqing; Shen, Huawei; Gao, Jinhua; Cheng, Xueqi</t>
  </si>
  <si>
    <t>Learning Binary Hash Codes for Fast Anchor Link Retrieval across Networks</t>
  </si>
  <si>
    <t>WEB CONFERENCE 2019: PROCEEDINGS OF THE WORLD WIDE WEB CONFERENCE (WWW 2019)</t>
  </si>
  <si>
    <t>World Wide Web Conference (WWW)</t>
  </si>
  <si>
    <t>MAY 13-17, 2019</t>
  </si>
  <si>
    <t>Assoc Comp Machinery,Microsoft,Amazon,Bloomberg,Google,Criteo AI Lab,CISCO,NTENT,Spotify,Yahoo Res,Wikimedia Fdn,Baidu,DiDi,eBay,Facebook,LinkedIn,Megagon Labs,Mix,Mozilla,Netflix Res,NE Univ, Khoury Coll Comp Sci,Pinterest,Quora,Visa Res,Walmart Labs,Airbnb,Letgo,Gordon &amp; Betty Moore Fdn,Webcastor</t>
  </si>
  <si>
    <t>hash code; anchor link prediction; scalability</t>
  </si>
  <si>
    <t>PROTEIN-INTERACTION NETWORKS</t>
  </si>
  <si>
    <t>Users are usually involved in multiple social networks, without explicit anchor links that reveal the correspondence among different accounts of the same user across networks. Anchor link prediction aims to identify the hidden anchor links, which is a fundamental problem for user profiling, information cascading, and cross-domain recommendation. Although existing methods perform well in the accuracy of anchor link prediction, the pairwise search manners on inferring anchor links suffer from big challenge when being deployed in practical systems. To combat the challenges, in this paper we propose a novel embedding and matching architecture to directly learn binary hash code for each node. Hash codes offer us an efficient index to filter out the candidate node pairs for anchor link prediction. Extensive experiments on synthetic and real world large-scale datasets demonstrate that our proposed method has high time efficiency without loss of competitive prediction accuracy in anchor link prediction.</t>
  </si>
  <si>
    <t>[Wang, Yongqing; Shen, Huawei; Gao, Jinhua; Cheng, Xueqi] Chinese Acad Sci, Inst Comp Technol, CAS Key Lab Network Data Sci &amp; Technol, Beijing 100190, Peoples R China</t>
  </si>
  <si>
    <t>Chinese Academy of Sciences; Institute of Computing Technology, CAS</t>
  </si>
  <si>
    <t>Wang, YQ (corresponding author), Chinese Acad Sci, Inst Comp Technol, CAS Key Lab Network Data Sci &amp; Technol, Beijing 100190, Peoples R China.</t>
  </si>
  <si>
    <t>wangyongqing@ict.ac.cn; shenhuawei@ict.ac.cn; gaojinhua@ict.ac.cn; cxq@ict.ac.cn</t>
  </si>
  <si>
    <t>Shen, Hua-Wei/E-8028-2010; Cheng, Xueqi/F-1706-2010</t>
  </si>
  <si>
    <t>National Natural Science Foundation of China [61802371, 61433014, 61425016]; National Key Research and Development Program of China [2016QY03D0504]; K. C Wong Education Foundation; Youth Innovation Promotion Association of the Chinese Academy of Sciences</t>
  </si>
  <si>
    <t>National Natural Science Foundation of China(National Natural Science Foundation of China (NSFC)); National Key Research and Development Program of China(National Key Research &amp; Development Program of China); K. C Wong Education Foundation(K. C. Wong Education Foundation); Youth Innovation Promotion Association of the Chinese Academy of Sciences</t>
  </si>
  <si>
    <t>This work was funded by the National Natural Science Foundation of China under Grant Numbers 61802371, 61433014, 61425016 and the National Key Research and Development Program of China under grant number 2016QY03D0504. Hua-wei Shen is also funded by K. C Wong Education Foundation and the Youth Innovation Promotion Association of the Chinese Academy of Sciences.</t>
  </si>
  <si>
    <t>978-1-4503-6674-8</t>
  </si>
  <si>
    <t>10.1145/3308558.3313430</t>
  </si>
  <si>
    <t>BN5LD</t>
  </si>
  <si>
    <t>WOS:000483508403058</t>
  </si>
  <si>
    <t>Chaitanya, VS; Deo, S; Thilagam, PS</t>
  </si>
  <si>
    <t>Maji, P; Huang, T; Pal, NR; Chaudhury, S; De, RK</t>
  </si>
  <si>
    <t>Chaitanya, Vinnakota Saran; Deo, Sayali; Thilagam, P. Santhi</t>
  </si>
  <si>
    <t>User Interest Drift Identification Using Contextual Factors in Implicit Feedback-Based Recommender Systems</t>
  </si>
  <si>
    <t>PATTERN RECOGNITION AND MACHINE INTELLIGENCE, PREMI 2023</t>
  </si>
  <si>
    <t>10th Biennial International Conference on Pattern Recognition and Machine Intelligence (PReMI)</t>
  </si>
  <si>
    <t>DEC 12-15, 2023</t>
  </si>
  <si>
    <t>Indian Stat Inst, Kolkata, INDIA</t>
  </si>
  <si>
    <t>Int Assoc Pattern Recognit,Indian Stat Inst, Ctr Soft Comp Res A Natl Facil,Int Rough Set Soc,Web Intelligence Consortium,Indian Stat Inst, Machine Intelligence Unit</t>
  </si>
  <si>
    <t>Indian Stat Inst</t>
  </si>
  <si>
    <t>Recommender system; Session-based recommender system; Session-aware recommender system; User interest drift; noise</t>
  </si>
  <si>
    <t>The modeling of appropriate recommendations using the session interactions in the implicit feedback-based recommender systems necessitates the identification of user interest drift. But this identification is challenging due to the presence of unintentional interactions (noise) made by the user. Most of the existing literature focused on understanding the correlation between ongoing session interactions but did not explore the contextual factors, such as the time of occurrence of the session and the item's popularity, that led the user to perform that specific interaction. This has resulted in the wrongful categorization of interactions between user interest drift and noise. To overcome these limitations, this work proposes a deep learning-based approach that uses both ongoing session information and contextual information. Depending on availability, this work also considers the user's previous interactions to generate personalized recommendations. In comparison with the existing works, this work effectively identifies the user interest drift and generates the appropriate recommendations for the users. The proposed approach demonstrates superior performance over state-of-the-art baselines in terms of Recall and MRR, as evidenced by experimental results on benchmark datasets.</t>
  </si>
  <si>
    <t>[Chaitanya, Vinnakota Saran; Deo, Sayali; Thilagam, P. Santhi] Natl Inst Technol Karnataka, Mangalore, India</t>
  </si>
  <si>
    <t>Chaitanya, VS (corresponding author), Natl Inst Technol Karnataka, Mangalore, India.</t>
  </si>
  <si>
    <t>vsaranchaitanya@gmail.com; santhi@nitk.edu.in</t>
  </si>
  <si>
    <t>Thilagam, P. Santhi/GQA-3682-2022</t>
  </si>
  <si>
    <t>Thilagam, P. Santhi/0000-0002-8359-1330; Vinnakota, Saran Chaitanya/0000-0002-3455-0786</t>
  </si>
  <si>
    <t>978-3-031-45169-0; 978-3-031-45170-6</t>
  </si>
  <si>
    <t>10.1007/978-3-031-45170-6_35</t>
  </si>
  <si>
    <t>Computer Science, Artificial Intelligence; Computer Science, Theory &amp; Methods; Neuroimaging; Radiology, Nuclear Medicine &amp; Medical Imaging</t>
  </si>
  <si>
    <t>Computer Science; Neurosciences &amp; Neurology; Radiology, Nuclear Medicine &amp; Medical Imaging</t>
  </si>
  <si>
    <t>BW5EP</t>
  </si>
  <si>
    <t>WOS:001159598700035</t>
  </si>
  <si>
    <t>Allum, WH; Griffiths, G; Lund, J</t>
  </si>
  <si>
    <t>Allum, W. H.; Griffiths, Gareth; Lund, Jon</t>
  </si>
  <si>
    <t>NUFFIELD REPORT ON EMERGENCY GENERAL SURGERY No need to develop a special interest category for emergency general surgery</t>
  </si>
  <si>
    <t>BMJ-BRITISH MEDICAL JOURNAL</t>
  </si>
  <si>
    <t>Letter</t>
  </si>
  <si>
    <t>[Allum, W. H.; Griffiths, Gareth; Lund, Jon] Royal Coll Surgeons England, Joint Comm Surg Training, London WC2A 3PE, England</t>
  </si>
  <si>
    <t>Royal College of Surgeons of England</t>
  </si>
  <si>
    <t>Griffiths, G (corresponding author), Royal Coll Surgeons England, Joint Comm Surg Training, London WC2A 3PE, England.</t>
  </si>
  <si>
    <t>gareth.griffiths@nhs.net</t>
  </si>
  <si>
    <t>Lund, Jonathan/K-6631-2019</t>
  </si>
  <si>
    <t>Lund, Jonathan/0000-0001-5195-2181</t>
  </si>
  <si>
    <t>BMJ PUBLISHING GROUP</t>
  </si>
  <si>
    <t>BRITISH MED ASSOC HOUSE, TAVISTOCK SQUARE, LONDON WC1H 9JR, ENGLAND</t>
  </si>
  <si>
    <t>0959-535X</t>
  </si>
  <si>
    <t>1756-1833</t>
  </si>
  <si>
    <t>BMJ-BRIT MED J</t>
  </si>
  <si>
    <t>BMJ-British Medical Journal</t>
  </si>
  <si>
    <t>MAY 11</t>
  </si>
  <si>
    <t>i2591</t>
  </si>
  <si>
    <t>10.1136/bmj.i2591</t>
  </si>
  <si>
    <t>Medicine, General &amp; Internal</t>
  </si>
  <si>
    <t>General &amp; Internal Medicine</t>
  </si>
  <si>
    <t>DM6FR</t>
  </si>
  <si>
    <t>WOS:000376446500015</t>
  </si>
  <si>
    <t>Venkatraman, S</t>
  </si>
  <si>
    <t>Venkatraman, Sitalakshmi</t>
  </si>
  <si>
    <t>A Proposed Business Intelligent Framework for Recommender Systems</t>
  </si>
  <si>
    <t>INFORMATICS-BASEL</t>
  </si>
  <si>
    <t>recommender systems; business intelligence; data analytics; data mining; e-commerce</t>
  </si>
  <si>
    <t>In this Internet age, recommender systems (RS) have become popular, offering new opportunities and challenges to the business world. With a continuous increase in global competition, e-businesses, information portals, social networks and more, websites are required to become more user-centric and rely on the presence and role of RS in assisting users in better decision making. However, with continuous changes in user interests and consumer behavior patterns that are influenced by easy access to vast information and social factors, raising the quality of recommendations has become a challenge for recommender systems. There is a pressing need for exploring hybrid models of the five main types of RS, namely collaborative, demographic, utility, content and knowledge based approaches along with advancements in Big Data (BD) to become more context-aware of the technology and social changes and to behave intelligently. There is a gap in literature with a research focus in this direction. This paper takes a step to address this by exploring a new paradigm of applying business intelligence (BI) concepts to RS for intelligently responding to user changes and business complexities. A BI based framework adopting a hybrid methodology for RS is proposed with a focus on enhancing the RS performance. Such a business intelligent recommender system (BIRS) can adopt On-line Analytical Processing (OLAP) tools and performance monitoring metrics using data mining techniques of BI to enhance its own learning, user profiling and predictive models for making a more useful set of personalised recommendations to its users. The application of the proposed framework to a B2C e-commerce case example is presented.</t>
  </si>
  <si>
    <t>[Venkatraman, Sitalakshmi] Melbourne Polytech, 144 High St, Prahran, Vic 3181, Australia</t>
  </si>
  <si>
    <t>Venkatraman, S (corresponding author), Melbourne Polytech, 144 High St, Prahran, Vic 3181, Australia.</t>
  </si>
  <si>
    <t>SitaVenkat@melbournepolytechnic.edu.au</t>
  </si>
  <si>
    <t>Venkatraman, Sitalakshmi/R-3130-2018</t>
  </si>
  <si>
    <t>Venkatraman, Sitalakshmi/0000-0002-2772-133X</t>
  </si>
  <si>
    <t>2227-9709</t>
  </si>
  <si>
    <t>Informatics-Basel</t>
  </si>
  <si>
    <t>10.3390/informatics4040040</t>
  </si>
  <si>
    <t>FU2IP</t>
  </si>
  <si>
    <t>WOS:000423673600008</t>
  </si>
  <si>
    <t>Antoniou, A; Lykourentzou, I; Rompa, J; Tobias, E; Lepouras, G; Vassilakis, C; Naudet, Y</t>
  </si>
  <si>
    <t>DeGloria, A</t>
  </si>
  <si>
    <t>Antoniou, Angeliki; Lykourentzou, Ioanna; Rompa, Jenny; Tobias, Eric; Lepouras, George; Vassilakis, Costas; Naudet, Yannick</t>
  </si>
  <si>
    <t>User Profiling: Towards a Facebook Game that Reveals Cognitive Style</t>
  </si>
  <si>
    <t>GAMES AND LEARNING ALLIANCE</t>
  </si>
  <si>
    <t>2nd International Conference on Games and Learning Alliance (GALA)</t>
  </si>
  <si>
    <t>OCT 23-25, 2013</t>
  </si>
  <si>
    <t>Dassault Syst, Paris, FRANCE</t>
  </si>
  <si>
    <t>Dassault Syst</t>
  </si>
  <si>
    <t>This paper presents an innovative approach based on social-network gaming, which will extract players' cognitive styles for personalization purposes. Cognitive styles describe the way individuals think, perceive and remember information and can be exploited to personalize user interaction. Questionnaires are usually employed to identify cognitive styles, a tedious process for most users. Our approach relies on a Facebook game for discovering potential visitors' cognitive styles with an ultimate goal of enhancing the overall visitors' experience in the museum. By hosting such a game on the museum's webpage and on Facebook, the museum aims to attract new visitors, as well as to support the user profiling process.</t>
  </si>
  <si>
    <t>[Antoniou, Angeliki; Rompa, Jenny; Lepouras, George; Vassilakis, Costas] Univ Pelponnese, Terma Karaiskai 22100, Tripolis, Greece; [Lykourentzou, Ioanna; Tobias, Eric; Naudet, Yannick] CPR Henri Tudor, L-1855 Luxembourg, Luxembourg</t>
  </si>
  <si>
    <t>Antoniou, A (corresponding author), Univ Pelponnese, Terma Karaiskai 22100, Tripolis, Greece.</t>
  </si>
  <si>
    <t>angelant@uop.gr; ioanna.lykourentzou@tudor.lu; jr@uop.gr; eric.tobias@tudor.lu; g.lepouras@uop.gr; costas@uop.gr; yannick.naudet@tudor.lu</t>
  </si>
  <si>
    <t>Lepouras, Georgios/AAM-3058-2021; Antoniou, Angeliki/E-4824-2012; Vassilakis, Costas/AAH-5948-2019</t>
  </si>
  <si>
    <t>Antoniou, Angeliki/0000-0002-3452-1168; Vassilakis, Costas/0000-0001-9940-1821; Rompa, Jenny/0000-0002-4341-0515; Naudet, Yannick/0000-0001-8570-9200; Lykourentzou, Ioanna/0000-0002-4243-4128</t>
  </si>
  <si>
    <t>European Union Seventh Framework Program Experimedia project [287966]; Academy of Finland (AKA) [287966] Funding Source: Academy of Finland (AKA)</t>
  </si>
  <si>
    <t>European Union Seventh Framework Program Experimedia project; Academy of Finland (AKA)(Research Council of Finland)</t>
  </si>
  <si>
    <t>The above research is partly funded under the European Union Seventh Framework Program Experimedia project, Contract No. 287966. We would also like to thank the students of the Departments of Computer Science and Technology, University of Peloponnese for participating in the pilot studies.</t>
  </si>
  <si>
    <t>978-3-319-12157-4; 978-3-319-12156-7</t>
  </si>
  <si>
    <t>10.1007/978-3-319-12157-4_28</t>
  </si>
  <si>
    <t>BB7IR</t>
  </si>
  <si>
    <t>WOS:000345586400028</t>
  </si>
  <si>
    <t>Baracchi, D; Shullani, D; Iuliani, M; Giani, D; Piva, A</t>
  </si>
  <si>
    <t>Baracchi, Daniele; Shullani, Dasara; Iuliani, Massimo; Giani, Damiano; Piva, Alessandro</t>
  </si>
  <si>
    <t>Uncovering the authorship: Linking media content to social user profiles</t>
  </si>
  <si>
    <t>PATTERN RECOGNITION LETTERS</t>
  </si>
  <si>
    <t>Multimedia forensics; Social media; Dataset; Fake news; User profiling; Disinformation detection</t>
  </si>
  <si>
    <t>NETWORK IDENTIFICATION</t>
  </si>
  <si>
    <t>The extensive spread of fake news on social networks is carried out by a diverse range of users, encompassing private individuals, newspapers, and organizations. With widely accessible image and video editing tools, malicious users can easily create manipulated media. They can then distribute this content through multiple fake profiles, aiming to maximize its social impact. To tackle this problem effectively, it is crucial to possess the ability to analyze shared media to identify the originators of fake news. To this end, multimedia forensics research has advanced tools that examine traces in media, revealing valuable insights into its origins. While combining these tools has proven to be highly efficient in creating profiles of image and video creators, it is important to note that most of these tools are not specifically designed to function effectively in the complex environment of content exchange on social networks. In this paper, we introduce the problem of establishing associations between images and their source profiles as a means to tackle the spread of disinformation on social platforms. To this end, we assembled SocialNews , an extensive image dataset comprising more than 12,000 images sourced from 21 user profiles across Facebook, Instagram, and Twitter, and we propose three increasingly realistic and challenging experimental scenarios. We present two simple yet effective techniques as benchmarks, one based on statistical analysis of Discrete Cosine Transform (DCT) coefficients and one employing a neural network model based on ResNet, and we compare their performance against the state of the art. Experimental results show that the proposed approaches exhibit superior performance in accurately classifying the originating user profiles.</t>
  </si>
  <si>
    <t>[Baracchi, Daniele; Shullani, Dasara; Iuliani, Massimo; Giani, Damiano; Piva, Alessandro] Univ Firenze, Dipartimento Ingn Informaz, Via S Marta 3, I-50134 Florence, Italy; [Iuliani, Massimo; Piva, Alessandro] Forlab, Multimedia Forens Lab, Piazza Ciardi 25, I-59100 Prato, Italy</t>
  </si>
  <si>
    <t>Shullani, D (corresponding author), Univ Firenze, Dipartimento Ingn Informaz, Via S Marta 3, I-50134 Florence, Italy.</t>
  </si>
  <si>
    <t>daniele.baracchi@unifi.it; dasara.shullani@unifi.it; massimo.iuliani@unifi.it; damiano.giani@edu.unifi.it; alessandro.piva@unifi.it</t>
  </si>
  <si>
    <t>Piva, Alessandro/B-8948-2008; Baracchi, Daniele/AHD-5162-2022</t>
  </si>
  <si>
    <t>Piva, Alessandro/0000-0002-3047-0519;</t>
  </si>
  <si>
    <t>Italian Ministry of Uni-versities and Research (MUR) [2017Z595XS]; Defense Advanced Research Projects Agency (DARPA) [HR00112090136]</t>
  </si>
  <si>
    <t>Italian Ministry of Uni-versities and Research (MUR)(Ministry of Education, Universities and Research (MIUR)); Defense Advanced Research Projects Agency (DARPA)(United States Department of DefenseDefense Advanced Research Projects Agency (DARPA))</t>
  </si>
  <si>
    <t>This work was supported in part by the Italian Ministry of Uni-versities and Research (MUR) under Grant 2017Z595XS, and in part by the Defense Advanced Research Projects Agency (DARPA) under Agreement No. HR00112090136. The U.S. Government is authorized to reproduce and distribute reprints for Governmental purposes notwith-standing any copyright notation thereon. The views and conclusions contained herein are those of the authors and should not be inter-preted as necessarily representing the official policies or endorsements, either expressed or implied, of the Defense Advanced Research Projects Agency or the U.S. Government. The authors would also like to thank Chiara Camerota for her advice on the statistical tests employed in this paper.</t>
  </si>
  <si>
    <t>0167-8655</t>
  </si>
  <si>
    <t>1872-7344</t>
  </si>
  <si>
    <t>PATTERN RECOGN LETT</t>
  </si>
  <si>
    <t>Pattern Recognit. Lett.</t>
  </si>
  <si>
    <t>10.1016/j.patrec.2024.03.008</t>
  </si>
  <si>
    <t>MAR 2024</t>
  </si>
  <si>
    <t>QT2F5</t>
  </si>
  <si>
    <t>WOS:001223048700001</t>
  </si>
  <si>
    <t>Mei, A; Morabito, G; Santi, P; Stefa, J</t>
  </si>
  <si>
    <t>Mei, Alessandro; Morabito, Giacomo; Santi, Paolo; Stefa, Julinda</t>
  </si>
  <si>
    <t>Social-Aware Stateless Routing in Pocket Switched Networks</t>
  </si>
  <si>
    <t>IEEE TRANSACTIONS ON PARALLEL AND DISTRIBUTED SYSTEMS</t>
  </si>
  <si>
    <t>Delay-tolerant networks; opportunistic networks; mobile social networks; community structure; routing</t>
  </si>
  <si>
    <t>MOBILE NETWORKS</t>
  </si>
  <si>
    <t>Existing social-aware routing protocols for pocket switched networks make use of the information about the social structure of the network deduced by state information of nodes (e.g., history of past encounters) to optimize routing. Although these approaches are shown to have superior performance to social-oblivious, stateless routing protocols (BinarySW, Epidemic), the improvement comes at the cost of considerable storage overhead required on the nodes. In this paper we present SANE, the first routing mechanism that combines the advantages of both social-aware and stateless approaches. SANE is based on the observation-that we validate on a real-world trace-that individuals with similar interests tend to meet more often. In SANE, individuals (network members) are characterized by their interest profile, a compact representation of their interests. By implementing a simple routing rule based on interest profile similarity, SANE is free of network state information, thus overcoming the storage capacity problem with existing social-aware approaches. Through thorough experiments, we show the superiority of SANE over existing approaches, both stateful, social-aware and stateless, social-oblivious. We discuss the statelessness of our approach in the supplementary file, which can be found on the Computer Society Digital Library at http://doi.ieeecomputersociety.org/10.1109/TPDS.2014.2307857, of this manuscript. Our interest-based approach easily enables innovative networking services, such as interest-casting. An interest-casting protocol is also introduced in this paper, and evaluated through experiments based on both real-world and synthetic mobility traces.</t>
  </si>
  <si>
    <t>[Mei, Alessandro; Stefa, Julinda] Univ Roma La Sapienza, Dept Comp Sci, I-00198 Rome, Italy; [Morabito, Giacomo] Univ Catania, Dept Comp Sci &amp; Telecommun Engn, I-95125 Catania, Italy; [Santi, Paolo] Ist Informat &amp; Telemat, Dept Computat Math, I-56124 Pisa, Italy</t>
  </si>
  <si>
    <t>Sapienza University Rome; University of Catania; Consiglio Nazionale delle Ricerche (CNR); Istituto di Informatica e Telematica (IIT-CNR)</t>
  </si>
  <si>
    <t>Mei, A (corresponding author), Univ Roma La Sapienza, Dept Comp Sci, Via Salaria 113, I-00198 Rome, Italy.</t>
  </si>
  <si>
    <t>mei@di.uniroma1.it; gmorabi@diit.unict.it; paolo.santi@iit.cnr.it; stefa@di.uniroma1.it</t>
  </si>
  <si>
    <t>Stefa, Julinda/0000-0001-5718-3408; Mei, Alessano/0000-0003-1215-9644; Morabito, Giacomo/0000-0002-8714-4001</t>
  </si>
  <si>
    <t>1045-9219</t>
  </si>
  <si>
    <t>1558-2183</t>
  </si>
  <si>
    <t>IEEE T PARALL DISTR</t>
  </si>
  <si>
    <t>IEEE Trans. Parallel Distrib. Syst.</t>
  </si>
  <si>
    <t>10.1109/TPDS.2014.2307857</t>
  </si>
  <si>
    <t>AZ4QF</t>
  </si>
  <si>
    <t>WOS:000348206700024</t>
  </si>
  <si>
    <t>Gong, P; Wang, L; Liu, XL; Wei, YG</t>
  </si>
  <si>
    <t>Gong, Ping; Wang, Li; Liu, Xiaolong; Wei, Yigang</t>
  </si>
  <si>
    <t>The value of social media tool for monitoring and evaluating environment policy communication: a case study of the 'Zero-waste City' initiative in China</t>
  </si>
  <si>
    <t>ENERGY ECOLOGY AND ENVIRONMENT</t>
  </si>
  <si>
    <t>Zero-waste city; Solid waste; Social media; Policy communication; Public perception</t>
  </si>
  <si>
    <t>PUBLIC ENGAGEMENT; USER INTERESTS; TWITTER; MODEL</t>
  </si>
  <si>
    <t>The construction of a 'zero-waste city' is a flagship policy to accelerate the development of a green, low-carbon circular economy system in China. Enhancing social participation is an important dimension to evaluate the effect of 'zero-waste city' policy construction and an effective way to promote the full achievement of correct waste classification, management, and supervision of solid waste. Based on policy communication theory, this paper aims to take advantage of social media to quantitatively measure the environment policy communication effect and provide a comprehensive panoramic measurement from dynamic characteristics and trend, communication scope, attributes of communicators, and contents dimensions. Based on post data related to 'zero-waste city' on Weibo platforms from June 2018 to November 2020, this paper innovatively constructs a measurement system of environmental policy communication that combines social media data with social network analysis and text topic analysis. Results show that from the angle of communication trend, a 'zero-waste city' public environment policy is continuously promoted on social media with an increasingly growing volume and is a subject of wide concern for the public. This study confirms the value of social media data in assessing environment policy communication effect and presents several policy implications: Government departments should strengthen environmental policy communication by using Weibo and other social media tools to improve the public's attention toward the policy and increase their participation in environmental governance; focus on people's livelihood interest in policy communication content; strengthen the interaction of the public with the content of policies by using a popular and understandable public discourse system and encourage multiple social subjects to participate in policy communication and strengthen the communication of the 'zero-waste' cultural concept.</t>
  </si>
  <si>
    <t>[Gong, Ping; Wang, Li; Wei, Yigang] Beihang Univ, Sch Econ &amp; Management, Beijing, Peoples R China; [Liu, Xiaolong] Tsinghua Univ, Sch Social Sci, Dept Int Relat, Beijing, Peoples R China; [Liu, Xiaolong] Chinese Acad Engn, Strateg Consulting Ctr, Beijing, Peoples R China; [Wei, Yigang] Beijing Key Lab Emergency Support Simulat Technol, Beijing, Peoples R China</t>
  </si>
  <si>
    <t>Beihang University; Tsinghua University</t>
  </si>
  <si>
    <t>Wei, YG (corresponding author), Beihang Univ, Sch Econ &amp; Management, Beijing, Peoples R China.;Liu, XL (corresponding author), Tsinghua Univ, Sch Social Sci, Dept Int Relat, Beijing, Peoples R China.;Liu, XL (corresponding author), Chinese Acad Engn, Strateg Consulting Ctr, Beijing, Peoples R China.;Wei, YG (corresponding author), Beijing Key Lab Emergency Support Simulat Technol, Beijing, Peoples R China.</t>
  </si>
  <si>
    <t>gongping@buaa.edu.com; wlbh@vip.163.com; lxl@cae.cn; weiyg@buaa.edu.cn</t>
  </si>
  <si>
    <t>WEI, YIGANG/U-2900-2017</t>
  </si>
  <si>
    <t>National Natural Science Foundation of China [72174020, 71904009]; Beijing Social Science Fund [20GLC054]; MOE (Ministry of Education in China) Project of Humanities and Social Sciences [18YJC840041]</t>
  </si>
  <si>
    <t>National Natural Science Foundation of China(National Natural Science Foundation of China (NSFC)); Beijing Social Science Fund; MOE (Ministry of Education in China) Project of Humanities and Social Sciences</t>
  </si>
  <si>
    <t>This work was supported by National Natural Science Foundation of China (NO.72174020; NO.71904009), Beijing Social Science Fund (NO.20GLC054), the MOE (Ministry of Education in China) Project of Humanities and Social Sciences (NO.18YJC840041).</t>
  </si>
  <si>
    <t>2363-7692</t>
  </si>
  <si>
    <t>2363-8338</t>
  </si>
  <si>
    <t>ENERGY ECOL ENVIRON</t>
  </si>
  <si>
    <t>Energy Ecol. Environ.</t>
  </si>
  <si>
    <t>10.1007/s40974-022-00251-8</t>
  </si>
  <si>
    <t>Green &amp; Sustainable Science &amp; Technology; Environmental Sciences</t>
  </si>
  <si>
    <t>Science &amp; Technology - Other Topics; Environmental Sciences &amp; Ecology</t>
  </si>
  <si>
    <t>5J7YZ</t>
  </si>
  <si>
    <t>WOS:000810798900001</t>
  </si>
  <si>
    <t>Li, YK; Zhu, XY; Wu, YH; Zhao, WX; Xia, XN</t>
  </si>
  <si>
    <t>Li, Yongkang; Zhu, Xingyu; Wu, Yuheng; Zhao, Wenxu; Xia, Xiaona</t>
  </si>
  <si>
    <t>A Survey on Causal Inference-Driven Data Bias Optimization in Recommendation Systems: Principles, Opportunities and Challenges</t>
  </si>
  <si>
    <t>WILEY INTERDISCIPLINARY REVIEWS-DATA MINING AND KNOWLEDGE DISCOVERY</t>
  </si>
  <si>
    <t>causal inference; data bias; optimization algorithm; recommendation system</t>
  </si>
  <si>
    <t>POTENTIAL OUTCOMES; REGULARIZATION; SELECTION; SPARSITY; MODEL</t>
  </si>
  <si>
    <t>Recommendation systems predict user interests and recommend items for online platforms including e-commerce, social networks, and decision systems. However, data bias has become a significant obstacle, severely impacting the accuracy, fairness, and reliability of recommendation results. This survey examines causal inference for optimizing recommendation systems and mitigating data bias, addressing three questions: (1) Bias types and performance impacts; (2) Causal inference mitigation methods; (3) Approach advantages, limitations, and research opportunities. The motivation for this survey stems from the limitations of traditional debiasing methods, which often fail to account for causal relationships and struggle in dynamic, real-world scenarios. Causal inference provides a robust framework for identifying and addressing the underlying causes of bias, enabling more transparent and accurate recommendation systems. Therefore, we define three critical stages of bias: bias in the data stage, model selection stage, and model evaluation stage. For each stage, causal inference-based optimization methods are introduced and critically analyzed. Unlike traditional debiasing methods, this study analyzes data augmentation and regularization techniques as potential strategies for future research. The whole research might highlight the ability of causal inference to uncover and control confounding factors, offering deeper insights into the mechanisms driving biases.</t>
  </si>
  <si>
    <t>[Li, Yongkang; Zhu, Xingyu; Wu, Yuheng; Zhao, Wenxu; Xia, Xiaona] Qufu Normal Univ, Fac Educ, Sch Comp Sci, Qufu, Shandong, Peoples R China</t>
  </si>
  <si>
    <t>Qufu Normal University</t>
  </si>
  <si>
    <t>Xia, XN (corresponding author), Qufu Normal Univ, Fac Educ, Sch Comp Sci, Qufu, Shandong, Peoples R China.</t>
  </si>
  <si>
    <t>xiaxn@sina.com</t>
  </si>
  <si>
    <t>Zhu, XingYu/LTY-7490-2024; Xia, Xiaona/ABB-9951-2021</t>
  </si>
  <si>
    <t>Zhu, XingYu/0009-0004-8034-3675; Xia, Xiaona/0000-0001-5438-2735</t>
  </si>
  <si>
    <t>Social Science Planning Project of Shandong Province</t>
  </si>
  <si>
    <t>The authors extend their gratitude to the anonymous reviewers for their time and effort in reviewing the manuscript. Their insightful feedback has been invaluable in refining and enhancing the quality of this work. The authors also wish to thank Professor Xiaona Xia for her constructive comments and thoughtful suggestions, which greatly contributed to the improvement of the manuscript.</t>
  </si>
  <si>
    <t>WILEY PERIODICALS, INC</t>
  </si>
  <si>
    <t>ONE MONTGOMERY ST, SUITE 1200, SAN FRANCISCO, CA 94104 USA</t>
  </si>
  <si>
    <t>1942-4787</t>
  </si>
  <si>
    <t>1942-4795</t>
  </si>
  <si>
    <t>WIRES DATA MIN KNOWL</t>
  </si>
  <si>
    <t>Wiley Interdiscip. Rev.-Data Mining Knowl. Discov.</t>
  </si>
  <si>
    <t>e70020</t>
  </si>
  <si>
    <t>10.1002/widm.70020</t>
  </si>
  <si>
    <t>4FW5E</t>
  </si>
  <si>
    <t>WOS:001517040200016</t>
  </si>
  <si>
    <t>Karabenick, SA; Urdan, TC</t>
  </si>
  <si>
    <t>MOTIVATING STUDENTS BY PERSONALIZING LEARNING AROUND INDIVIDUAL INTERESTS: A CONSIDERATION OF THEORY, DESIGN, AND IMPLEMENTATION ISSUES</t>
  </si>
  <si>
    <t>MOTIVATIONAL INTERVENTIONS</t>
  </si>
  <si>
    <t>Advances in Motivation and Achievement-A Research Annual</t>
  </si>
  <si>
    <t>Situational interest; (context) personalization; individual interest; funds of knowledge; computer-based curricula; learning technology</t>
  </si>
  <si>
    <t>PERFORMANCE; CONTEXT; ACHIEVEMENT; PRINCIPLES</t>
  </si>
  <si>
    <t>Purpose - As educators seek ways to enhance student motivation and improve achievement, promising advances are being made in adaptive approaches to instruction. Learning technologies are emerging that promote a high level of personalization of the learning experience. One type of personalization is context personalization, in which instruction is presented in the context of learners' individual interests in areas like sports, music, and video games. Personalized contexts may elicit situational interest, which can in turn spur motivational and metacognitive states like positive affect and focused attention. Personalized contexts may also allow for concepts to become grounded in prior knowledge by fostering connections to everyday activity. In this Chapter, we discuss the theoretical, design, and implementation issues to consider when creating interventions that utilize context personalization to enhance motivation. Design/methodology/approach - First, we provide an overview of context personalization as an instructional principle and outline the emerging evidence that personalization can enhance motivation and improve achievement. We then discuss the theory hypothesized to account for the effectiveness of context personalization and discuss the approaches to personalization interventions. We close by discussing some of the practical issues to consider when bridging the design and implementation of personalization interventions. Throughout the paper, we anchor our discussion to our own research which focuses on the use of context personalization in middle and high school mathematics. Findings - The theoretical mechanisms through which context personalization enhances learning may include (1) eliciting positive affective reactions to the instruction, (2) fostering feelings of value for the instructional content through connections to valued personal interests, or (3) drawing upon prior funds of knowledge of the topic. We provide hypotheses for the relatedness of context personalization to triggering and maintaining situational interest, and explore potential drawbacks of personalization, considering research on seductive details, desirable difficulties, and authenticity of connections to prior knowledge. We further examine four approaches to personalized learning - fill-in-the-blank personalization, matching instruction to individual topic interests, grouplevel personalization, and utility-value interventions. These approaches vary in terms of the depth of the personalization - whether simple, shallow connections are made to interest topics, or deep, meaningful connections are made to learners' actual experiences. The consideration of depth also interacts with grain size - whether content is personalized based on the broader interests of a group, or the individual experiences of a particular learner. And finally, personalization interventions can have different levels of ownership - an instructor can generate the personalized connections, the connections can be made by the curriculum designers, or learners can take an active role in personalizing their own learning. Finally, we discuss the practical implementation issues when bringing context personalization interventions into K-12 classrooms. Personalization can be logistically difficult to implement, given that learners hold a diverse array of interests, and may experience each of those interests differently. In addition, particular types of instructional content may show greater sensitivity when personalization is implemented, and personalization may be most helpful for learners with certain background characteristics. Originality/value - Realizing the promise of personalized learning is an unsolved problem in education whose solution becomes ever more critical as we confront a new digital age. Context personalization has the potential to bring together several well-established strands of research on improving student learning - research on the development of interest, funds of knowledge, and utility value - into one powerful intervention.</t>
  </si>
  <si>
    <t>[Walkington, Candace] Southern Methodist Univ, Dallas, TX 75205 USA; [Bernacki, Matthew L.] Univ Nevada, Las Vegas, NV 89154 USA</t>
  </si>
  <si>
    <t>HOWARD HOUSE, WAGON LANE, BINGLEY, W YORKSHIRE BD16 1WA, ENGLAND</t>
  </si>
  <si>
    <t>0749-7423</t>
  </si>
  <si>
    <t>978-1-78441-308-8; 978-1-78350-555-5</t>
  </si>
  <si>
    <t>ADV MOTIV A</t>
  </si>
  <si>
    <t>10.1108/S0749-742320140000018004</t>
  </si>
  <si>
    <t>10.1108/S0749-7423201418</t>
  </si>
  <si>
    <t>BH7IW</t>
  </si>
  <si>
    <t>WOS:000402594600006</t>
  </si>
  <si>
    <t>Kmetty, Z; Bozsonyi, K</t>
  </si>
  <si>
    <t>Kmetty, Zoltan; Bozsonyi, Karoly</t>
  </si>
  <si>
    <t>Identifying Depression-Related Behavior on Facebook-An Experimental Study</t>
  </si>
  <si>
    <t>SOCIAL SCIENCES-BASEL</t>
  </si>
  <si>
    <t>depression; PHQ-9; Facebook; social media; digital data</t>
  </si>
  <si>
    <t>SUICIDE; RISK</t>
  </si>
  <si>
    <t>Depression is one of the major mental health problems in the world and the leading cause of disability worldwide. As people leave more and more digital traces in the online world, it becomes possible to detect depression-related behavior based on people's online activities. We use a novel Facebook study to identify possible non-textual elements of depression-related behavior in a social media environment. This study focuses on the relationship between depression and the volume and composition of Facebook friendship networks and the volume and temporal variability of Facebook activities. We also tried to establish a link between depression and the interest categories of the participants. The significant predictors were partly different for cognitive-affective depression and somatic depression. Earlier studies found that depressed people have a smaller online social network. We found the same pattern in the case of cognitive-affective depression. We also found that they posted less in others' timelines, but we did not find that they posted more in their own timeline. Our study was the first to use the Facebook ads interest data to predict depression. Those who were classified into the less interest category by Facebook had higher depression levels on both scales.</t>
  </si>
  <si>
    <t>[Kmetty, Zoltan] Eotvos Lorand Univ, Fac Social Sci, Computat Social Sci Res Ctr Educ &amp; Network Studie, Sociol Dept, H-1117 Budapest, Hungary; [Kmetty, Zoltan] Eotvos Lorand Univ, Fac Social Sci, Ctr Social Sci, H-1117 Budapest, Hungary; [Bozsonyi, Karoly] Karoli Gaspar Univ Reformed Church Hungary, Fac Social Sci, Inst Social &amp; Commun Sci, H-1091 Budapest, Hungary</t>
  </si>
  <si>
    <t>Eotvos Lorand University; Eotvos Lorand University; ELTE Centre for Social Sciences; Karoli Gaspar University of Reformed Church</t>
  </si>
  <si>
    <t>Kmetty, Z (corresponding author), Eotvos Lorand Univ, Fac Social Sci, Computat Social Sci Res Ctr Educ &amp; Network Studie, Sociol Dept, H-1117 Budapest, Hungary.;Kmetty, Z (corresponding author), Eotvos Lorand Univ, Fac Social Sci, Ctr Social Sci, H-1117 Budapest, Hungary.</t>
  </si>
  <si>
    <t>kmetty.zoltan@tatk.elte.hu; bozsonyi.karoly.bk@gmail.com</t>
  </si>
  <si>
    <t>Kmetty, Zoltán/D-2027-2012</t>
  </si>
  <si>
    <t>Kmetty, Zoltán/0000-0002-6775-8938; Károly, Bozsonyi/0000-0003-0721-5007</t>
  </si>
  <si>
    <t>National Research, Development and Innovation Office of Hungary [FK-128981]; Eotvos Lorand Research Network</t>
  </si>
  <si>
    <t>National Research, Development and Innovation Office of Hungary(National Research, Development &amp; Innovation Office (NRDIO) - Hungary); Eotvos Lorand Research Network</t>
  </si>
  <si>
    <t>The research was funded by the National Research, Development and Innovation Office of Hungary, grant number: FK-128981. The APC was funded by Eotvos Lorand Research Network.</t>
  </si>
  <si>
    <t>2076-0760</t>
  </si>
  <si>
    <t>SOC SCI-BASEL</t>
  </si>
  <si>
    <t>Soc. Sci.-Basel</t>
  </si>
  <si>
    <t>10.3390/socsci11030135</t>
  </si>
  <si>
    <t>0D9UM</t>
  </si>
  <si>
    <t>WOS:000776333400001</t>
  </si>
  <si>
    <t>Papoutsidakis, M; Sampati, S; Ledakis, I; Sotiropoulou, A; Giannopoulos, S</t>
  </si>
  <si>
    <t>Sicilia, MA; Lytras, MD</t>
  </si>
  <si>
    <t>Papoutsidakis, Markos; Sampati, Stavroula; Ledakis, Ioannis; Sotiropoulou, Afroditi; Giannopoulos, Stavros</t>
  </si>
  <si>
    <t>Guidelines for Web Search Engines: From Searching and Filtering to Interface</t>
  </si>
  <si>
    <t>METADATA AND SEMANTICS</t>
  </si>
  <si>
    <t>2nd International Conference on Metadata and Semantics Research (MTSR 07)</t>
  </si>
  <si>
    <t>OCT 01-12, 2007</t>
  </si>
  <si>
    <t>In this paper we address a set of important guidelines that web search engines should follow in order to become effective. We refer to the importance of semantic web in the section of search engines which comes up from the better set-tip that ontologies offer. Moreover. sonic of the most known and adaptive learning techniques are described in order to personalize web search engines. including methods for implicit and explicit feedback. In addition, We focus on how these methods can coexist so as to achieve high performance and we investigate the role of metadata in web searching in order to detect user interests and improve the information filtering, procedure. Finally. we propose how these can be combined and presented into an interface. Which Will be considered as user friendly.</t>
  </si>
  <si>
    <t>[Papoutsidakis, Markos; Sampati, Stavroula; Ledakis, Ioannis; Sotiropoulou, Afroditi] Univ Patras, Comp Engn &amp; Informat Dept, Patras 26500, Greece; [Giannopoulos, Stavros] Open Res Soc, NGO, Abhyudaya, CA USA</t>
  </si>
  <si>
    <t>Papoutsidakis, M (corresponding author), Univ Patras, Comp Engn &amp; Informat Dept, Patras 26500, Greece.</t>
  </si>
  <si>
    <t>papoutsi@ceid.upatras.gr; sampati@ceid.upatras.gr; ledak@ceid.upatras.gr; sotiropu@ceid.upatras.gr; stavrosgian@gmail.com</t>
  </si>
  <si>
    <t>978-0-387-77744-3</t>
  </si>
  <si>
    <t>10.1007/978-0-387-77745-0_37</t>
  </si>
  <si>
    <t>BIO53</t>
  </si>
  <si>
    <t>WOS:000261355600037</t>
  </si>
  <si>
    <t>Li, T; Kou, G; Peng, Y</t>
  </si>
  <si>
    <t>Li, Tie; Kou, Gang; Peng, Yi</t>
  </si>
  <si>
    <t>Learning user's dynamic and personalized interests from E-commerce reviews of verified purchases: a time series based framework</t>
  </si>
  <si>
    <t>JOURNAL OF THE OPERATIONAL RESEARCH SOCIETY</t>
  </si>
  <si>
    <t>User interest elicitation; interest pattern analysis; interest time series; interest graph mining; potential interest prediction</t>
  </si>
  <si>
    <t>RECOMMENDATION; PREFERENCE</t>
  </si>
  <si>
    <t>User interests are highly individualized and evolve over time. Nevertheless, the exploration of these personalized traits alongside the dynamics of such interests is less studied. Based on the observation that the sequences of a user's reviews of verified purchases on a product can reflect the user's dynamic interests toward the product type, we propose a time-series-based framework that elucidates both the evolutions and characteristics within user interests, learns the personalized patterns in interest series, and suggests three strategies to predict users' prospective interests. The experiments used 1.29 million Amazon's reviews of verified purchases on electronic products to validate the proposed framework. The results showed that a part of the users' interest series did have unique life-cycles, and the proposed prediction strategies outperformed both traditional static method and recent deep sequential models in terms of precision, recall rate, and F1, which indicated that personalization and time indeed played critical roles in user interest analysis. The proposed approach can be used to enhance predictions regarding users' prospective interests while mitigating information overload. This work holds potential for a variety of applications such as user profile construction, precision marketing, and personalized recommendation.</t>
  </si>
  <si>
    <t>[Li, Tie; Peng, Yi] Univ Elect Sci &amp; Technol China, Chengdu 611731, Peoples R China; [Kou, Gang] Southwestern Univ Finance &amp; Econ, Chengdu, Peoples R China</t>
  </si>
  <si>
    <t>University of Electronic Science &amp; Technology of China; Southwestern University of Finance &amp; Economics - China</t>
  </si>
  <si>
    <t>Peng, Y (corresponding author), Univ Elect Sci &amp; Technol China, Chengdu 611731, Peoples R China.</t>
  </si>
  <si>
    <t>pengyi@uestc.edu.cn</t>
  </si>
  <si>
    <t>Kou, Gang/ABC-3883-2020</t>
  </si>
  <si>
    <t>National Social Science Foundation of China [23BTJ040]; National Natural Science Foundation of China [72471047, 71910107002]</t>
  </si>
  <si>
    <t>National Social Science Foundation of China(National Office of Philosophy and Social Sciences); National Natural Science Foundation of China(National Natural Science Foundation of China (NSFC))</t>
  </si>
  <si>
    <t>This work was supported in part by grants from the National Social Science Foundation of China (#23BTJ040) and the National Natural Science Foundation of China (#72471047 and #71910107002).</t>
  </si>
  <si>
    <t>0160-5682</t>
  </si>
  <si>
    <t>1476-9360</t>
  </si>
  <si>
    <t>J OPER RES SOC</t>
  </si>
  <si>
    <t>J. Oper. Res. Soc.</t>
  </si>
  <si>
    <t>DEC 2</t>
  </si>
  <si>
    <t>10.1080/01605682.2025.2476076</t>
  </si>
  <si>
    <t>Management; Operations Research &amp; Management Science</t>
  </si>
  <si>
    <t>Business &amp; Economics; Operations Research &amp; Management Science</t>
  </si>
  <si>
    <t>9YU1N</t>
  </si>
  <si>
    <t>WOS:001449126000001</t>
  </si>
  <si>
    <t>Belousov, NV; Markhgeym, MV; Thabisimov, KA; Bakirova, DM; Boychenko, EM</t>
  </si>
  <si>
    <t>Belousov, N., V; Markhgeym, M., V; Thabisimov, Kh A.; Bakirova, D. M.; Boychenko, E. M.</t>
  </si>
  <si>
    <t>The development of the interest category in domestic constitutional sources</t>
  </si>
  <si>
    <t>VOPROSY ISTORII</t>
  </si>
  <si>
    <t>Russian</t>
  </si>
  <si>
    <t>interest; constitution; Constitutional Court of the Russian Federation; state interests; public interests; law</t>
  </si>
  <si>
    <t>The article presents the results of a retrospective analysis of domestic constitutions regarding the legalization of the interests of various subjects. The diversity of interests was also established in the decisions of the Constitutional Court of the Russian Federation. The obtained applied results were the argument in favor of the authors' proposal for the constitutional and sectoral institutionalization of interests and the development of the theory of the same name.</t>
  </si>
  <si>
    <t>[Belousov, N., V; Markhgeym, M., V; Boychenko, E. M.] Belgorod Natl Res Univ, Constitut &amp; Int Law Dept, Belgorod, Russia; [Thabisimov, Kh A.] Pyatigorsk State Univ, Law Inst, Theory &amp; Hist State &amp; Law Dept, Pyatigorsk, Russia; [Bakirova, D. M.] Belgorod Natl Res Univ, Theory &amp; Hist State &amp; Law Dept, Belgorod, Russia</t>
  </si>
  <si>
    <t>Belgorod State University; Pyatigorsk State University; Belgorod State University</t>
  </si>
  <si>
    <t>Belousov, NV (corresponding author), Belgorod Natl Res Univ, Constitut &amp; Int Law Dept, Belgorod, Russia.</t>
  </si>
  <si>
    <t>belousov_nv@bsu.edu.ru; markheim@bsu.edu.ru; thabisimova@mail.ru; 1145427@bsu.edu.ru; 1587203@bsu.edu.ru</t>
  </si>
  <si>
    <t>/AAH-7582-2019</t>
  </si>
  <si>
    <t>MOSCOW</t>
  </si>
  <si>
    <t>VOPROSY ISTORII, MOSCOW, 00000, RUSSIA</t>
  </si>
  <si>
    <t>0042-8779</t>
  </si>
  <si>
    <t>1938-2561</t>
  </si>
  <si>
    <t>VOP ISTORII</t>
  </si>
  <si>
    <t>Vopr. Istor.</t>
  </si>
  <si>
    <t>History</t>
  </si>
  <si>
    <t>Arts &amp; Humanities Citation Index (A&amp;HCI)</t>
  </si>
  <si>
    <t>7T4CE</t>
  </si>
  <si>
    <t>WOS:000911390300012</t>
  </si>
  <si>
    <t>SoTaRePo: Society-Tag Relationship Protocol based architecture for UIP construction</t>
  </si>
  <si>
    <t>Social network; Social tagging; Protocol; Ranking; Recommendations</t>
  </si>
  <si>
    <t>PERSONALIZING WEB SEARCH; SOCIAL BOOKMARKING; RESOURCE PROFILES; USER PROFILES; SYSTEMS</t>
  </si>
  <si>
    <t>As with the advancement of web services, there has been a rapid proliferation in web size and number of web users, where, each user holds a different viewpoint towards the same information. This, in turn, has become a big challenge for the web search platforms to interpret the preferences of the users and provide the desired information to them. The most suitable solution to the problem of search platforms is personalization of web search. A personalization system is a kind of expert and intelligent system which can automatically learn about the preferences of a user so that the system can provide the search results as per their relevance to a user. The process of acquiring knowledge about user's preferences by a personalization system is known as User Interest Profile (UIP). In the field of search personalization, it can also not be denied that only an efficient and complete UIP can lead to an effective and high performing web search personalization methodology design. But most of the studies conducted for web search personalization have only focused on UIP modeling without any thought about the quality of UIP. Rather limited attention has been paid to sparsity issue of UIP modeling. In this paper, we propose a novel protocol based architecture model to create an efficient UIP by exploiting direct and indirect interest of a user. Direct interest aims at mining user's preferences from his own activities on a social information platform. The explicitly defined society and real-world activity relationships of a user on a social platform are used to predict his indirect interest as UIP constructed solely on the basis of direct interest is sparse and ineffective. In order to unearth user's activity relationships the concept of semantic relatedness, computed using Word2vec model, has been used. Moreover, different trust levels in society relationships have also been incorporated into the proposed model to facilitate the prediction of user's indirect interest. A series of experiments have been conducted on a del.icio.us dataset to evaluate the effectiveness of the proposed model. The results show that the model has outperformed each and every baseline in relation to complete and efficient UIP construction. (C) 2019 Published by Elsevier Ltd.</t>
  </si>
  <si>
    <t>[Goel, Shubham; Kumar, Ravinder] Thapar Inst Engn &amp; Technol, Comp Sci &amp; Engn Dept, Patiala, Punjab, India</t>
  </si>
  <si>
    <t>Kumar, R (corresponding author), Thapar Inst Engn &amp; Technol, Comp Sci &amp; Engn Dept, Patiala, Punjab, India.</t>
  </si>
  <si>
    <t>shubham.goel@thapar.edu; ravinder@thapar.edu</t>
  </si>
  <si>
    <t>Kumar, Ravinder/JLL-7567-2023; Goel, Shubham/JDC-3941-2023</t>
  </si>
  <si>
    <t>Kumar, Ravinder/0000-0002-0271-2373; Goel, Shubham/0000-0002-9039-0879</t>
  </si>
  <si>
    <t>MAR 1</t>
  </si>
  <si>
    <t>10.1016/j.eswa.2019.112955</t>
  </si>
  <si>
    <t>JM6PT</t>
  </si>
  <si>
    <t>WOS:000496334800029</t>
  </si>
  <si>
    <t>Chen, H</t>
  </si>
  <si>
    <t>Chen, Hui</t>
  </si>
  <si>
    <t>Modeling and Detecting Drift in User Interest Based on Hierarchical Classification</t>
  </si>
  <si>
    <t>2019 4TH IEEE INTERNATIONAL CONFERENCE ON BIG DATA ANALYTICS (ICBDA 2019)</t>
  </si>
  <si>
    <t>4th IEEE International Conference on Big Data Analytics (ICBDA)</t>
  </si>
  <si>
    <t>MAR 15-18, 2019</t>
  </si>
  <si>
    <t>IEEE,Xian Jiaotong Liverpool Univ, Res Inst Big Data Analyt,Univ Texas Dallas,Hong Kong Polytechn Univ</t>
  </si>
  <si>
    <t>User Interest Model; Drift Detection; Hierarchical Classification; Multiple Granularities</t>
  </si>
  <si>
    <t>Dyuring participating in Web 2.0 applications, people enjoy the convenience brought by Internet resources, but also encounter the problem of lost in Internet. This paper takes the Douban movie review as the background, and proposed a method for detecting the drift of user's interests. The user's comment and the frequency with which the user watches a certain type of movie are used to determine the extent to which the user is interested in the movie, and the parameters p and q are used to adjust the degree to which the two factors affect the interest weight. A hierarchical user interest classification tree (named HC-tree) and time window table are designed to maintain the interests and their weights in multi-granularities way. Also two functions. and. are designed to quickly identify the drift of user interests. A large number of experimental results show that the proposed method is better on the correctness for user interest drift detection and is prior to other similar algorithms.</t>
  </si>
  <si>
    <t>[Chen, Hui] Jiangxi Univ Finance &amp; Econ, Sch Software, Nanchang 330013, Jiangxi, Peoples R China</t>
  </si>
  <si>
    <t>Jiangxi University of Finance &amp; Economics</t>
  </si>
  <si>
    <t>Chen, H (corresponding author), Jiangxi Univ Finance &amp; Econ, Sch Software, Nanchang 330013, Jiangxi, Peoples R China.</t>
  </si>
  <si>
    <t>China Scholarship Council; National Natural Science Foundation of China [61262033, 61772245]</t>
  </si>
  <si>
    <t>China Scholarship Council(China Scholarship Council); National Natural Science Foundation of China(National Natural Science Foundation of China (NSFC))</t>
  </si>
  <si>
    <t>The work of this paper is supported by China Scholarship Council, National Natural Science Foundation of China (61262033, 61772245).</t>
  </si>
  <si>
    <t>978-1-7281-1282-4</t>
  </si>
  <si>
    <t>10.1109/icbda.2019.8713190</t>
  </si>
  <si>
    <t>BM8SC</t>
  </si>
  <si>
    <t>WOS:000469958800047</t>
  </si>
  <si>
    <t>Kashpur, VV; Petrov, EY; Goiko, VL; Feshchenko, AV</t>
  </si>
  <si>
    <t>Kashpur, Vitaliy V.; Petrov, Evgeniy Y.; Goiko, Viacheslav L.; Feshchenko, Artem, V</t>
  </si>
  <si>
    <t>POSSIBILITIES OF USING DIGITAL FOOTPRINTS TO PREDICT EDUCATIONAL ACHIEVEMENTS OF STUDENTS</t>
  </si>
  <si>
    <t>VESTNIK TOMSKOGO GOSUDARSTVENNOGO UNIVERSITETA-FILOSOFIYA-SOTSIOLOGIYA-POLITOLOGIYA-TOMSK STATE UNIVERSITY JOURNAL OF PHILOSOPHY SOCIOLOGY AND POLITICAL SCIENCE</t>
  </si>
  <si>
    <t>digital footprint; students; educational achievement; machine learning</t>
  </si>
  <si>
    <t>ACADEMIC-PERFORMANCE</t>
  </si>
  <si>
    <t>The article summarizes one of the first experiences of using the analysis of students' digital footprints for educational analytics tasks, namely, predicting the formal educational achievements of students. Prediction of educational achievement based on digital footprint data was based on the use of Data Mining and Machine Learning methods. Data Mining methods were used to obtain student digital footprint data. As input data, the user's digital footprint from the social network Vkontakte, as well as data on student academic performance in the LMS Moodle of Tomsk State University, was used. Machine Learning methods were based on the application of the gradient boosting algorithm on decision trees from the CatBoost library. Data were obtained on 6,488 students of Tomsk State University. The sample set was divided into three parts: a training sample (70% of students), a validation sample (10% of students), and a test sample (20% of students). To build the model, the most significant components of the digital footprints of students were selected for determining educational achievements: gender, number of friends, direction of study, user interests - subscriptions. As part of building a predicting model, the following procedures were performed: a) differentiation of students into students with high (average score above the 65th percentile border) and low (average score below the 35th percentile border) educational achievements was implemented; b) the procedure for selecting the most significant features, known as feature selection, was performed; c) a thematic classification of user subscriptions was carried out according to the following enlarged categories: spiritual life, esotericism; education, science; entertainment, humor; art; healthy lifestyle, sports; socio-political groups; business, work; economy, technology; junk subscriptions. The final quality metric (F-measure) of the final model for predicting high educational achievements became 78% for natural, 73% for technical and 69% for humanitarian areas of study. The conducted research has fixed the specifics of the digital footprint of students with high formal educational achievements. It manifests itself in personal interests, reflected in their subscriptions, as well as in some structural characteristics of the student's Internet activity: the number of membership groups, the number of friends and subscribers. As a result, the analysis of the influence of digital footprints on educational achievements showed that now, at the junction of cognitive and cultural factors, a new type of factors is being formed that affects educational achievements - connective, associated with the peculiarities of the student's online environment.</t>
  </si>
  <si>
    <t>[Kashpur, Vitaliy V.; Petrov, Evgeniy Y.; Goiko, Viacheslav L.; Feshchenko, Artem, V] Tomsk State Univ, Tomsk, Russia; [Kashpur, Vitaliy V.; Petrov, Evgeniy Y.; Goiko, Viacheslav L.; Feshchenko, Artem, V] Sirius Univ Sci &amp; Technol, Soci, Russia</t>
  </si>
  <si>
    <t>Tomsk State University</t>
  </si>
  <si>
    <t>Kashpur, VV (corresponding author), Tomsk State Univ, Tomsk, Russia.;Kashpur, VV (corresponding author), Sirius Univ Sci &amp; Technol, Soci, Russia.</t>
  </si>
  <si>
    <t>vitkashpur@mail.ru; petrov@data.tsu.ru; goiko@data.tsu.ru; goiko@data.tsu.ru</t>
  </si>
  <si>
    <t>/O-5803-2014; Petrov, Evgeny/GZG-7741-2022; /U-2420-2019; /F-2001-2019</t>
  </si>
  <si>
    <t>Russian Foundation for Basic Research [19-31-51001]</t>
  </si>
  <si>
    <t>Russian Foundation for Basic Research(Russian Foundation for Basic Research (RFBR))</t>
  </si>
  <si>
    <t>The study is supported by the Russian Foundation for Basic Research, Project No. 19-31-51001.</t>
  </si>
  <si>
    <t>TOMSK STATE UNIV</t>
  </si>
  <si>
    <t>TOMSK</t>
  </si>
  <si>
    <t>LENIN AVE, 36, TOMSK, 634050, RUSSIA</t>
  </si>
  <si>
    <t>1998-863X</t>
  </si>
  <si>
    <t>2311-2395</t>
  </si>
  <si>
    <t>VESTN TOMSK U-FILOS</t>
  </si>
  <si>
    <t>Vestn. Tomsk. Gos. Univ. Filos.-Sotsiologiya-Politologiya</t>
  </si>
  <si>
    <t>10.17223/1998863X/64/13</t>
  </si>
  <si>
    <t>ZC4OU</t>
  </si>
  <si>
    <t>WOS:000757502300013</t>
  </si>
  <si>
    <t>Xu, HP; Wei, JM; Yang, ZL; Ruan, JH; Wang, J</t>
  </si>
  <si>
    <t>Phung, D; Tseng, VS; Webb, GI; Ho, B; Ganji, M; Rashidi, L</t>
  </si>
  <si>
    <t>Xu, Hengpeng; Wei, Jinmao; Yang, Zhenglu; Ruan, Jianhua; Wang, Jun</t>
  </si>
  <si>
    <t>Probabilistic Topic and Role Model for Information Diffusion in Social Network</t>
  </si>
  <si>
    <t>ADVANCES IN KNOWLEDGE DISCOVERY AND DATA MINING, PAKDD 2018, PT II</t>
  </si>
  <si>
    <t>22nd Pacific-Asia Conference on Knowledge Discovery and Data Mining (PAKDD)</t>
  </si>
  <si>
    <t>JUN 03-06, 2018</t>
  </si>
  <si>
    <t>Deakin Univ, Melbourne, AUSTRALIA</t>
  </si>
  <si>
    <t>Monash Univ,Univ Melbourne,Trusting Social,Asian Off Aerosp Res &amp; Dev AF Off Sci Res</t>
  </si>
  <si>
    <t>Deakin Univ</t>
  </si>
  <si>
    <t>User topic; User role; Information diffusion; Social network</t>
  </si>
  <si>
    <t>Information diffusion, which addresses the issue of how a piece of information spreads and reaches individuals in or between networks, has attracted considerable research attention due to its widespread applications, such as viral marketing and rumor control. However, the process of information diffusion is complex and its underlying mechanism remains unclear. An important reason is that social influence takes many forms and each form may be determined by various factors. One of the major challenges is how to capture all the crucial factors of a social network such as users' interests (which can be represented as topics), users' attributes (which can be summarized as roles), and users' reposting behaviors in a unified manner to model the information diffusion process. To address the problem, we propose the joint information diffusion model (TRM) that integrates user topical interest extraction, role recognition, and information diffusion modeling into a unified framework. TRM seamlessly unifies the user topic role extraction, role recognition, and modeling of information diffusion, and then translates the calculations of individual level influence to the role-topic pairwise influence, which can provide a coarse-grained diffusion representation. Extensive experiments on two real-world datasets validate the effectiveness of our approach under various evaluation indices, which performs superior than the state-of-the-art models by a large margin.</t>
  </si>
  <si>
    <t>[Xu, Hengpeng; Wei, Jinmao; Yang, Zhenglu] Nankai Univ, Coll Comp &amp; Control Engn, Tianjin 300071, Peoples R China; [Ruan, Jianhua] Univ Texas San Antonio, Dept Comp Sci, San Antonio, TX 78249 USA; [Wang, Jun] Ludong Univ, Coll Math &amp; Stat Sci, Yantai 264025, Shandong, Peoples R China</t>
  </si>
  <si>
    <t>Nankai University; University of Texas at San Antonio; University of Texas System; University of Texas at San Antonio; Ludong University</t>
  </si>
  <si>
    <t>Wei, JM (corresponding author), Nankai Univ, Coll Comp &amp; Control Engn, Tianjin 300071, Peoples R China.</t>
  </si>
  <si>
    <t>xuhengpeng@mail.nankai.edu.cn; weijm@nankai.edu.cn; yangzl@nankai.edu.cn; jianhua.ruan@utsa.edu; junwang@mail.nankai.edu.cn</t>
  </si>
  <si>
    <t>Yang, Zhenglu/B-6758-2013; Wei, Jin-Mao/AEU-8325-2022; Ruan, Jianhua/I-2529-2012; Wang, Jun/ABC-3266-2020</t>
  </si>
  <si>
    <t>Yang, Zhenglu/0000-0001-9528-965X; Ruan, Jianhua/0000-0002-5622-3137; 王, 珺/0000-0001-8932-6661;</t>
  </si>
  <si>
    <t>National Natural Science Foundation of China [61772288, U1636116, 11431006]; Research Fund for International Young Scientists [61650110510, 61750110530]</t>
  </si>
  <si>
    <t>National Natural Science Foundation of China(National Natural Science Foundation of China (NSFC)); Research Fund for International Young Scientists</t>
  </si>
  <si>
    <t>This work was supported in part by the National Natural Science Foundation of China under Grant No. 61772288, U1636116 and 11431006, and the Research Fund for International Young Scientists under Grant No. 61650110510 and 61750110530.</t>
  </si>
  <si>
    <t>978-3-319-93037-4; 978-3-319-93036-7</t>
  </si>
  <si>
    <t>II</t>
  </si>
  <si>
    <t>10.1007/978-3-319-93037-4_1</t>
  </si>
  <si>
    <t>BK8OS</t>
  </si>
  <si>
    <t>WOS:000443225200001</t>
  </si>
  <si>
    <t>Ran, CW; Shen, W; Wang, JY</t>
  </si>
  <si>
    <t>Ran, Chenwei; Shen, Wei; Wang, Jianyong</t>
  </si>
  <si>
    <t>An Attention Factor Graph Model for Tweet Entity Linking</t>
  </si>
  <si>
    <t>WEB CONFERENCE 2018: PROCEEDINGS OF THE WORLD WIDE WEB CONFERENCE (WWW2018)</t>
  </si>
  <si>
    <t>27th World Wide Web (WWW) Conference</t>
  </si>
  <si>
    <t>APR 23-27, 2018</t>
  </si>
  <si>
    <t>Lyon, FRANCE</t>
  </si>
  <si>
    <t>Assoc Comp Machinery,Int World Wide Web Conf Steering Comm,Univ Lyon,Digital League,Inria,Amazon,Baidu,Google,IDEXLYON,NAVER LINE,Yahoo! Res,Webcastor,Caisse Depots,Facebook,Inst Carnot, Telecom Soc Numerique,Mozilla,Spotify,MEDEF Lyon Rhone,MEDEF Auvergne Rhone Alpes,EFFEKTIV,Charli Charger</t>
  </si>
  <si>
    <t>Twitter; knowledge graph; entity linking; factor graph model; attention-based model</t>
  </si>
  <si>
    <t>The rapid expansion of Twitter has attracted worldwide attention. With more than 500 million tweets posted per day, Twitter becomes an invaluable information and knowledge source. Many Twitter related tasks have been studied, such as event extraction, hash tag recommendation, and topic detection. A critical step in understanding and mining information from Twitter is to disambiguate entities in tweets, i.e., tweet entity linking. It is a challenging task because tweets are short, noisy, and fresh. Many tweet-specific signals have been found to solve the tweet entity linking problem, such as user interest, temporal popularity, location information and so on. However, two common weaknesses exist in previous work. First, most proposed models are not flexible and extendable to fit new signals. Second, their scalability is not good enough to handle the large-scale social network like Twitter. In this work, we formalize the tweet entity linking problem into a factor graph model which has shown its effectiveness and efficiency in many other applications. We also propose selective attention over entities to increase the scalability of our model, which brings linear complexity. To adopt the attention mechanism in the factor graph, we propose a new type of nodes called pseudo-variable nodes to solve the asymmetry attention problem caused by the undirected characteristic of the factor graph. We evaluated our model on two different manually annotated tweet datasets. The experimental results show that our model achieves better performance in terms of both effectiveness and efficiency compared with the state-of-the-art approaches.</t>
  </si>
  <si>
    <t>[Ran, Chenwei; Wang, Jianyong] Tsinghua Univ, Dept Comp Sci &amp; Technol, Beijing, Peoples R China; [Shen, Wei] Nankai Univ, Coll Comp &amp; Control Engn, Tianjin, Peoples R China; [Wang, Jianyong] Jiangsu Normal Univ, Jiangsu Collaborat Innovat Ctr Language Abil, Xuzhou, Jiangsu, Peoples R China</t>
  </si>
  <si>
    <t>Tsinghua University; Nankai University; Jiangsu Normal University</t>
  </si>
  <si>
    <t>Shen, W (corresponding author), Nankai Univ, Coll Comp &amp; Control Engn, Tianjin, Peoples R China.</t>
  </si>
  <si>
    <t>rcw14@mails.tsinghua.edu.cn; shenwei@nankai.edu.cn; jianyong@tsinghua.edu.cn</t>
  </si>
  <si>
    <t>Shen, Wei/0000-0003-3479-1165</t>
  </si>
  <si>
    <t>National Natural Science Foundation of China [61502253]; National Basic Research Program of China (973 Program) [2014CB340505]</t>
  </si>
  <si>
    <t>National Natural Science Foundation of China(National Natural Science Foundation of China (NSFC)); National Basic Research Program of China (973 Program)(National Basic Research Program of China)</t>
  </si>
  <si>
    <t>Chenwei Ran and Jianyong Wang were supported in part by National Natural Science Foundation of China under Grant No. 61532010 and National Basic Research Program of China (973 Program) under Grant No. 2014CB340505. Wei Shen was supported in part by National Natural Science Foundation of China under Grant No. 61502253.</t>
  </si>
  <si>
    <t>978-1-4503-5639-8</t>
  </si>
  <si>
    <t>10.1145/3178876.3186012</t>
  </si>
  <si>
    <t>BM1PP</t>
  </si>
  <si>
    <t>WOS:000460379000111</t>
  </si>
  <si>
    <t>Ramiro-López, I; Quijano-Sánchez, L; Liberatore, F</t>
  </si>
  <si>
    <t>Ramiro-Lopez, Irene; Quijano-Sanchez, Lara; Liberatore, Federico</t>
  </si>
  <si>
    <t>Hate speech on Twitter: Profiling users and interaction analysis in the Spanish language</t>
  </si>
  <si>
    <t>NATURAL LANGUAGE PROCESSING</t>
  </si>
  <si>
    <t>Article; Early Access</t>
  </si>
  <si>
    <t>User profiling; social network analysis; hater; upstander; multiclass classifier</t>
  </si>
  <si>
    <t>SOCIAL MEDIA; PERSONALITY</t>
  </si>
  <si>
    <t>Twitter is one of the most widely used social networks globally but is also notorious for harbouring significant levels of hate speech. This paradox has garnered the attention of companies and governments concerned about how digital hate can fragment communities and incite real-world violence. While extensive research has focused on detecting hate speech, there is a lack of comprehensive analysis of the actors involved, their characteristics, and their interactions within the online environment. Common assumptions categorise users into merely two groups-haters and non-haters-overlooking the existence of other groups that may more accurately represent the dynamics of hate dissemination. Additionally, existing user classification models often rely on large volumes of tweet data, a limitation given the restricted access to the Twitter API. Social networks are also frequently visualised using graphs where edges represent only superficial relationships. This study addresses these gaps through five research questions. We propose formal user clustering methods and develop a classifier that uses exclusively profile attributes-information more readily obtainable from the network. We also introduce a more nuanced definition of interaction for graph edges, based on ideological support or opposition between users. To conduct our analysis, we have extracted two complementary datasets: (i) a keyword-based corpus of 3.3M Spanish tweets containing hate-associated terms, of which 1.6M unique tweets were retained after filtering and (ii) a user-based corpus comprising timelines of $\approx$ 3,000 users linked to hate speech, totalling over 3 M tweets. Our results reveal the existence of three primary user classes-haters, upstanders, and neutrals-in contrast to the conventional binary classification. We demonstrate that profile attributes are reliable indicators for automatically classifying users and find significant statistical differences between these classes. Finally, we develop a graph visualisation tool to assist authorities in analysing interactions among different user types, providing a useful exploratory tool to support the analysis of online hate and inform potential mitigation strategies.</t>
  </si>
  <si>
    <t>[Ramiro-Lopez, Irene; Quijano-Sanchez, Lara] Autonomous Univ Madrid, Dept Comp Sci, Madrid, Spain; [Quijano-Sanchez, Lara; Liberatore, Federico] Carlos III Univ Madrid, IBiDat Big Data Inst, Madrid, Spain; [Liberatore, Federico] Cardiff Univ, Sch Comp Sci &amp; Informat, Cardiff, Wales</t>
  </si>
  <si>
    <t>Autonomous University of Madrid; Universidad Carlos III de Madrid; Cardiff University</t>
  </si>
  <si>
    <t>Quijano-Sánchez, L (corresponding author), Autonomous Univ Madrid, Dept Comp Sci, Madrid, Spain.;Quijano-Sánchez, L (corresponding author), Carlos III Univ Madrid, IBiDat Big Data Inst, Madrid, Spain.</t>
  </si>
  <si>
    <t>laraquij@inst.uc3m.es</t>
  </si>
  <si>
    <t>Quijano-Sanchez, Lara/Y-3960-2019</t>
  </si>
  <si>
    <t>European Commission within the Citizens, Equality, Rights and Values [101049673]; Spanish Ministry of Science and Innovation [PID2022-139131NB-I00, PR47/24 PID2024-157561NB-I00]; Spanish Observatory of Racism; UC3M-Santander Big Data Institute</t>
  </si>
  <si>
    <t>European Commission within the Citizens, Equality, Rights and Values; Spanish Ministry of Science and Innovation(Spanish Government); Spanish Observatory of Racism; UC3M-Santander Big Data Institute</t>
  </si>
  <si>
    <t>This research was conducted within the project: REAL-UP Discurso de odio, racismo y xenofobia: mecanismos de alerta y respuesta coordinada (Hate speech, racism and xenophobia: Alert Mechanisms and Response, analysis of the Upstander speech) funded by the European Commission within the Citizens, Equality, Rights and Values (CERV) program and with identification 101049673. The research of Quijano-Sanchez was conducted with financial support from the Spanish Ministry of Science and Innovation, grants PID2022-139131NB-I00 &amp; PR47/24 PID2024-157561NB-I00. The authors would like to thank the Spanish National Office Against Hate Crimes (ONDOD) and the Spanish Observatory of Racism and Xenophobia (OBERAXE) for all the help and resources provided to this research project. We also thank the team of the UC3M-Santander Big Data Institute, in particular Inaki Ucar for his support with Twitter data retrieval, and the director Rosa E. Lillo for facilitating logistics and providing the servers and infrastructure necessary to carry out this project.</t>
  </si>
  <si>
    <t>CAMBRIDGE UNIV PRESS</t>
  </si>
  <si>
    <t>CAMBRIDGE</t>
  </si>
  <si>
    <t>EDINBURGH BLDG, SHAFTESBURY RD, CB2 8RU CAMBRIDGE, ENGLAND</t>
  </si>
  <si>
    <t>2977-0424</t>
  </si>
  <si>
    <t>NAT LANG PROCESS-UK</t>
  </si>
  <si>
    <t>Nat. Lang. Process.</t>
  </si>
  <si>
    <t>2026 APR 30</t>
  </si>
  <si>
    <t>10.1017/nlp.2026.10024</t>
  </si>
  <si>
    <t>Computer Science, Artificial Intelligence; Linguistics; Language &amp; Linguistics</t>
  </si>
  <si>
    <t>Science Citation Index Expanded (SCI-EXPANDED); Social Science Citation Index (SSCI); Arts &amp; Humanities Citation Index (A&amp;HCI)</t>
  </si>
  <si>
    <t>HG8BJ</t>
  </si>
  <si>
    <t>WOS:001753698700001</t>
  </si>
  <si>
    <t>Viana, P; Soares, M</t>
  </si>
  <si>
    <t>Viana, Paula; Soares, March</t>
  </si>
  <si>
    <t>A Hybrid Approach for Personalized News Recommendation in a Mobility Scenario Using Long-Short User Interest</t>
  </si>
  <si>
    <t>INTERNATIONAL JOURNAL ON ARTIFICIAL INTELLIGENCE TOOLS</t>
  </si>
  <si>
    <t>News recommendation system; geolocation; long-short preferences; hybrid recommender</t>
  </si>
  <si>
    <t>Access to information has been made easier in different domains that range from multimedia content, books, music, news, etc. To deal with the huge amount of alternatives, recommendation systems have been often used as a solution to filter the options and provide suggestions of items that might be of interest to an user. The news domain introduces additional challenges due not only to the large amount of new items produced daily but also due to their ephemeral timelife. In this paper, a news recommendation system which combines content-based and georeferenced techniques in a mobility scenario, is proposed. Taking into account the volatility of the information, short-term and long-term user profiles are considered and implicitly built. Besides tracking users' clicks, the system infers different levels of interest an article has by tracking and weighting each action in the system and in social networks. Impact of the different fields that make up a news is also taken into account by following the inverted pyramid model that assumes different levels of importance to each paragraph of the article. The solution was tested with a population of volunteers and results indicate that the quality of the recommendation approach is acknowledged by the users.</t>
  </si>
  <si>
    <t>[Viana, Paula; Soares, March] INESC TEC, Campus FEUP,Rua Dr Roberto Frias, P-4200465 Oporto, Portugal; [Viana, Paula] Polytech Porto, Sch Engn, Rua Dr Antonio Bernardino de Almeida, P-4249015 Oporto, Portugal</t>
  </si>
  <si>
    <t>INESC TEC; Instituto Politecnico do Porto</t>
  </si>
  <si>
    <t>Soares, M (corresponding author), INESC TEC, Campus FEUP,Rua Dr Roberto Frias, P-4200465 Oporto, Portugal.</t>
  </si>
  <si>
    <t>paula.viana@inesctec.pt; mmsoares@inesctec.pt</t>
  </si>
  <si>
    <t>Viana, Paula/T-2920-2019</t>
  </si>
  <si>
    <t>Viana, Paula/0000-0001-8447-2360</t>
  </si>
  <si>
    <t>ERDF [2014/38592]; Project TEC4Growth Pervasive Intelligence, Enhancers and Proofs of Concept with Industrial Impact under Research Line FourEyes - North Portugal Regional Operational Programme [NORTE-01-0145-FEDER000020]; European Regional Development Fund (ERDF)</t>
  </si>
  <si>
    <t>ERDF(European Union (EU)); Project TEC4Growth Pervasive Intelligence, Enhancers and Proofs of Concept with Industrial Impact under Research Line FourEyes - North Portugal Regional Operational Programme; European Regional Development Fund (ERDF)(European Union (EU))</t>
  </si>
  <si>
    <t>The authors would like to thank all the participants in the project Pglobal (Nr. 2014/38592-Programa Operacional Tematico Factores de Competitividade/Programa Operacional do Norte, Funded by ERDF) and in particular Publico for having provided all the grounds and news that enable testing the system in a near-real environment. The work was partially supported by Project TEC4Growth Pervasive Intelligence, Enhancers and Proofs of Concept with Industrial Impact/NORTE-01-0145-FEDER000020, under Research Line FourEyes, financed by the North Portugal Regional Operational Programme (NORTE 2020), under the PORTUGAL 2020 Partnership Agreement, and through the European Regional Development Fund (ERDF).</t>
  </si>
  <si>
    <t>0218-2130</t>
  </si>
  <si>
    <t>1793-6349</t>
  </si>
  <si>
    <t>INT J ARTIF INTELL T</t>
  </si>
  <si>
    <t>Int. J. Artif. Intell. Tools</t>
  </si>
  <si>
    <t>10.1142/S0218213017600120</t>
  </si>
  <si>
    <t>ES2YX</t>
  </si>
  <si>
    <t>WOS:000399394900004</t>
  </si>
  <si>
    <t>Ghosh, S; Mitra, P</t>
  </si>
  <si>
    <t>Morales, GD; Perlich, C; Ruchansky, N; Kourtellis, N; Baralis, E; Bonchi, F</t>
  </si>
  <si>
    <t>Ghosh, Shreya; Mitra, Prasenjit</t>
  </si>
  <si>
    <t>How Early Can We Detect? Detecting Misinformation on Social Media Using User Profiling and Network Characteristics</t>
  </si>
  <si>
    <t>MACHINE LEARNING AND KNOWLEDGE DISCOVERY IN DATABASES: APPLIED DATA SCIENCE AND DEMO TRACK, ECML PKDD 2023, PT VI</t>
  </si>
  <si>
    <t>European Conference on Machine Learning and Principles and Practice of Knowledge Discovery in Databases (ECML PKDD)</t>
  </si>
  <si>
    <t>SEP 18-22, 2023</t>
  </si>
  <si>
    <t>CENTAI,Politecnico Torino,AFC Digital Hub,ASML,ThermoFisher Sci,Volkswagen Grp,AstraZeneca,CRITEO,Google,Mercari,Bosch,KNIME,SoBigData,Two Sigma,SIG Susquehanna</t>
  </si>
  <si>
    <t>Misinformation; social network; discourse analysis</t>
  </si>
  <si>
    <t>The rise of social media has amplified the need for automated detection of misinformation. Current methods face limitations in early detection because crucial information that they rely on is unavailable during the initial phases of information dissemination. This paper presents an innovative model for the early detection of misinformation on social media through the classification of information propagation paths and using linguistic patterns. We have developed and incorporated a causal user attribute inference model to label users as potential misinformation propagators or believers. Our model is designed for early detection of false information and includes two auxiliary tasks: predicting the extent of misinformation dissemination and clustering similar nodes (or users) based on their attributes. We demonstrate that our proposed model can identify fake news on real-world datasets with 86.5% accuracy within 30 min of its initial distribution and before it reaches 50 retweets, outperforming existing state-of-the-art benchmarks.</t>
  </si>
  <si>
    <t>[Ghosh, Shreya; Mitra, Prasenjit] Penn State Univ, Coll IST, State Coll, PA 16801 USA; [Mitra, Prasenjit] Leibniz Univ Hannover, Res Ctr L3S, Hannover, Germany</t>
  </si>
  <si>
    <t>Pennsylvania Commonwealth System of Higher Education (PCSHE); Pennsylvania State University; Pennsylvania State University - University Park; Leibniz University Hannover</t>
  </si>
  <si>
    <t>Ghosh, S (corresponding author), Penn State Univ, Coll IST, State Coll, PA 16801 USA.</t>
  </si>
  <si>
    <t>shreya@psu.edu; pmitra@psu.edu</t>
  </si>
  <si>
    <t>Ghosh, Shreya/AAZ-6240-2020</t>
  </si>
  <si>
    <t>Ghosh, Shreya/0000-0002-6970-8889; Mitra, Prasenjit/0000-0002-7530-9497</t>
  </si>
  <si>
    <t>Federal Ministry of Education and Research (BMBF), Germany under the project LeibnizKILabor [01DD20003]</t>
  </si>
  <si>
    <t>Federal Ministry of Education and Research (BMBF), Germany under the project LeibnizKILabor(Federal Ministry of Education &amp; Research (BMBF))</t>
  </si>
  <si>
    <t>This research was funded by the Federal Ministry of Education and Research (BMBF), Germany under the project LeibnizKILabor with grant No. 01DD20003.</t>
  </si>
  <si>
    <t>978-3-031-43426-6; 978-3-031-43427-3</t>
  </si>
  <si>
    <t>10.1007/978-3-031-43427-3_11</t>
  </si>
  <si>
    <t>BW4WE</t>
  </si>
  <si>
    <t>WOS:001156143700011</t>
  </si>
  <si>
    <t>On-at, S; Canut, MF; Péninou, A; Srisombat, K; Sèdes, F</t>
  </si>
  <si>
    <t>On-at, Sirinya; Canut, Marie-Francoise; Peninou, Andre; Srisombat, Kriangsak; Sedes, Florence</t>
  </si>
  <si>
    <t>Toward Egocentric Network-based Learner Profiling in Adaptive E-learning Systems: A concept paper</t>
  </si>
  <si>
    <t>PROCEEDINGS OF 2019 7TH INTERNATIONAL CONFERENCE ON INFORMATION AND EDUCATION TECHNOLOGY (ICIET 2019)</t>
  </si>
  <si>
    <t>7th International Conference on Information and Education Technology (ICIET)</t>
  </si>
  <si>
    <t>MAR 29-31, 2019</t>
  </si>
  <si>
    <t>Univ Aizu, Aizuwakamatsu, JAPAN</t>
  </si>
  <si>
    <t>Univ Aizu</t>
  </si>
  <si>
    <t>Adaptive E-learning; User profiling; Social profiling; Egocentric network</t>
  </si>
  <si>
    <t>Adaptive E-learning systems, which provide personalized learning experiences based on learner's specific characteristics (e.g. knowledge, skills, and competencies), are essential for developing effective learning and teaching. This paper presents a conceptual proposition consisting in developing adaptive E-learning system by incorporating egocentric network-based user profiling, an existing contribution of our research team. Actually, this contribution has been proved in the online social network context with empirical results on different social networks data (Facebook, Delicious, Twitter and DBLP). We aim to apply the existing algorithms underlying this contribution in E-learning context and present in this work a conceptual model and the construction process of learner's user profile, called learner profile. The learner profile can be exploited in adaptive E-learning systems to provide different personalized/adapted services (books recommendation, personalized courses search, ...) to the learner.</t>
  </si>
  <si>
    <t>[On-at, Sirinya; Canut, Marie-Francoise; Peninou, Andre; Sedes, Florence] IRIT, 118 Route narbonne, F-31602 Toulouse, France; [On-at, Sirinya; Srisombat, Kriangsak] Roi Et Rajabhat Univ, Roi Et 45120, Thailand</t>
  </si>
  <si>
    <t>Universite de Toulouse (EPE); Communaute d'universites et etablissements de Toulouse (Comue); Roi Et Rajabhat University</t>
  </si>
  <si>
    <t>On-at, S (corresponding author), IRIT, 118 Route narbonne, F-31602 Toulouse, France.;On-at, S (corresponding author), Roi Et Rajabhat Univ, Roi Et 45120, Thailand.</t>
  </si>
  <si>
    <t>sirinya.on-at@irit.fr; canut@irit.fr; peninou@irit.fr; kriangsak.srisombat@reru.ac.th; sedes@irit.fr</t>
  </si>
  <si>
    <t>978-1-4503-6639-7</t>
  </si>
  <si>
    <t>10.1145/3323771.3323791</t>
  </si>
  <si>
    <t>Computer Science, Theory &amp; Methods; Education, Scientific Disciplines</t>
  </si>
  <si>
    <t>BN4JX</t>
  </si>
  <si>
    <t>WOS:000482045600004</t>
  </si>
  <si>
    <t>Tisha, SN; Abed, MT; Alam, MGR</t>
  </si>
  <si>
    <t>Tisha, Sadia Nasrin; Abed, Mahjabeen Tamanna; Alam, Md Golam Rabiul</t>
  </si>
  <si>
    <t>Decision Theory-based Content Selection and Ranking for Social Media Newsfeed using Fuzzy Analytic Hierarchy Process</t>
  </si>
  <si>
    <t>2021 IEEE REGION 10 SYMPOSIUM (TENSYMP)</t>
  </si>
  <si>
    <t>IEEE Region 10 Symposium (TENSYMP) - Good Technologies for Creating Future</t>
  </si>
  <si>
    <t>AUG 23-25, 2021</t>
  </si>
  <si>
    <t>IEEE,IEEE Reg 10</t>
  </si>
  <si>
    <t>Fuzzy AHP; newsfeed; posts; ranking; social media; TFN</t>
  </si>
  <si>
    <t>News Feed for Social Media is the news stream that is constantly published in the middle of one's home page. News Feed comprises status reports, photos, videos, interactions, app action, and reactions from people, blogs, and networks on social media that individuals follow. Determining the quality of limited content posts and ranking them to guide user interest is an important concept. This research focuses on prioritized the news feed post contents where the user's recommended post will appear first in their news feed. Out of multiple input content, seven factors are categorized and Fuzzy AHP and AHP are applied here for ranking the factors where commented numbers get the highest-ranking and picture embedded post get the lowest ranking.</t>
  </si>
  <si>
    <t>[Tisha, Sadia Nasrin; Abed, Mahjabeen Tamanna; Alam, Md Golam Rabiul] BRAC Univ, Comp Sci &amp; Engn, Dhaka, Bangladesh</t>
  </si>
  <si>
    <t>Bangladesh Rural Advancement Committee BRAC; BRAC University</t>
  </si>
  <si>
    <t>Tisha, SN (corresponding author), BRAC Univ, Comp Sci &amp; Engn, Dhaka, Bangladesh.</t>
  </si>
  <si>
    <t>sadia.nasrin.tisha@g.bracu.ac.bd; mahjabeen.tamanna.abed@g.bracu.ac.bd; rabiul.alam@bracu.ac.bd</t>
  </si>
  <si>
    <t>Tisha, Sadia Nasrin/LHA-7117-2024; ALAM, GOLAM RABIUL/L-4373-2013</t>
  </si>
  <si>
    <t>Tisha, Sadia Nasrin/0000-0003-4360-830X; Abed, Mahjabeen Tamanna/0009-0009-6190-0022; ALAM, GOLAM RABIUL/0000-0002-9054-7557</t>
  </si>
  <si>
    <t>978-1-6654-0026-8</t>
  </si>
  <si>
    <t>10.1109/TENSYMP52854.2021.9550917</t>
  </si>
  <si>
    <t>BT0BU</t>
  </si>
  <si>
    <t>WOS:000786502700091</t>
  </si>
  <si>
    <t>Ignatov, DI; Khachay, MY; Labunets, VG; Loukachevitch, N; Nikolenko, SI; Panchenko, A; Savchenko, AV; Vorontsov, K</t>
  </si>
  <si>
    <t>User Profiling in Text-Based Recommender Systems Based on Distributed Word Representations</t>
  </si>
  <si>
    <t>ANALYSIS OF IMAGES, SOCIAL NETWORKS AND TEXTS, AIST 2016</t>
  </si>
  <si>
    <t>5th International Conference on Analysis of Images, Social Networks, and Texts (AIST)</t>
  </si>
  <si>
    <t>APR 07-09, 2016</t>
  </si>
  <si>
    <t>Yekaterinburg, RUSSIA</t>
  </si>
  <si>
    <t>Exactpro,OK Ru,Ctr Informat Technologies</t>
  </si>
  <si>
    <t>User profiling; Recommender systems; Distributed word representations</t>
  </si>
  <si>
    <t>We introduce a novel approach to constructing user profiles for recommender systems based on full-text items such as posts in a social network and implicit ratings (in the form of likes) that users give them. The profiles measure a user's interest in various topics mined from the full texts of the items. As a result, we get a user profile that can be used for cold start recommendations for items, targeted advertisement, and other purposes. Our experiments show that the method performs on a level comparable with classical collaborative filtering algorithms while at the same time being a cold start approach, i.e., it does not use the likes of an item being recommended.</t>
  </si>
  <si>
    <t>[Alekseev, Anton; Nikolenko, Sergey] Steklov Math Inst St Petersburg, St Petersburg, Russia; [Nikolenko, Sergey] Natl Res Univ, Higher Sch Econ, St Petersburg, Russia; [Nikolenko, Sergey] Deloitte Analyt Inst, Moscow, Russia</t>
  </si>
  <si>
    <t>Russian Academy of Sciences; Steklov Mathematical Institute of the Russian Academy of Sciences; St. Petersburg Department of the Steklov Mathematical Institute of the Russian Academy of Sciences; HSE University (National Research University Higher School of Economics); Deloitte Touche Tohmatsu Limited</t>
  </si>
  <si>
    <t>Nikolenko, S (corresponding author), Steklov Math Inst St Petersburg, St Petersburg, Russia.;Nikolenko, S (corresponding author), Natl Res Univ, Higher Sch Econ, St Petersburg, Russia.;Nikolenko, S (corresponding author), Deloitte Analyt Inst, Moscow, Russia.</t>
  </si>
  <si>
    <t>sergey@logic.pdmi.ras.ru</t>
  </si>
  <si>
    <t>Nikolenko, Sergey/AAU-3615-2020; Alekseev, Anton/AAE-1183-2020</t>
  </si>
  <si>
    <t>Recommendation Systems with Automated User Profiling project - Samsung; Government of the Russian Federation [14.Z50.31.0030]</t>
  </si>
  <si>
    <t>Recommendation Systems with Automated User Profiling project - Samsung(Samsung); Government of the Russian Federation</t>
  </si>
  <si>
    <t>This work was supported by the Recommendation Systems with Automated User Profiling project sponsored by Samsung and the Government of the Russian Federation grant 14.Z50.31.0030. We thank Dmitry Bugaichenko and the Odnoklassniki social network for providing us with the social network dataset with texts of posts and user likes and Alexander Panchenko and Nikolay Arefyev for the trained word2vec model along with its Russian-language training data.</t>
  </si>
  <si>
    <t>978-3-319-52920-2; 978-3-319-52919-6</t>
  </si>
  <si>
    <t>10.1007/978-3-319-52920-2_19</t>
  </si>
  <si>
    <t>BI1XP</t>
  </si>
  <si>
    <t>WOS:000407059600019</t>
  </si>
  <si>
    <t>Xu, JM; Liu, C</t>
  </si>
  <si>
    <t>Xu Jianmin; Liu Chang</t>
  </si>
  <si>
    <t>Personalized Query Expansion based on User Interest and Domain Knowledge</t>
  </si>
  <si>
    <t>2012 THIRD GLOBAL CONGRESS ON INTELLIGENT SYSTEMS (GCIS 2012)</t>
  </si>
  <si>
    <t>Global Congress on Intelligent Systems</t>
  </si>
  <si>
    <t>3rd Global Congress on Intelligent Systems (GCIS)</t>
  </si>
  <si>
    <t>NOV 06-08, 2012</t>
  </si>
  <si>
    <t>Wuhan, PEOPLES R CHINA</t>
  </si>
  <si>
    <t>Wuhan Univ Technol</t>
  </si>
  <si>
    <t>user interest; domain dictionary; query expansion; ontology-based correlation degree</t>
  </si>
  <si>
    <t>User interest is an important basis for providing users with personalized search results. In this paper, the personalized query expansion is improved by combining the notion of user interest and domain knowledge. We present an approach to personalized search that involves calculating and annotating the interest weight of terms which are implicitly derived from user browsing history, and matching them with different domain dictionaries, finally selecting the expanding terms from three aspects: ontology-based correlation degree between expanding term and query term, interest weight and domain proportion. Our experiments show that the method is effective and is better than the traditional method, especially in the case of the query term belonging to more than one field whose advantage is more obvious.</t>
  </si>
  <si>
    <t>[Xu Jianmin] Hebei Univ, Coll Math &amp; Comp, Baoding, Peoples R China; [Liu Chang] Hebei Univ, Coll Management, Baoding, Peoples R China</t>
  </si>
  <si>
    <t>Xu, JM (corresponding author), Hebei Univ, Coll Math &amp; Comp, Baoding, Peoples R China.</t>
  </si>
  <si>
    <t>Natural Science Foundation of Hebei Province [F2011201146]; China Postdoctoral Science Foundation [20070420700]</t>
  </si>
  <si>
    <t>Natural Science Foundation of Hebei Province(Natural Science Foundation of Hebei Province); China Postdoctoral Science Foundation(China Postdoctoral Science Foundation)</t>
  </si>
  <si>
    <t>This paper is supported by Natural Science Foundation of Hebei Province ( F2011201146) and China Postdoctoral Science Foundation ( 20070420700).</t>
  </si>
  <si>
    <t>2155-6083</t>
  </si>
  <si>
    <t>978-1-4673-3072-5; 978-0-7695-4860-9</t>
  </si>
  <si>
    <t>GLOB CONGRESS INTELL</t>
  </si>
  <si>
    <t>10.1109/GCIS.2012.70</t>
  </si>
  <si>
    <t>BEY24</t>
  </si>
  <si>
    <t>WOS:000318635100093</t>
  </si>
  <si>
    <t>Hienert, D</t>
  </si>
  <si>
    <t>Hienert, Daniel</t>
  </si>
  <si>
    <t>User Interests in German Social Science Literature Search - A Large Scale Log Analysis</t>
  </si>
  <si>
    <t>CHIIR'17: PROCEEDINGS OF THE 2017 CONFERENCE HUMAN INFORMATION INTERACTION AND RETRIEVAL</t>
  </si>
  <si>
    <t>2nd ACM SIGIR Conference on Human Information Interaction and Retrieval (CHIIR)</t>
  </si>
  <si>
    <t>MAR 07-11, 2017</t>
  </si>
  <si>
    <t>Oslo, NORWAY</t>
  </si>
  <si>
    <t>Assoc Comp Machinery,ACM Special Interest Grp Informat Retrieval,ACM SIGCHI</t>
  </si>
  <si>
    <t>Log Analysis; User Interests; Social Sciences; Digital Library</t>
  </si>
  <si>
    <t>INFORMATION-SEEKING BEHAVIOR; QUERIES</t>
  </si>
  <si>
    <t>The social sciences are a broad research field with a lot of suband related disciplines. Accordingly, user interests in a digital library for the social sciences are manifold. In this study we analyzed nine years log data of a social science digital library to get an overview of the fields, categories, topics and detailed information needs users are interested in. Based on the log data we have built interactive visualizations which give an overview and concurrently let us look at the detailed interests of users. The underlying log data and the created visualizations are then used to analyze user interests at different hierarchical levels and on a temporal view. The results show that there are topical interests of the users in specific fields and topics of the social sciences but at the same time there exists a diversity of different information needs. Based on these findings we analyze in detail the gap between the indexing language of the system used to annotate documents and the language users apply to articulate their information needs.</t>
  </si>
  <si>
    <t>[Hienert, Daniel] GESIS Leibniz Inst Social Sci, Cologne, Germany</t>
  </si>
  <si>
    <t>Leibniz Association; Leibniz Institut fur Sozialwissenschaften (GESIS)</t>
  </si>
  <si>
    <t>Hienert, D (corresponding author), GESIS Leibniz Inst Social Sci, Cologne, Germany.</t>
  </si>
  <si>
    <t>daniel.hienert@gesis.org</t>
  </si>
  <si>
    <t>Hienert, Daniel/Q-7680-2019</t>
  </si>
  <si>
    <t>Hienert, Daniel/0000-0002-2388-4609</t>
  </si>
  <si>
    <t>DFG [3964/5-1]</t>
  </si>
  <si>
    <t>DFG(German Research Foundation (DFG))</t>
  </si>
  <si>
    <t>This work was partly funded by the DFG, grant no. MA 3964/5-1; the AMUR project at GESIS. The author thanks the focus group IIR at GESIS for fruitful discussions and suggestions.</t>
  </si>
  <si>
    <t>978-1-4503-4677-1</t>
  </si>
  <si>
    <t>10.1145/3020165.3020168</t>
  </si>
  <si>
    <t>BR0HH</t>
  </si>
  <si>
    <t>WOS:000629032800004</t>
  </si>
  <si>
    <t>Geng, X; Zhang, HW; Song, Z; Yang, Y; Luan, HB; Chua, TS</t>
  </si>
  <si>
    <t>Geng, Xue; Zhang, Hanwang; Song, Zheng; Yang, Yang; Luan, Huanbo; Chua, Tat-Seng</t>
  </si>
  <si>
    <t>One of a Kind: User Profiling by Social Curation</t>
  </si>
  <si>
    <t>PROCEEDINGS OF THE 2014 ACM CONFERENCE ON MULTIMEDIA (MM'14)</t>
  </si>
  <si>
    <t>ACM Conference on Multimedia (MM)</t>
  </si>
  <si>
    <t>NOV 03-07, 2014</t>
  </si>
  <si>
    <t>Univ Cent Florida, Orlando, FL</t>
  </si>
  <si>
    <t>Assoc Comp Machinery,ACM SIGMM,FXPAL,Google,IBM,Microsoft Res,NASA Florida Space Grant Consortium,Yahoo Lab,Yandex</t>
  </si>
  <si>
    <t>Univ Cent Florida</t>
  </si>
  <si>
    <t>Social Curation; User Profiling; Recommendation; Pinterest</t>
  </si>
  <si>
    <t>Social Curation Service (SCS) is a new type of emerging social media platform, where users can select, organize and keep track of multimedia contents they like. In this paper, we take advantage of this great opportunity and target at the very starting point in social media: user profiling, which supports fundamental applications such as personalized search and recommendation. As compared to other profiling methods in conventional Social Network Services (SNS), our work benefits from the two distinguishable characteristics of SCS: a) organized multimedia user-generated contents, and b) content-centric social network. Based on these two characteristics, we are able to deploy the state-of-the-art multimedia analysis techniques to establish content-based user profiles by extracting user preferences and their social relations. First, we automatically construct a content-based user preference ontology and learn the ontological models to generate comprehensive user profiles. In particular, we propose a new deep learning strategy called multi-task convolutional neural network (mtCNN) to learn profile models and profile-related visual features simultaneously. Second, we propose to model the multi-level social relations offered by SCS to refine the user profiles in a low-rank recovery framework. To the best of our knowledge, our work is the first that explores how social curation can help in content-based social media technologies, taking user profiling as an example. Extensive experiments on 1,293 users and 1.5 million images collected from Pinterest in fashion domain demonstrate that recommendation methods based on the proposed user profiles are considerably more effective than other state-of-the-art recommendation strategies.</t>
  </si>
  <si>
    <t>[Geng, Xue; Zhang, Hanwang; Luan, Huanbo; Chua, Tat-Seng] Natl Univ Singapore, Sch Comp, Singapore, Singapore; [Yang, Yang] Univ Elect Sci &amp; Technol China, Chengdu, Sichuan, Peoples R China; [Song, Zheng] Visenze Pte Ltd, Singapore, Singapore</t>
  </si>
  <si>
    <t>National University of Singapore; University of Electronic Science &amp; Technology of China</t>
  </si>
  <si>
    <t>Geng, X (corresponding author), Natl Univ Singapore, Sch Comp, Singapore, Singapore.</t>
  </si>
  <si>
    <t>snownus@gmail.com; hanwangzhang@gmail.com; sirius.szh@gmail.com; dlyyang@gmail.com; luanhb@comp.nus.edu.sg; chuats@comp.nus.edu.sg</t>
  </si>
  <si>
    <t>Wang, Meng/AEZ-9059-2022</t>
  </si>
  <si>
    <t>Yang, jinhua/0009-0005-8469-8892; Zhang, Hanwang/0000-0001-7374-8739</t>
  </si>
  <si>
    <t>NUS-Tsinghua Extreme Search (NExT) project [R-252-300-001-490]; National Natural Science Foundation of China [61303075]</t>
  </si>
  <si>
    <t>NUS-Tsinghua Extreme Search (NExT) project; National Natural Science Foundation of China(National Natural Science Foundation of China (NSFC))</t>
  </si>
  <si>
    <t>This work was supported by the NUS-Tsinghua Extreme Search (NExT) project under the grant NO.: R-252-300-001-490 and the National Natural Science Foundation of China under the grant No.: 61303075.</t>
  </si>
  <si>
    <t>978-1-4503-3063-3</t>
  </si>
  <si>
    <t>10.1145/2647868.2654950</t>
  </si>
  <si>
    <t>BN4KT</t>
  </si>
  <si>
    <t>WOS:000482104200066</t>
  </si>
  <si>
    <t>Zhang, JW; Zhao, ZS; Cai, ZY; Feng, Y; Zhu, L; Sun, YH</t>
  </si>
  <si>
    <t>Zhang, Jianwei; Zhao, Zhishang; Cai, Zengyu; Feng, Yuan; Zhu, Liang; Sun, Yahui</t>
  </si>
  <si>
    <t>A Cross Attention Transformer-Mixed Feedback Video Recommendation Algorithm Based on DIEN</t>
  </si>
  <si>
    <t>Video recommendation; user interest; cross-attention; transformer</t>
  </si>
  <si>
    <t>The rapid development of short video platforms poses new challenges for traditional recommendation systems. Recommender systems typically depend on two types of user behavior feedback to construct user interest profiles: explicit feedback (interactive behavior), which significantly influences users' short-term interests, and implicit feedback (viewing time), which substantially affects their long-term interests. However, the previous model fails to distinguish between these two feedback methods, leading it to predict only the overall preferences of users based on extensive historical behavior sequences. Consequently, it cannot differentiate between users' long-term and shortterm interests, resulting in low accuracy in describing users' interest states and predicting the evolution of their interests. This paper introduces a video recommendation model called CAT-MF Rec (Cross Attention TransformerMixed Feedback Recommendation) designed to differentiate between explicit and implicit user feedback within the DIEN (Deep Interest Evolution Network) framework. This study emphasizes the separate learning of the two types of behavioral feedback, effectively integrating them through the cross-attention mechanism. Additionally, it leverages the long sequence dependence capabilities of Transformer technology to accurately construct user interest profiles and predict the evolution of user interests. Experimental results indicate that CAT-MF Rec significantly outperforms existing recommendation methods across various performance indicators. This advancement offers new theoretical and practical insights for the development of video recommendations, particularly in addressing complex and dynamic user behavior patterns.</t>
  </si>
  <si>
    <t>[Zhang, Jianwei] Zhengzhou Univ Light Ind, Coll Software Engn, Zhengzhou 450000, Peoples R China; [Zhang, Jianwei] Xuchang Vocat Tech Coll, Fac Informat Engn, Xuchang 461000, Peoples R China; [Zhao, Zhishang; Cai, Zengyu; Zhu, Liang; Sun, Yahui] Zhengzhou Univ Light Ind, Coll Comp Sci &amp; Technol, Zhengzhou 450000, Peoples R China; [Feng, Yuan] Zhengzhou Univ Light Ind, Coll Elect &amp; Informat, Zhengzhou 450000, Peoples R China</t>
  </si>
  <si>
    <t>Zhengzhou University of Light Industry; Zhengzhou University of Light Industry; Zhengzhou University of Light Industry</t>
  </si>
  <si>
    <t>Zhang, JW (corresponding author), Zhengzhou Univ Light Ind, Coll Software Engn, Zhengzhou 450000, Peoples R China.;Zhang, JW (corresponding author), Xuchang Vocat Tech Coll, Fac Informat Engn, Xuchang 461000, Peoples R China.</t>
  </si>
  <si>
    <t>mailzjw@163.com</t>
  </si>
  <si>
    <t>Zhang, Jianwei/AAL-5062-2020</t>
  </si>
  <si>
    <t>National Natural Science Founda-tion of China [62072416]; Key Research and Development Special Project of Henan Province [221111210500]; Key Technologies R&amp;D Program of Henan Province [232102211053, 242102211071]</t>
  </si>
  <si>
    <t>National Natural Science Founda-tion of China(National Natural Science Foundation of China (NSFC)); Key Research and Development Special Project of Henan Province; Key Technologies R&amp;D Program of Henan Province</t>
  </si>
  <si>
    <t>This research is partially supported by National Natural Science Founda-tion of China (62072416) , Key Research and Development Special Project of Henan Province (221111210500) , Key Technologies R&amp;D Program of Henan Province (232102211053, 242102211071) .</t>
  </si>
  <si>
    <t>10.32604/cmc.2024.058438</t>
  </si>
  <si>
    <t>S4E4F</t>
  </si>
  <si>
    <t>WOS:001397772700001</t>
  </si>
  <si>
    <t>Quijano, IP; Espinosa, KJ; Troussas, C</t>
  </si>
  <si>
    <t>Pauline Quijano, Isabella; Junshean Espinosa, Kurt; Troussas, Christos</t>
  </si>
  <si>
    <t>A method to support dynamic domain model based on user interests for effective language learning</t>
  </si>
  <si>
    <t>5TH INTERNATIONAL CONFERENCE ON INFORMATION, INTELLIGENCE, SYSTEMS AND APPLICATIONS, IISA 2014</t>
  </si>
  <si>
    <t>5th International Conference on Information, Intelligence, Systems and Applications (IISA)</t>
  </si>
  <si>
    <t>Chania, GREECE</t>
  </si>
  <si>
    <t>Inst Elect &amp; Elect Engineers,Biol &amp; Artificial Intelligence Fdn,Univ Piraeus</t>
  </si>
  <si>
    <t>TF-IDF; domain model; ITS</t>
  </si>
  <si>
    <t>This study aims to explore a method that can generate a dynamic domain model based on the user's interests and status updates. To get the most relevant interests of an individual the following algorithms were used after the study by M. Timonen: Inverse Fragment Length, Category Probability, Binormal Separation, Fragment Length Weighted Category Distribution and Time Sensitive Term Weighting. This study has shown that it is possible to obtain a dynamic user model representation through their social media profile. This was done by implementing a proof-of-concept application on news recommender system. Future work for this study includes evaluating this method in language learning.</t>
  </si>
  <si>
    <t>[Pauline Quijano, Isabella; Junshean Espinosa, Kurt] Univ Philippines Cebu, Dept Comp Sci, Cebu, Philippines; [Troussas, Christos] Univ Piraeus, Dept Informat, Piraeus, Greece</t>
  </si>
  <si>
    <t>University of the Philippines System; University of the Philippines Cebu; University of Piraeus</t>
  </si>
  <si>
    <t>Quijano, IP (corresponding author), Univ Philippines Cebu, Dept Comp Sci, Cebu, Philippines.</t>
  </si>
  <si>
    <t>bellequijano@gmail.com; kpespinosa@up.edu.ph; ctrouss@unipi.gr</t>
  </si>
  <si>
    <t>Quijano, Isabella Pauline/0000-0002-7579-7267</t>
  </si>
  <si>
    <t>BB7PA</t>
  </si>
  <si>
    <t>WOS:000345861900092</t>
  </si>
  <si>
    <t>Giri, A; Ravikumar, A; Mote, S; Bharadwaj, R</t>
  </si>
  <si>
    <t>Giri, Animesh; Ravikumar, Abhiram; Mote, Sneha; Bharadwaj, Rahul</t>
  </si>
  <si>
    <t>VRITTHI - A Theoretical Framework for IT recruitment based on Machine Learning techniques applied over Twitter, LinkedIn, SPOJ and GitHub profiles</t>
  </si>
  <si>
    <t>Twitter; LinkedIn; GitHub; SPOJ; Vritthi; K-means; Machine Learning</t>
  </si>
  <si>
    <t>In this model, we propose an innovative recruitment system using social networking websites like Twitter and LinkedIn along with code repository hosting website GitHub and competitive coding platforms like SPOJ. It is aimed to develop advanced search engines to automatically sort the job-seekers based on job offer requirements using various data mining and machine learning techniques. Vritthi allows job-seekers to quantify their job preparedness and offer a list of specific areas for them to focus on. We propose the formulation of VPQF ( Vritthi Professional Quotient) that involves the use of K-means algorithm to classify users into appropriate clusters and provide them with appropriate suggestions for improvement. Using classic data mining techniques like filtration, classification, clustering, profiling as well as string matching &amp; user profiling, this tool will enable recruiters to effectively select candidates who fit their organization in a hassle-free automated manner.</t>
  </si>
  <si>
    <t>[Giri, Animesh; Ravikumar, Abhiram; Mote, Sneha; Bharadwaj, Rahul] PES Inst Technol, Dept Informat Sci &amp; Engn, Bangalore South Campus, Bangalore, Karnataka, India</t>
  </si>
  <si>
    <t>PES University</t>
  </si>
  <si>
    <t>Giri, A (corresponding author), PES Inst Technol, Dept Informat Sci &amp; Engn, Bangalore South Campus, Bangalore, Karnataka, India.</t>
  </si>
  <si>
    <t>animeshgiri@pes.edu; abhi12ravi@gmail.com; snehamote14@gmail.com; rahulnb9894@gmail.com</t>
  </si>
  <si>
    <t>Ravikumar, Abhiram/0000-0003-0418-1278</t>
  </si>
  <si>
    <t>WOS:000390694000001</t>
  </si>
  <si>
    <t>Nie, L; Zhong, L</t>
  </si>
  <si>
    <t>Ye, ZW; Ma, P</t>
  </si>
  <si>
    <t>Nie Li; Zhong Luo</t>
  </si>
  <si>
    <t>Component Retrieval Based on Domain Ontology and User Interest</t>
  </si>
  <si>
    <t>2009 INTERNATIONAL CONFERENCE ON E-BUSINESS AND INFORMATION SYSTEM SECURITY, VOLS 1 AND 2</t>
  </si>
  <si>
    <t>1st International Conference on E-Business and Information System Security</t>
  </si>
  <si>
    <t>MAY 23-24, 2009</t>
  </si>
  <si>
    <t>Wuhanq, PEOPLES R CHINA</t>
  </si>
  <si>
    <t>Royal Inst Technol,Huazhong Univ Sci &amp; Technol,Wuhan Univ,Harbin Inst Technol,Hubei Univ Technol,IEEE Comp Soc TCEC,IEEE Harbin Sect</t>
  </si>
  <si>
    <t>Web service; Component retrieval; Domain ontology; User interest model; E-Commerce</t>
  </si>
  <si>
    <t>Based on the analysis of current component retrieval methods in web service, a method of retrieving software components based on domain ontology and user interest was studied and implemented. This paper emphasized the definition of ontology feature domain model, the presentation of component description model based on ontology feature and the retrieval method of user interest. Based on these, it presented the component retrieval framework and an algorithm for retrieving related components. Finally, a component retrieval system was given, and an instance with components in E-Commerce field proved validity comparing with the retrieval methods based on keywords and facet.</t>
  </si>
  <si>
    <t>[Nie Li; Zhong Luo] Wuhan Univ Technol, Dept Comp Sci &amp; Technol, Wuhan 430070, Peoples R China</t>
  </si>
  <si>
    <t>Wuhan University of Technology</t>
  </si>
  <si>
    <t>nieli723@163.com</t>
  </si>
  <si>
    <t>978-1-4244-2909-7</t>
  </si>
  <si>
    <t>Business; Computer Science, Information Systems; Computer Science, Theory &amp; Methods; Engineering, Electrical &amp; Electronic</t>
  </si>
  <si>
    <t>Business &amp; Economics; Computer Science; Engineering</t>
  </si>
  <si>
    <t>BLZ43</t>
  </si>
  <si>
    <t>WOS:000271558100081</t>
  </si>
  <si>
    <t>Musto, C; Semeraro, G; Lops, P; de Gemmis, M; Narducci, F</t>
  </si>
  <si>
    <t>Musto, Cataldo; Semeraro, Giovanni; Lops, Pasquale; de Gemmis, Marco; Narducci, Fedelucio</t>
  </si>
  <si>
    <t>Leveraging Social Media Sources to Generate Personalized Music Playlists</t>
  </si>
  <si>
    <t>E-COMMERCE AND WEB TECHNOLOGIES, EC-WEB 2012</t>
  </si>
  <si>
    <t>13th International Conference on Electronic Commerce and Web Technologies (EC-Web)</t>
  </si>
  <si>
    <t>SEP 03-07, 2012</t>
  </si>
  <si>
    <t>Vienna, AUSTRIA</t>
  </si>
  <si>
    <t>Music Recommendation; Social Media; Personalization; DBPedia</t>
  </si>
  <si>
    <t>This paper presents MyMusic, a system that exploits social media sources for generating personalized music playlists. This work is based on the idea that information extracted from social networks, such as Facebook and Last. fm, might be effectively exploited for personalization tasks. Indeed, information related to music preferences of users can be easily gathered from social platforms and used to define a model of user interests. The use of social media is a very cheap and effective way to overcome the classical cold start problem of recommender systems. In this work we enriched social media-based playlists with new artists related to those the user already likes. Specifically, we compare two different enrichment techniques: the first leverages the knowledge stored on DBpedia, the structured version of Wikipedia, while the second is based on the content-based similarity between descriptions of artists. The final playlist is ranked and finally presented to the user that can listen to the songs and express her feedbacks. A prototype version of MyMusic was made available online in order to carry out a preliminary user study to evaluate the best enrichment strategy. The preliminary results encouraged keeping on this research.</t>
  </si>
  <si>
    <t>[Musto, Cataldo; Semeraro, Giovanni; Lops, Pasquale; de Gemmis, Marco; Narducci, Fedelucio] Univ Bari Aldo Moro, Dept Comp Sci, Bari, Italy</t>
  </si>
  <si>
    <t>Musto, C (corresponding author), Univ Bari Aldo Moro, Dept Comp Sci, Bari, Italy.</t>
  </si>
  <si>
    <t>cataldomusto@di.uniba.it; semeraro@di.uniba.it; lops@di.uniba.it; degemmis@di.uniba.it; narducci@di.uniba.it</t>
  </si>
  <si>
    <t>Semeraro, Giovanni/0000-0001-6883-1853; de Gemmis, Marco/0000-0002-2007-9559; Musto, Cataldo/0000-0001-6089-928X; narducci, fedelucio/0000-0002-9255-3256; Lops, Pasquale/0000-0002-6866-9451</t>
  </si>
  <si>
    <t>978-3-642-32273-0; 978-3-642-32272-3</t>
  </si>
  <si>
    <t>BB6WD</t>
  </si>
  <si>
    <t>WOS:000345068100010</t>
  </si>
  <si>
    <t>Song, JR; Yang, FZ; Zhou, YC; Wan, S; Wu, HR</t>
  </si>
  <si>
    <t>Song, Jiarun; Yang, Fuzheng; Zhou, Yicong; Wan, Shuai; Wu, Hong Ren</t>
  </si>
  <si>
    <t>QoE Evaluation of Multimedia Services Based on Audiovisual Quality and User Interest</t>
  </si>
  <si>
    <t>Audiovisual quality; audiovisual services; quality of experience (QoE); user interest; viewing behavior</t>
  </si>
  <si>
    <t>VISUAL-ATTENTION; EXPERIENCE; VIDEO; MODEL</t>
  </si>
  <si>
    <t>Quality of experience (QoE) has significant influence on whether or not a user will choose a service or product in the competitive era. For multimedia services, there are various factors in a communication ecosystem working together on users, which stimulate their different senses inducing multidimensional perceptions of the services, and inevitably increase the difficulty in measurement and estimation of the user's QoE. In this paper, a user-centric objective QoE evaluation model (QAVIC model for short) is proposed to estimate the user's overall QoE for audiovisual services, which takes account of perceptual audiovisual quality (QAV) and user interest in audiovisual content (IC) amongst influencing factors on QoE such as technology, content, context, and user in the communication ecosystem. To predict the user interest, a number of general viewing behaviors are considered to formulate the IC evaluation model. Subjective tests have been conducted for training and validation of the QAVIC model. The experimental results show that the proposed QAVIC model can estimate the user's QoE reasonably accurately using a 5-point scale absolute category rating scheme.</t>
  </si>
  <si>
    <t>[Song, Jiarun; Yang, Fuzheng] Xidian Univ, Collaborat Innovat Ctr Informat Sensing &amp; Underst, Xian 710071, Peoples R China; [Song, Jiarun; Yang, Fuzheng] Xidian Univ, ISN, Xian 710071, Peoples R China; [Zhou, Yicong] Univ Macau, Dept Comp &amp; Informat Sci, Macau, Peoples R China; [Wan, Shuai] Northwestern Polytech Univ, Sch Elect &amp; Informat, Xian 710129, Peoples R China; [Wu, Hong Ren] RMIT Univ, Sch Elect &amp; Comp Engn, Melbourne, Vic 3001, Australia</t>
  </si>
  <si>
    <t>Xidian University; Xidian University; University of Macau; Northwestern Polytechnical University; Royal Melbourne Institute of Technology (RMIT)</t>
  </si>
  <si>
    <t>Song, JR; Yang, FZ (corresponding author), Xidian Univ, Collaborat Innovat Ctr Informat Sensing &amp; Underst, Xian 710071, Peoples R China.;Song, JR; Yang, FZ (corresponding author), Xidian Univ, ISN, Xian 710071, Peoples R China.;Zhou, YC (corresponding author), Univ Macau, Dept Comp &amp; Informat Sci, Macau, Peoples R China.;Wan, S (corresponding author), Northwestern Polytech Univ, Sch Elect &amp; Informat, Xian 710129, Peoples R China.;Wu, HR (corresponding author), RMIT Univ, Sch Elect &amp; Comp Engn, Melbourne, Vic 3001, Australia.</t>
  </si>
  <si>
    <t>jrsong@stu.xidian.edu.cn; fzhyang@mail.xidian.edu.cn; yicongzhou@umac.mo; swan@nwpu.edu.cn; henry.wu@rmit.edu.au</t>
  </si>
  <si>
    <t>Zhou, Yicong/A-8017-2009; Wu, Hong Ren/C-6068-2014; Wan, Shuai/AAA-8777-2022</t>
  </si>
  <si>
    <t>Zhou, Yicong/0000-0002-4487-6384; Wu, Hong Ren/0000-0002-7086-1629;</t>
  </si>
  <si>
    <t>NSF of China [61371089, 61571337]; 111 Project [B08038]</t>
  </si>
  <si>
    <t>NSF of China(National Natural Science Foundation of China (NSFC)); 111 Project(Ministry of Education, China - 111 Project)</t>
  </si>
  <si>
    <t>This work was supported in part by the NSF of China under Grant 61371089 and Grant 61571337, and in part by the 111 Project B08038. The associate editor coordinating the review of this manuscript and approving it for publication was Prof. Christian Timmerer.</t>
  </si>
  <si>
    <t>10.1109/TMM.2016.2520090</t>
  </si>
  <si>
    <t>WOS:000371931600011</t>
  </si>
  <si>
    <t>Iglesias, A; Shinya, M; GalvezTomida, A</t>
  </si>
  <si>
    <t>Mining Social Behavioral Biometrics in Twitter</t>
  </si>
  <si>
    <t>2014 INTERNATIONAL CONFERENCE ON CYBERWORLDS (CW)</t>
  </si>
  <si>
    <t>social behavioral biometrics; social networking sites; cyber security; person authentication; biomteric recognition; knowledge discovery; user profiling</t>
  </si>
  <si>
    <t>Online Social Networking Sites (SNSs) are considered as one of the well-established mediums of mass communication in today's world. Similar to physical world humans tend to have unique pattern of social communication in virtual world. However, analysis of such web based communication patterns is rarely seen for person identification. Most of the existing biometric recognition systems use either individual physiological or behavioural traits. A framework for the analysis of the web-based social interaction data as biometric features is largely unexplored until now. In this paper, a framework to accumulate and analyze social communication based data from online SNSs is presented. Analysis of such features explores personal characteristics, knowledge, and communication patterns that can successfully be utilized as Social Behavioral Biometric features. Experimental results demonstrate that the proposed social behavioral biometric features are significantly useful for person authentication.</t>
  </si>
  <si>
    <t>[Sultana, Madeena; Paul, Padma Polash; Gavrilova, Marina] Univ Calgary, Dept Comp Sci, Calgary, AB T2N 1N4, Canada</t>
  </si>
  <si>
    <t>978-1-4799-4677-8</t>
  </si>
  <si>
    <t>10.1109/CW.2014.47</t>
  </si>
  <si>
    <t>BD4UQ</t>
  </si>
  <si>
    <t>WOS:000361137500038</t>
  </si>
  <si>
    <t>Horng, GJ</t>
  </si>
  <si>
    <t>Horng, Gwo-Jiun</t>
  </si>
  <si>
    <t>Opportunistic Content Sharing Scheme for Distributed Network in City Environments</t>
  </si>
  <si>
    <t>WIRELESS PERSONAL COMMUNICATIONS</t>
  </si>
  <si>
    <t>Information society; Cellular automata; Co-occurrence; Termite; Adaptive CACO</t>
  </si>
  <si>
    <t>HUMAN MOBILITY</t>
  </si>
  <si>
    <t>This paper proposes a novel adaptive cellular automaton co-occurrence (CACO) approach to forming information societies in smart cities. It develops an interest ontology of cellular automaton (CA) clustering using a zone of community in an urban environment. The key to the proposed method is to integrate CA clustering with the ontology of user interests. We also adopt an interest ontology and a co-occurrence mechanism to calculate the relation between time and the popularity of the information. In addition, we take advantage of the pheromone mechanism to determine if the data transferred to the destination are popular and to analyze if there exists any duplication. The simulation results reveal the strengths of the proposed adaptive CACO mechanism model in terms of decreased delay rate, next hop probability, and service time.</t>
  </si>
  <si>
    <t>Southern Taiwan Univ Sci &amp; Technol, Dept Comp Sci &amp; Informat Engn, Tainan, Taiwan</t>
  </si>
  <si>
    <t>Southern Taiwan University of Science &amp; Technology</t>
  </si>
  <si>
    <t>Horng, GJ (corresponding author), Southern Taiwan Univ Sci &amp; Technol, Dept Comp Sci &amp; Informat Engn, Tainan, Taiwan.</t>
  </si>
  <si>
    <t>grojium@gmail.com</t>
  </si>
  <si>
    <t>Horng, Gwo-Jiun/AAO-9446-2020</t>
  </si>
  <si>
    <t>National Science Council of Taiwan [NSC MOST 103-2221-E-218-037]</t>
  </si>
  <si>
    <t>National Science Council of Taiwan(National Science &amp; Technology Council (NSTC) Taiwan)</t>
  </si>
  <si>
    <t>We thank the National Science Council of Taiwan for funding this research (Project No.: NSC MOST 103-2221-E-218-037).</t>
  </si>
  <si>
    <t>0929-6212</t>
  </si>
  <si>
    <t>1572-834X</t>
  </si>
  <si>
    <t>WIRELESS PERS COMMUN</t>
  </si>
  <si>
    <t>Wirel. Pers. Commun.</t>
  </si>
  <si>
    <t>10.1007/s11277-015-2707-5</t>
  </si>
  <si>
    <t>CS3XG</t>
  </si>
  <si>
    <t>WOS:000362008300004</t>
  </si>
  <si>
    <t>Spyrou, E; Mylonas, P</t>
  </si>
  <si>
    <t>Spyrou, Evaggelos; Mylonas, Phivos</t>
  </si>
  <si>
    <t>Analyzing Flickr metadata to extract location-based information and semantically organize its photo content</t>
  </si>
  <si>
    <t>Social media content analysis; Geo-tagging; Tags; Content clustering; Information processing</t>
  </si>
  <si>
    <t>The first step towards efficient social media content analysis is to understand it and identify means of user interaction. Trying to study the problem from the user perspective, we wanalyze user-generated photos uploaded to famous Flickr social network, in order to extract meaningful semantic trends covering specific research aspects, like content popularity, spatial areas of interest and popular events. Initially, we select a geographical area of social interest, like a city center, defined by a strict bounding box. We then cluster photos taken within the box based on their geo-tagging metadata information (i.e., their latitude and longitude information) and divide large areas into smaller groups of fixed size, which we will refer to as geo-clusters. Within these geo-clusters, we further identify semantically meaningful places of user interest, by analyzing any additional textual metadata available, i.e., user selected tags that characterize each place's photos. By post-processing the latter, we are then able to rank them and thus select the most appropriate tags that describe landmarks and other places of interest, as well as events occurring within these places of interest. As a next step, we place these tags on a map and help users to intuitively visualize places of interest and the actual photo content at a glance. Finally, we examine the temporal dynamics of analyzed photos over a long period of time, so as to obtain the underlying trends to be identified within this kind of social media generated content. (C) 2015 Elsevier B.V. All rights reserved.</t>
  </si>
  <si>
    <t>[Spyrou, Evaggelos] Technol Educ Inst Cent Greece, Lamia Athens 35100, Lamia, Greece; [Mylonas, Phivos] Natl Tech Univ Athens, Athens 15780, Greece</t>
  </si>
  <si>
    <t>Mylonas, P (corresponding author), Natl Tech Univ Athens, Athens 15780, Greece.</t>
  </si>
  <si>
    <t>vspyrou@tellam.gr; fmylonas@image.ntua.gr</t>
  </si>
  <si>
    <t>Mylonas, Phivos/AAF-2497-2019</t>
  </si>
  <si>
    <t>JAN 8</t>
  </si>
  <si>
    <t>10.1016/j.neucom.2014.12.104</t>
  </si>
  <si>
    <t>CW3IF</t>
  </si>
  <si>
    <t>WOS:000364884700013</t>
  </si>
  <si>
    <t>Fazil, M; Abulaish, M</t>
  </si>
  <si>
    <t>Fazil, Mohd; Abulaish, Muhammad</t>
  </si>
  <si>
    <t>Identifying Active, Reactive, and Inactive Targets of Socialbots in Twitter</t>
  </si>
  <si>
    <t>2017 IEEE/WIC/ACM INTERNATIONAL CONFERENCE ON WEB INTELLIGENCE (WI 2017)</t>
  </si>
  <si>
    <t>IEEE/WIC/ACM International Conference on Web Intelligence (WI)</t>
  </si>
  <si>
    <t>AUG 23-26, 2017</t>
  </si>
  <si>
    <t>Leipzig, GERMANY</t>
  </si>
  <si>
    <t>IEEE,WIC,ACM</t>
  </si>
  <si>
    <t>Social network analysis; Twitter data analysis; User profiling; Socialbot characterization; Socialbot identification</t>
  </si>
  <si>
    <t>NETWORKS; DESIGN</t>
  </si>
  <si>
    <t>Online social networks are facing serious threats due to presence of human-behaviour imitating malicious bots (aka socialbots) that are successful mainly due to existence of their duped followers. In this paper, we propose an approach to categorize Twitter users into three groups - active, reactive, and inactive targets, based on their interaction behaviour with socialbots. Active users are those who themselves follow socialbots without being followed by them, reactive users respond to the following socialbots by following them back, whereas inactive users do not show any interest against the following requests from anonymous socialbots. The proposed approach is modelled as both binary and ternary classification problem, wherein users' profile is generated using static and dynamic components representing their identical and behavioural aspects. Three different classification techniques viz Naive Bayes, Reduced Error Pruned Decision Tree, and Random Forest are used over a dataset of 749 users collected through live experiment, and a thorough analyses of the identified users categories is presented, wherein it is found that active and reactive users keep on frequently updating their tweets containing advertising related contents. Finally, feature ranking algorithms are used to rank identified features to analyse their discriminative power, and it is found that following rate and follower rate are the most dominating features.</t>
  </si>
  <si>
    <t>[Fazil, Mohd] Jamia Millia Islamia, Dept Comp Sci, New Delhi, India; [Abulaish, Muhammad] South Asian Univ, Dept Comp Sci, New Delhi, India</t>
  </si>
  <si>
    <t>Jamia Millia Islamia; South Asian University (SAU)</t>
  </si>
  <si>
    <t>Fazil, M (corresponding author), Jamia Millia Islamia, Dept Comp Sci, New Delhi, India.</t>
  </si>
  <si>
    <t>mohdfazil.jmi@gmail.com; abulaish@sau.ac.in</t>
  </si>
  <si>
    <t>Abulaish, Muhammad/0000-0003-3387-4743; Fazil, Mohd/0000-0002-8936-848X</t>
  </si>
  <si>
    <t>978-1-4503-4951-2</t>
  </si>
  <si>
    <t>10.1145/3106426.3106483</t>
  </si>
  <si>
    <t>BJ6US</t>
  </si>
  <si>
    <t>WOS:000426965100072</t>
  </si>
  <si>
    <t>Li, SS; Chen, Y; Whittinghill, DM; Vorvoreanu, M</t>
  </si>
  <si>
    <t>ASEE</t>
  </si>
  <si>
    <t>Li, Shanshan; Chen, Yang; Whittinghill, David M.; Vorvoreanu, Mihaela</t>
  </si>
  <si>
    <t>A Pilot Study Exploring Augmented Reality to Increase Motivation of Chinese College Students Learning English</t>
  </si>
  <si>
    <t>2014 ASEE ANNUAL CONFERENCE</t>
  </si>
  <si>
    <t>ASEE Annual Conference &amp; Exposition</t>
  </si>
  <si>
    <t>ASEE Annual Conference</t>
  </si>
  <si>
    <t>JUN 15-18, 2014</t>
  </si>
  <si>
    <t>Indianapolis, IN</t>
  </si>
  <si>
    <t>English vocabulary learning; augmented reality; learning motivation; ARCS Model</t>
  </si>
  <si>
    <t>With the advent and accelerated development of augmented reality (AR), an increasing number of studies have been conducted to test the effectiveness of this technique in education. Few, however, have investigated how AR might influence students' motivation toward learning of a second language. To address this gap in the literature, we used a combination of convenience sampling and criterion sampling to select five Chinese college students to evaluate an English vocabulary learning application built upon augmented reality technology. To assess student motivation, the ARCS motivational model was adopted. A semi-structured interview with open-ended questions was used to collect data. Participants indicated that though they were attracted by this tool at the beginning, their motivation level decreased toward the end of the study session. An interpretation of our observations in the context of the ARCS model suggests three motivational issues. First, predefined AR materials failed to establish relevance to subjects' personal interests and previous experiences. Secondly, subjects' confidence seemed to have been negatively influenced due to their difficulty in achieving the stated learning objectives. Lastly, technical issues delayed the computer quickly identifying the triggering image and thus resulted in a noticeable lack of system responsiveness. It seems this delay decreased subjects' satisfaction and distracted their attention from the learning task. These factors seemed most determinative in compromising AR's effectiveness as a tool to increase student motivation toward English vocabulary learning. It must be stressed that this study is a low subject N exploratory pilot not intended to produce binding generalizations. Nonetheless, these findings should provide useful insights toward the successful application of AR in the educational realm and identify potential causal factors that could form the foundation of future experimental research. The authors recommend further study with a larger number of subjects with a wider range of vocabulary sample and a more powerful viewing device capable of more quickly identifying the trigger images.</t>
  </si>
  <si>
    <t>[Li, Shanshan] Purdue Univ, Comp Graph Technol, W Lafayette, IN 47907 USA; [Chen, Yang; Whittinghill, David M.; Vorvoreanu, Mihaela] Purdue Univ, W Lafayette, IN 47907 USA</t>
  </si>
  <si>
    <t>Purdue University System; Purdue University; Purdue University System; Purdue University</t>
  </si>
  <si>
    <t>Li, SS (corresponding author), Purdue Univ, Comp Graph Technol, W Lafayette, IN 47907 USA.</t>
  </si>
  <si>
    <t>Whittinghill, David/J-6434-2012</t>
  </si>
  <si>
    <t>Whittinghill, David/0000-0002-2011-7893</t>
  </si>
  <si>
    <t>AMER SOC ENGINEERING EDUCATION</t>
  </si>
  <si>
    <t>1818 N STREET, NW SUITE 600, WASHINGTON, DC 20036 USA</t>
  </si>
  <si>
    <t>2153-5965</t>
  </si>
  <si>
    <t>ASEE ANNU CONF EXPO</t>
  </si>
  <si>
    <t>BF6XT</t>
  </si>
  <si>
    <t>WOS:000383779701014</t>
  </si>
  <si>
    <t>Nguyen, MT; Lim, EP</t>
  </si>
  <si>
    <t>Minh-Thap Nguyen; Lim, Ee-Peng</t>
  </si>
  <si>
    <t>On Predicting Religion Labels in Microblogging Networks</t>
  </si>
  <si>
    <t>Religion Prediction; User Profiling; Social Networks</t>
  </si>
  <si>
    <t>Religious belief plays an important role in how people behave, influencing how they form preferences, interpret events around them, and develop relationships with others. Traditionally, the religion labels of user population are obtained by conducting a large scale census study. Such an approach is both high cost and time consuming. In this paper, we study the problem of predicting users' religion labels using their microblogging data. We formulate religion label prediction as a classification task, and identify content, structure and aggregate features considering their self and social variants for representing a user. We introduce the notion of representative user to identify users who are important in the religious user community. We further define features using representative users. We show that SVM classifiers using our proposed features can accurately assign Christian and Muslim labels to a set of Twitter users with known religion labels.</t>
  </si>
  <si>
    <t>[Minh-Thap Nguyen; Lim, Ee-Peng] Singapore Management Univ, Living Analyt Res Ctr, Singapore, Singapore</t>
  </si>
  <si>
    <t>Singapore Management University</t>
  </si>
  <si>
    <t>Nguyen, MT (corresponding author), Singapore Management Univ, Living Analyt Res Ctr, Singapore, Singapore.</t>
  </si>
  <si>
    <t>mtnguyen.2012@smu.edu.sg; eplim@smu.edu.sg</t>
  </si>
  <si>
    <t>Lim, Ee-Peng/E-8562-2012</t>
  </si>
  <si>
    <t>Lim, Ee-Peng/0000-0003-0065-8665</t>
  </si>
  <si>
    <t>National Research Foundation under its International Research Centre @ Singapore Funding Initiative</t>
  </si>
  <si>
    <t>National Research Foundation under its International Research Centre @ Singapore Funding Initiative(National Research Foundation, Singapore)</t>
  </si>
  <si>
    <t>This work is supported by the National Research Foundation under its International Research Centre @ Singapore Funding Initiative and administered by the IDM Programme Office.</t>
  </si>
  <si>
    <t>10.1145/2600428.2609547</t>
  </si>
  <si>
    <t>WOS:000450717600181</t>
  </si>
  <si>
    <t>Chen, K; Shen, HY; Zhang, HB</t>
  </si>
  <si>
    <t>Chen, Kang; Shen, Haiying; Zhang, Haibo</t>
  </si>
  <si>
    <t>Leveraging Social Networks for P2P Content-Based File Sharing in Disconnected MANETs</t>
  </si>
  <si>
    <t>IEEE TRANSACTIONS ON MOBILE COMPUTING</t>
  </si>
  <si>
    <t>MANETs; content-based file sharing; social networks</t>
  </si>
  <si>
    <t>Current peer-to-peer (P2P) file sharing methods in mobile ad hoc networks (MANETs) can be classified into three groups: flooding-based, advertisement-based, and social contact-based. The first two groups of methods can easily have high overhead and low scalability. They are mainly developed for connected MANETs, in which end-to-end connectivity among nodes is ensured. The third group of methods adapts to the opportunistic nature of disconnected MANETs but fails to consider the social interests (i.e., contents) of mobile nodes, which can be exploited to improve the file searching efficiency. In this paper, we propose a P2P content-based file sharing system, namely SPOON, for disconnected MANETs. The system uses an interest extraction algorithm to derive a node's interests from its files for content-based file searching. For efficient file searching, SPOON groups common-interest nodes that frequently meet with each other as communities. It takes advantage of node mobility by designating stable nodes, which have the most frequent contact with community members, as community coordinators for intracommunity searching, and highly mobile nodes that visit other communities frequently as community ambassadors for intercommunity searching. An interest-oriented file searching scheme is proposed for high file searching efficiency. Additional strategies for file prefetching, querying-completion, and loop-prevention, and node churn consideration are discussed to further enhance the file searching efficiency. We first tested our system on the GENI Orbit testbed with a real trace and then conducted event-driven experiment with two real traces and NS2 simulation with simulated disconnected and connected MANET scenarios. The test results show that our system significantly lowers transmission cost and improves file searching success rate compared to current methods.</t>
  </si>
  <si>
    <t>[Chen, Kang; Shen, Haiying] Clemson Univ, Dept Elect &amp; Comp Engn, Clemson, SC 29634 USA; [Zhang, Haibo] Cerner Corp, Overland Pk, KS 66213 USA</t>
  </si>
  <si>
    <t>Clemson University; Oracle; Cerner Corporation</t>
  </si>
  <si>
    <t>Chen, K (corresponding author), Clemson Univ, Dept Elect &amp; Comp Engn, Clemson, SC 29634 USA.</t>
  </si>
  <si>
    <t>kangc@g.clemson.edu; shenh@clemson.edu; bobzhang01@gmail.com</t>
  </si>
  <si>
    <t>US National Science Foundation [IIS-1354123, CNS-1254006, CNS-1249603, OCI-1064230, CNS-1049947, CNS-0917056, CNS-1025652]; Microsoft Research Faculty Fellowship [8300751]; United States Department of Defense [238866]</t>
  </si>
  <si>
    <t>US National Science Foundation(National Science Foundation (NSF)); Microsoft Research Faculty Fellowship(Microsoft); United States Department of Defense(United States Department of Defense)</t>
  </si>
  <si>
    <t>This research was supported in part by US National Science Foundation grants IIS-1354123, CNS-1254006, CNS-1249603, OCI-1064230, CNS-1049947, CNS-0917056, and CNS-1025652, Microsoft Research Faculty Fellowship 8300751, and the United States Department of Defense 238866. An early version of this work was presented in the Proceedings of MASS 2011 [40].</t>
  </si>
  <si>
    <t>1536-1233</t>
  </si>
  <si>
    <t>1558-0660</t>
  </si>
  <si>
    <t>IEEE T MOBILE COMPUT</t>
  </si>
  <si>
    <t>IEEE. Trans. Mob. Comput.</t>
  </si>
  <si>
    <t>10.1109/TMC.2012.239</t>
  </si>
  <si>
    <t>AD2UN</t>
  </si>
  <si>
    <t>WOS:000333091100001</t>
  </si>
  <si>
    <t>Zhao, ZS; Du, JC; Gao, QH; Gui, L; Xu, RF</t>
  </si>
  <si>
    <t>Cheng, X; Ma, W; Liu, H; Shen, H; Feng, S; Xie, X</t>
  </si>
  <si>
    <t>Zhao, Zhishan; Du, Jiachen; Gao, Qinghong; Gui, Lin; Xu, Ruifeng</t>
  </si>
  <si>
    <t>Inferring User Profile Using Microblog Content and Friendship Network</t>
  </si>
  <si>
    <t>SOCIAL MEDIA PROCESSING, SMP 2017</t>
  </si>
  <si>
    <t>6th National Conference on Social Media Processing (SMP)</t>
  </si>
  <si>
    <t>SEP 14-17, 2017</t>
  </si>
  <si>
    <t>Chinese Informat Proc Soc China</t>
  </si>
  <si>
    <t>Social network analysis; User profiling; Neural networks</t>
  </si>
  <si>
    <t>FEATURE-SELECTION</t>
  </si>
  <si>
    <t>With the rapid development of microblogs in recent years, accurate prediction of microblog user profiles is valuable for marketing, personalized recommendation, and legal investigation. Microblog users post rich contents everyday and build a complex friendship network with following behaviors. Both of user-generated content and friendship network are crucial for user profiling. In this work, we propose a neural-network based model for user profiling. It takes advantages of both user-generated content and friendship network with attentional multiscale convolutional neural networks and graph embeddings. We evaluate our model on SMP CUP 2016 dataset whose task is to infer age, gender and region of microblog users. The experiment results show that utilizing information from user generated content and friend network, our method obtains the state-of-the-art performance on all of three sub-tasks.</t>
  </si>
  <si>
    <t>[Zhao, Zhishan; Du, Jiachen; Gao, Qinghong; Xu, Ruifeng] Harbin Inst Technol, Sch Comp Sci &amp; Technol, Shenzhen Grad Sch, Shenzhen, Peoples R China; [Gui, Lin] Fuzhou Univ, Sch Math &amp; Comp Sci, Fuzhou, Fujian, Peoples R China; [Xu, Ruifeng] Guangdong Prov Engn Technol Res Ctr Data Sci, Guangzhou, Guangdong, Peoples R China</t>
  </si>
  <si>
    <t>Harbin Institute of Technology; Fuzhou University</t>
  </si>
  <si>
    <t>Xu, RF (corresponding author), Harbin Inst Technol, Sch Comp Sci &amp; Technol, Shenzhen Grad Sch, Shenzhen, Peoples R China.;Xu, RF (corresponding author), Guangdong Prov Engn Technol Res Ctr Data Sci, Guangzhou, Guangdong, Peoples R China.</t>
  </si>
  <si>
    <t>zhishan777@gmail.com; dujiachen199165@gmail.com; gaoqinghong1994@gmail.com; guilin.nlp@gmail.com; xuruifeng@hit.edu.cn</t>
  </si>
  <si>
    <t>Xu, Ruifeng/LWJ-4793-2024</t>
  </si>
  <si>
    <t>National Natural Science Foundation of China [61370165, U1636103, 61632011]; Shenzhen Foundational Research Funding [JCYJ20150625142543470, JCYJ20170307150024907]; Guangdong Provincial Engineering Technology Research Center for Data Science [2016KF09]</t>
  </si>
  <si>
    <t>National Natural Science Foundation of China(National Natural Science Foundation of China (NSFC)); Shenzhen Foundational Research Funding; Guangdong Provincial Engineering Technology Research Center for Data Science</t>
  </si>
  <si>
    <t>This work was supported by the National Natural Science Foundation of China 61370165, U1636103, 61632011, Shenzhen Foundational Research Funding JCYJ20150625142543470, JCYJ20170307150024907 and Guangdong Provincial Engineering Technology Research Center for Data Science 2016KF09.</t>
  </si>
  <si>
    <t>978-981-10-6805-8; 978-981-10-6804-1</t>
  </si>
  <si>
    <t>10.1007/978-981-10-6805-8_3</t>
  </si>
  <si>
    <t>BK4OG</t>
  </si>
  <si>
    <t>WOS:000437040400003</t>
  </si>
  <si>
    <t>Zarrinkalam, F</t>
  </si>
  <si>
    <t>Gandon, F; Sabou, M; Sack, H; DAmato, C; CudreMauroux, P; Zimmermann, A</t>
  </si>
  <si>
    <t>Zarrinkalam, Fattane</t>
  </si>
  <si>
    <t>Semantics-Enabled User Interest Mining</t>
  </si>
  <si>
    <t>SEMANTIC WEB: LATEST ADVANCES AND NEW DOMAINS, ESWC 2015</t>
  </si>
  <si>
    <t>12th European Semantic Web Conference (ESWC)</t>
  </si>
  <si>
    <t>MAY 31-JUN 04, 2015</t>
  </si>
  <si>
    <t>Portoroz, SLOVENIA</t>
  </si>
  <si>
    <t>Inria,STI Int,xLiMe,Byte,Ontotext</t>
  </si>
  <si>
    <t>#eswcphd2015zarrinkalam; User interest detection; Microblogging service; Semantics-enabled</t>
  </si>
  <si>
    <t>Microblogging services such as Twitter allow users to express their feelings and views in real-time through microposts. This provides a wealth of information both collectively and individually that can be effectively mined so as to facilitate personalization, recommendation and customized search. A fundamental task with this respect would be to extract users' interests. This has been mainly done using probabilistic models that rely on measures such as frequency of co-occurrence of important phrases, which forgoes the underlying semantics of the phrases in favor of highlighting the role of syntactical repetition of content. Some recent works have considered the role of semantics by using knowledge bases such as DBPedia and Freebase. However, they limit the topics of interest to be a set of individual concepts extracted from the microposts in isolation, i.e. without considering the relationships of the microposts to each other or to other users. This proposal seeks to further build on these works by introducing a definition of topical interest, which enables the identification of more specific and semantically complex topics involving multiple interrelated concepts. Based on this definition, methods will be introduced for the detection of both explicitly observed and implicitly implied user interests, in addition to the identification of user interest shifts based on the temporal clues.</t>
  </si>
  <si>
    <t>Ferdowsi Univ Mashhad, Dept Comp Engn, Mashhad, Iran</t>
  </si>
  <si>
    <t>Ferdowsi University Mashhad</t>
  </si>
  <si>
    <t>Zarrinkalam, F (corresponding author), Ferdowsi Univ Mashhad, Dept Comp Engn, Mashhad, Iran.</t>
  </si>
  <si>
    <t>fattane.zarrinkalam@stu-mail.um.ac.ir</t>
  </si>
  <si>
    <t>Zarrinkalam, Fattane/AAI-1083-2019</t>
  </si>
  <si>
    <t>978-3-319-18818-8; 978-3-319-18817-1</t>
  </si>
  <si>
    <t>10.1007/978-3-319-18818-8_54</t>
  </si>
  <si>
    <t>Computer Science, Artificial Intelligence; Computer Science, Information Systems; Computer Science, Theory &amp; Methods; Robotics</t>
  </si>
  <si>
    <t>BD6OH</t>
  </si>
  <si>
    <t>WOS:000362439200054</t>
  </si>
  <si>
    <t>Ge, HC; Caverlee, J</t>
  </si>
  <si>
    <t>Ge, Hancheng; Caverlee, James</t>
  </si>
  <si>
    <t>College Towns, Vacation Spots, and Tech Hubs: Using Geo-Social Media to Model and Compare Locations</t>
  </si>
  <si>
    <t>THIRTIETH AAAI CONFERENCE ON ARTIFICIAL INTELLIGENCE</t>
  </si>
  <si>
    <t>30th Association-for-the-Advancement-of-Artificial-Intelligence (AAAI) Conference on Artificial Intelligence</t>
  </si>
  <si>
    <t>FEB 12-17, 2016</t>
  </si>
  <si>
    <t>Phoenix, AZ</t>
  </si>
  <si>
    <t>In this paper, we explore the potential of geo-social media to construct location-based interest profiles to uncover the hidden relationships among disparate locations. Through an investigation of millions of geo-tagged Tweets, we construct a per-city interest model based on fourteen high-level categories (e.g., technology, art, sports). These interest models support the discovery of related locations that are connected based on these categorical perspectives (e.g., college towns or vacation spots) but perhaps not on the individual tweet level. We then connect these city-based interest models to underlying demographic data. By building multivariate multiple linear regression (MMLR) and neural network (NN) models we show how a location's interest profile may be estimated based purely on its demographics features.</t>
  </si>
  <si>
    <t>[Ge, Hancheng; Caverlee, James] Texas A&amp;M Univ, Dept Comp Sci &amp; Engn, College Stn, TX 77840 USA</t>
  </si>
  <si>
    <t>Ge, HC (corresponding author), Texas A&amp;M Univ, Dept Comp Sci &amp; Engn, College Stn, TX 77840 USA.</t>
  </si>
  <si>
    <t>hge@cse.tamu.edu; caverlee@cse.tamu.edu</t>
  </si>
  <si>
    <t>/AAV-3496-2020</t>
  </si>
  <si>
    <t>BN6JG</t>
  </si>
  <si>
    <t>WOS:000485474200018</t>
  </si>
  <si>
    <t>Duan, ZZ; Gao, Y; Feng, J; Zhang, XX; Wang, J</t>
  </si>
  <si>
    <t>Duan, Zhizhou; Gao, Yuan; Feng, Jun; Zhang, Xiaoxi; Wang, Jie</t>
  </si>
  <si>
    <t>Personalized tourism route recommendation based on user's active interests</t>
  </si>
  <si>
    <t>2020 21ST IEEE INTERNATIONAL CONFERENCE ON MOBILE DATA MANAGEMENT (MDM 2020)</t>
  </si>
  <si>
    <t>IEEE International Conference on Mobile Data Management</t>
  </si>
  <si>
    <t>21st IEEE International Conference on Mobile Data Management (MDM)</t>
  </si>
  <si>
    <t>JUN 30-JUL 03, 2020</t>
  </si>
  <si>
    <t>IEEE,IEEE Comp Soc Tech Comm Data Engn</t>
  </si>
  <si>
    <t>Tour recommendation; User interests; CNN; Personalization; Social network</t>
  </si>
  <si>
    <t>Tourism is both an important industry and popular leisure activity undertaken by millions around the world. How to effectively mine the user's travel mode and visit preferences based on the user's historical travel data is a challenge. The tourism resources of different visiting areas, such as the popularity of POI (Point of Interest), influence the user's interests dynamically. Therefore, a user's interest preferences during traveling may differ between geographical region. In this paper, we introduce a personalized travel route recommendation framework, named PTDR, based on region dependent personal interest. PTDR consists of two parts, which are POI recommendation and itinerary generation. We analyzed the user's history interest from check-in behavior in detail and constructed a convolutional neural network to extract the potential features of the target visiting area. Then the user's active interest is learned from the user's history interest and the potential features of the target area. Finally, we optimize the itinerary for a user based on the orienteering problem, which takes into account the user's travel restrictions, such as time limits, starting attraction restrictions, and destination attraction restrictions. We evaluated the proposed algorithm on four cities of Flickr datasets and compared them to existing travel recommendations, including accuracy, recall, and F1. Experiments verify the effectiveness of the proposed method.</t>
  </si>
  <si>
    <t>[Duan, Zhizhou; Feng, Jun; Zhang, Xiaoxi; Wang, Jie] Northwest Univ, Sch Informat Sci &amp; Technol, Xian, Peoples R China; [Gao, Yuan] Northwest Univ, Sch Econ &amp; Management, Xian, Peoples R China</t>
  </si>
  <si>
    <t>Northwest University Xi'an; Northwest University Xi'an</t>
  </si>
  <si>
    <t>Duan, ZZ (corresponding author), Northwest Univ, Sch Informat Sci &amp; Technol, Xian, Peoples R China.</t>
  </si>
  <si>
    <t>duandoublez@163.com; yuangao@nwu.edu.cn; fengjun@nwu.edu.cn; zhangxxm@stumail.nwu.edu.cn; Scalett_wangchn@163.com</t>
  </si>
  <si>
    <t>1551-6245</t>
  </si>
  <si>
    <t>978-1-7281-4663-8</t>
  </si>
  <si>
    <t>IEEE INT CONF MOB DA</t>
  </si>
  <si>
    <t>10.1109/MDM48529.2020.00071</t>
  </si>
  <si>
    <t>BQ8OP</t>
  </si>
  <si>
    <t>WOS:000621175800052</t>
  </si>
  <si>
    <t>Hogheim, S; Reber, R</t>
  </si>
  <si>
    <t>Hogheim, Sigve; Reber, Rolf</t>
  </si>
  <si>
    <t>Supporting interest of middle school students in mathematics through context personalization and example choice</t>
  </si>
  <si>
    <t>CONTEMPORARY EDUCATIONAL PSYCHOLOGY</t>
  </si>
  <si>
    <t>Mathematics; Adolescence; Interest; Personalization; Choice</t>
  </si>
  <si>
    <t>SEDUCTIVE DETAILS; INTRINSIC MOTIVATION; SITUATIONAL INTEREST; PERFORMANCE; COMPETENCE; COMPUTER; BELIEFS; GENDER; VALUES; ADOLESCENCE</t>
  </si>
  <si>
    <t>An experimental study examined the effect of context personalization and example choice on situational interest in mathematics of adolescent students. Middle school students (N = 736) learned about probability calculus and were assigned to one of four instructional conditions. Individual interest and perceived competence in mathematics was examined as moderator on three measures of situational interest: triggered situational interest, maintained situational interest, and perceived value. Context personalization promoted triggered and maintained situational interest, and perception of value among students with low individual interest and perceived competence in mathematics. Similar results were observed for example choice, with the exception of perceived value. Although context personalization and example choice promoted effort for students with low individual interest, we observed no effect on performance. We discuss the theoretical and practical implications of the findings. (C) 2015 Elsevier Inc. All rights reserved.</t>
  </si>
  <si>
    <t>[Hogheim, Sigve; Reber, Rolf] Univ Bergen, Dept Educ, NO-5020 Bergen, Norway; [Reber, Rolf] Univ Oslo, Dept Psychol, N-0317 Oslo, Norway</t>
  </si>
  <si>
    <t>University of Bergen; University of Oslo</t>
  </si>
  <si>
    <t>Hogheim, S (corresponding author), Univ Bergen, Dept Educ, NO-5020 Bergen, Norway.</t>
  </si>
  <si>
    <t>sigve.hogheim@uib.no</t>
  </si>
  <si>
    <t>Reber, Rolf/G-6510-2011</t>
  </si>
  <si>
    <t>Reber, Rolf/0000-0002-6669-7109; Høgheim, Sigve/0000-0003-2967-0588</t>
  </si>
  <si>
    <t>The Norwegian Research Council [212299]; Academy of Finland (AKA) [212299] Funding Source: Academy of Finland (AKA)</t>
  </si>
  <si>
    <t>The Norwegian Research Council(Research Council of Norway); Academy of Finland (AKA)(Research Council of Finland)</t>
  </si>
  <si>
    <t>The Norwegian Research Council funded this research (project #212299). We thank Roger Andre Federici for discussing data analyses and Oystein Olav Skaar for his help in data collection. We also thank Frode Olav Haara, Christoph Kirfel, and Matthias Gregor Stadler, for helpful comments in the development of the learning material applied in this research.</t>
  </si>
  <si>
    <t>0361-476X</t>
  </si>
  <si>
    <t>1090-2384</t>
  </si>
  <si>
    <t>CONTEMP EDUC PSYCHOL</t>
  </si>
  <si>
    <t>Contemp. Educ. Psychol.</t>
  </si>
  <si>
    <t>10.1016/j.cedpsych.2015.03.006</t>
  </si>
  <si>
    <t>CO3YL</t>
  </si>
  <si>
    <t>WOS:000359097100002</t>
  </si>
  <si>
    <t>Wang, WQ; Yin, HZ; Chen, L; Sun, YZ; Sadiq, S; Zhou, XF</t>
  </si>
  <si>
    <t>Wang, Weiqing; Yin, Hongzhi; Chen, Ling; Sun, Yizhou; Sadiq, Shazia; Zhou, Xiaofang</t>
  </si>
  <si>
    <t>ST-SAGE: A Spatial-Temporal Sparse Additive Generative Model for Spatial Item Recommendation</t>
  </si>
  <si>
    <t>Algorithms; Design; Experimentation; Performance; Point of interest (POI); real-time recommendation; location-based service; online learning; efficient retrieval algorithm</t>
  </si>
  <si>
    <t>POINT</t>
  </si>
  <si>
    <t>With the rapid development of location-based social networks (LBSNs), spatial item recommendation has become an important mobile application, especially when users travel away from home. However, this type of recommendation is very challenging compared to traditional recommender systems. A user may visit only a limited number of spatial items, leading to a very sparse user-item matrix. This matrix becomes even sparser when the user travels to a distant place, as most of the items visited by a user are usually located within a short distance from the user's home. Moreover, user interests and behavior patterns may vary dramatically across different time and geographical regions. In light of this, we propose ST-SAGE, a spatial-temporal sparse additive generative model for spatial item recommendation in this article. ST-SAGE considers both personal interests of the users and the preferences of the crowd in the target region at the given time by exploiting both the co-occurrence patterns and content of spatial items. To further alleviate the data-sparsity issue, ST-SAGE exploits the geographical correlation by smoothing the crowd's preferences over a well-designed spatial index structure called the spatial pyramid. To speed up the training process of ST-SAGE, we implement a parallel version of themodel inference algorithm on the GraphLab framework. We conduct extensive experiments; the experimental results clearly demonstrate that ST-SAGE outperforms the state-of-the-art recommender systems in terms of recommendation effectiveness, model training efficiency, and online recommendation efficiency.</t>
  </si>
  <si>
    <t>[Wang, Weiqing; Yin, Hongzhi; Sadiq, Shazia; Zhou, Xiaofang] Univ Queensland, Sch Informat Technol &amp; Elect Engn, Brisbane, Qld 4072, Australia; [Chen, Ling] Univ Technol Sydney, CAI, 15 Broadway, Ultimo, NSW 2007, Australia; [Sun, Yizhou] Northeastern Univ, Coll Comp &amp; Informat Sci, Boston, MA 02115 USA</t>
  </si>
  <si>
    <t>University of Queensland; University of Technology Sydney; Northeastern University</t>
  </si>
  <si>
    <t>Yin, HZ (corresponding author), Univ Queensland, Sch Informat Technol &amp; Elect Engn, Brisbane, Qld 4072, Australia.</t>
  </si>
  <si>
    <t>weiqingwang@uq.edu.au; h.yin1@uq.edu.au; ling.chen@uts.edu.au; yzsun@cs.ucla.edu; shazia@itee.uq.edu.au; zxf@itee.uq.edu.au</t>
  </si>
  <si>
    <t>Yin, Hongzhi/AAP-2078-2020; Sun, Yizhou/M-3793-2013; Zhou, Xiaofang/C-6169-2013; Sadiq, Shazia/C-8593-2016</t>
  </si>
  <si>
    <t>Yin, Hongzhi/0000-0003-1395-261X; Zhou, Xiaofang/0000-0001-6343-1455; Sadiq, Shazia/0000-0001-6739-4145; Wang, Weiqing/0000-0002-9578-819X; Chen, Ling/0000-0002-6468-5729</t>
  </si>
  <si>
    <t>ARC [DE160100308, DP140103171, DP140100545]; National Science Foundation CAREER [1453800]; National Natural Science Foundation of China [61572335, 41301407]; Jiangsu Natural Science Foundation of China [BK20151223]; Australian Research Council [DE160100308] Funding Source: Australian Research Council; Direct For Computer &amp; Info Scie &amp; Enginr [1741634] Funding Source: National Science Foundation; Div Of Information &amp; Intelligent Systems [1741634] Funding Source: National Science Foundation; Div Of Information &amp; Intelligent Systems; Direct For Computer &amp; Info Scie &amp; Enginr [1453800] Funding Source: National Science Foundation</t>
  </si>
  <si>
    <t>ARC(Australian Research Council); National Science Foundation CAREER(National Science Foundation (NSF)); National Natural Science Foundation of China(National Natural Science Foundation of China (NSFC)); Jiangsu Natural Science Foundation of China(Natural Science Foundation of Jiangsu Province); Australian Research Council(Australian Research Council); Direct For Computer &amp; Info Scie &amp; Enginr(National Science Foundation (NSF)NSF - Directorate for Computer &amp; Information Science &amp; Engineering (CISE)); Div Of Information &amp; Intelligent Systems(National Science Foundation (NSF)NSF - Directorate for Computer &amp; Information Science &amp; Engineering (CISE)NSF - Division of Information &amp; Intelligent Systems (IIS)); Div Of Information &amp; Intelligent Systems; Direct For Computer &amp; Info Scie &amp; Enginr(National Science Foundation (NSF)NSF - Directorate for Computer &amp; Information Science &amp; Engineering (CISE)NSF - Division of Information &amp; Intelligent Systems (IIS))</t>
  </si>
  <si>
    <t>This work is partially supported by the ARC Discovery Early Career Researcher Award (Grant No. DE160100308), ARC Discovery Project (Grant No. DP140103171, DP140100545), National Science Foundation CAREER (Grant No. 1453800), National Natural Science Foundation of China (Grant No. 61572335, 41301407) and Jiangsu Natural Science Foundation of China (Grant No. BK20151223).</t>
  </si>
  <si>
    <t>10.1145/3011019</t>
  </si>
  <si>
    <t>ET3ES</t>
  </si>
  <si>
    <t>WOS:000400160800015</t>
  </si>
  <si>
    <t>Buraya, K; Farseev, A; Filchenkov, A</t>
  </si>
  <si>
    <t>Bellot, P; Trabelsi, C; Mothe, J; Murtagh, F; Nie, JY; Soulier, L; SanJuan, E; Cappellato, L; Ferro, N</t>
  </si>
  <si>
    <t>Buraya, Kseniya; Farseev, Aleksandr; Filchenkov, Andrey</t>
  </si>
  <si>
    <t>Multi-view Personality Profiling Based on Longitudinal Data</t>
  </si>
  <si>
    <t>EXPERIMENTAL IR MEETS MULTILINGUALITY, MULTIMODALITY, AND INTERACTION (CLEF 2018)</t>
  </si>
  <si>
    <t>9th International Conference of the Conference-and-Labs-of-the-Evaluation-Forum-Association, (CLEF)</t>
  </si>
  <si>
    <t>SEP 10-14, 2018</t>
  </si>
  <si>
    <t>Univ Avignon, Avignon, FRANCE</t>
  </si>
  <si>
    <t>Conf &amp; Labs Evaluat Forum Assoc,Marseille Univ,Toulon Univ,Special Interest Grp on Informat Retrieval,Lab Informatique Avignon,Aix Marseille Univ,Brain &amp; Language Res Inst,Assoc Francophone Rech Informat Applicat,Avignon Univ</t>
  </si>
  <si>
    <t>Univ Avignon</t>
  </si>
  <si>
    <t>User profiling; Social networks; Personality profiling</t>
  </si>
  <si>
    <t>Personality profiling is an essential application for the marketing, advertisement and sales industries. Indeed, the knowledge about one's personality may help in understanding the reasons behind one's behavior and his/her motivation in undertaking new life challenges. In this study, we take the first step towards solving the problem of automatic personality profiling. Specifically, we propose the idea of fusing multi-source multi-modal temporal data in our computational PersonalLSTM framework for automatic user personality inference. Experimental results show that incorporation of multi-source temporal data allows for more accurate personality profiling, as compared to non-temporal baselines and different data source combinations.</t>
  </si>
  <si>
    <t>[Buraya, Kseniya; Farseev, Aleksandr; Filchenkov, Andrey] ITMO Univ, 49 Kronverksky Pr, St Petersburg 197101, Russia; [Farseev, Aleksandr] SoMin Res, 221 Henderson Rd, Singapore 159557, Singapore</t>
  </si>
  <si>
    <t>Buraya, K (corresponding author), ITMO Univ, 49 Kronverksky Pr, St Petersburg 197101, Russia.</t>
  </si>
  <si>
    <t>ksburaya@corp.ifmo.ru; farseev@gmail.com; afilchenkov@corp.ifmo.ru</t>
  </si>
  <si>
    <t>Фильченков, Андрей/0000-0002-1133-8432</t>
  </si>
  <si>
    <t>978-3-319-98932-7; 978-3-319-98931-0</t>
  </si>
  <si>
    <t>10.1007/978-3-319-98932-7_2</t>
  </si>
  <si>
    <t>BP4CE</t>
  </si>
  <si>
    <t>WOS:000550799000002</t>
  </si>
  <si>
    <t>Wieloch, M; Kabzinska, K; Filipiak, D; Filipowska, A</t>
  </si>
  <si>
    <t>Abramowicz, W; Paschke, A</t>
  </si>
  <si>
    <t>Wieloch, Magdalena; Kabzinska, Katarzyna; Filipiak, Dominik; Filipowska, Agata</t>
  </si>
  <si>
    <t>Profiling User Colour Preferences with BFI-44 Personality Traits</t>
  </si>
  <si>
    <t>BUSINESS INFORMATION SYSTEMS WORKSHOPS (BIS 2018)</t>
  </si>
  <si>
    <t>21st International Conference on Business Information Systems (BIS)</t>
  </si>
  <si>
    <t>JUL 18-20, 2018</t>
  </si>
  <si>
    <t>Berlin, GERMANY</t>
  </si>
  <si>
    <t>Fraunhofer Inst Open Commun Syst,Poznan Univ Econ &amp; Business, Dept Informat Syst</t>
  </si>
  <si>
    <t>User profiling; Online social networks; User profile Activity recognition and understanding</t>
  </si>
  <si>
    <t>SELF-PRESENTATION; INSTAGRAM</t>
  </si>
  <si>
    <t>Nowadays, a lot of attention is paid to personalisation of services and content presented to a user. Personalisation is based on profiles of a users built on top of diverse data: logs, texts, pictures, etc. The goal of the paper is to analyse a connection between a type of user's personality and his colour preferences, to enable for personalisation. To reach this goal, correlations between outcomes of BFI-44 Personality Traits and colour preferences inspired by Plutchik's Wheel of Emotions for individual users were analysed. 144 respondents had been surveyed with a questionnaire to enable the analysis. The results were analysed using linear models for different personality traits. Outcomes, together with their quality assessment, are presented in the paper.</t>
  </si>
  <si>
    <t>[Wieloch, Magdalena; Kabzinska, Katarzyna; Filipiak, Dominik; Filipowska, Agata] Poznan Univ Econ &amp; Business, Fac Informat &amp; Elect Econ, Dept Informat Syst, Poznan, Poland</t>
  </si>
  <si>
    <t>Poznan University of Economics &amp; Business</t>
  </si>
  <si>
    <t>Filipowska, A (corresponding author), Poznan Univ Econ &amp; Business, Fac Informat &amp; Elect Econ, Dept Informat Syst, Poznan, Poland.</t>
  </si>
  <si>
    <t>agata.filipowska@ue.poznan.pl</t>
  </si>
  <si>
    <t>Filipowska, Agata/OJS-9656-2025</t>
  </si>
  <si>
    <t>1865-1356</t>
  </si>
  <si>
    <t>978-3-030-04849-5; 978-3-030-04848-8</t>
  </si>
  <si>
    <t>10.1007/978-3-030-04849-5_6</t>
  </si>
  <si>
    <t>BT0TX</t>
  </si>
  <si>
    <t>WOS:000792555500006</t>
  </si>
  <si>
    <t>Hwang, SY; Wei, CP; Liao, YF</t>
  </si>
  <si>
    <t>Hwang, San-Yih; Wei, Chih-Ping; Liao, Yi-Fan</t>
  </si>
  <si>
    <t>Coauthorship networks and academic literature recommendation</t>
  </si>
  <si>
    <t>Academic literature; Coauthorship; Hybrid method; Networks; Recommender system; Social networks; Web 2.0</t>
  </si>
  <si>
    <t>CO-AUTHORSHIP; USER PROFILES; INFORMATION; ACCESS</t>
  </si>
  <si>
    <t>Recommender systems are increasingly touted as an indispensable service of many online stores and websites. Most existing recommendation techniques typically rely on users' historical, long-term interest profiles, derived either explicitly from users' preference ratings or implicitly from their purchasing/browsing history, to arrive at recommendation decisions. In this study, we propose a coauthorship network-based, task-focused literature recommendation technique to meet users' information need specific to a task under investigation and develop three different schemes for estimating the closeness between scholars based on their coauthoring relationships. We empirically evaluate the proposed coauthorship network-based technique. The evaluation results suggest that our proposed technique outperforms the author-based technique across various degrees of content coherence in task profiles. The proposed technique is more effective than the content-based technique when task profiles specified by users are similar in their contents but is less effective otherwise. We further develop a hybrid method that switches between the coauthorship network-based and content-based techniques on the basis of the content coherence of a task profile. It achieves comparable or better recommendation effectiveness, when compared with the pure coauthorship network-based and content-based techniques. (C) 2010 Elsevier B.V. All rights reserved.</t>
  </si>
  <si>
    <t>[Hwang, San-Yih; Liao, Yi-Fan] Natl Sun Yat Sen Univ, Dept Informat Management, Kaohsiung 80424, Taiwan; [Wei, Chih-Ping] Natl Tsing Hua Univ, Inst Serv Sci, Hsinchu 30013, Taiwan</t>
  </si>
  <si>
    <t>National Sun Yat Sen University; National Tsing Hua University</t>
  </si>
  <si>
    <t>Hwang, SY (corresponding author), Natl Sun Yat Sen Univ, Dept Informat Management, Kaohsiung 80424, Taiwan.</t>
  </si>
  <si>
    <t>syhwang@mail.nsysu.edu.tw</t>
  </si>
  <si>
    <t>National Science Council of the Republic of China [NSC 97-2752-H-110-005-PAE, NSC 97-2752-H-007-003-PAE]</t>
  </si>
  <si>
    <t>This work was supported by National Science Council of the Republic of China under the Grants NSC 97-2752-H-110-005-PAE and NSC 97-2752-H-007-003-PAE.</t>
  </si>
  <si>
    <t>JUL-AUG</t>
  </si>
  <si>
    <t>10.1016/j.elerap.2010.01.001</t>
  </si>
  <si>
    <t>614ND</t>
  </si>
  <si>
    <t>WOS:000279065200006</t>
  </si>
  <si>
    <t>Oh, J; Sung, Y; Kim, J; Humayoun, M; Park, YH; Yu, H</t>
  </si>
  <si>
    <t>Liu, J; Chen, J; Xu, G</t>
  </si>
  <si>
    <t>Oh, Jinoh; Sung, Youngchul; Kim, Jinha; Humayoun, Muhammad; Park, Young-Ho; Yu, Hwanjo</t>
  </si>
  <si>
    <t>Time-dependent User Profiling for TV Recommendation</t>
  </si>
  <si>
    <t>SECOND INTERNATIONAL CONFERENCE ON CLOUD AND GREEN COMPUTING / SECOND INTERNATIONAL CONFERENCE ON SOCIAL COMPUTING AND ITS APPLICATIONS (CGC/SCA 2012)</t>
  </si>
  <si>
    <t>2nd International Conference on Cloud and Green Computing / 2nd International Conference on Social Computing and its Applications (CGC/SCA)</t>
  </si>
  <si>
    <t>NOV 01-03, 2012</t>
  </si>
  <si>
    <t>Xiangtan, PEOPLES R CHINA</t>
  </si>
  <si>
    <t>Novel recommendation; Personal Popularity Tendency; EMD</t>
  </si>
  <si>
    <t>TV is one of the most important sources of media content consumption. The large amount of TV channels and programs have overwhelm audiences. It poses difficulties for viewers in finding their preferred programs. Tools for searching TV programs such as TV guides and PreVue channel are designed for general public and do not provide personalized recommendation. Developing an effective recommender system for TV is challenging because a TV is often shared by multiple people (e. g., family members) without login, and thus it is hard to acquire individual TV watch log, which is crucial to build an effective recommendation. Existing recommender systems for social networks or web commerce are devised for handling one user per account, and thus are not proper for TV recommender system. This paper proposes a time-dependent user profiling technique. Particularly, we do time-based analysis in which we first split watch log into certain time slots, and re-merge consecutive time slots by using a clustering technique. Evaluation results show that the proposed method produces higher accuracy than a typical profiling technique.</t>
  </si>
  <si>
    <t>[Oh, Jinoh; Sung, Youngchul; Kim, Jinha; Humayoun, Muhammad; Yu, Hwanjo] Pohang Univ Sci &amp; Technol POSTECH, Dept Sci &amp; Technol, Pohang, South Korea; [Park, Young-Ho] SookMyung Womens Univ, Dept Multimedia Sci, Seoul, South Korea</t>
  </si>
  <si>
    <t>Pohang University of Science &amp; Technology (POSTECH); Sookmyung Women's University</t>
  </si>
  <si>
    <t>Oh, J (corresponding author), Pohang Univ Sci &amp; Technol POSTECH, Dept Sci &amp; Technol, Pohang, South Korea.</t>
  </si>
  <si>
    <t>kurin@postech.ac.kr; ricerise@postech.ac.kr; goldbar@postech.ac.kr; humayoun@postech.ac.kr; yhpark@sookmyung.ac.kr; hwanjoyu@postech.ac.kr</t>
  </si>
  <si>
    <t>; Sung, Youngchul/C-1671-2011</t>
  </si>
  <si>
    <t>, Muhammad Humayoun/0000-0003-0623-6703;</t>
  </si>
  <si>
    <t>IT Consilience Creative Program of MKE and NIPA [C1515-1121-0003]; Next- Generation Information Computing Development Program through the National Research Foundation of Korea(NRF); Ministry of Education, Science and Technology [2012M3C4A7033344]</t>
  </si>
  <si>
    <t>IT Consilience Creative Program of MKE and NIPA; Next- Generation Information Computing Development Program through the National Research Foundation of Korea(NRF)(National Research Foundation of Korea); Ministry of Education, Science and Technology(Ministry of Education, Science &amp; Technology (MEST), Republic of Korea)</t>
  </si>
  <si>
    <t>This work was supported by IT Consilience Creative Program of MKE and NIPA (C1515-1121-0003), and was also supported by Next- Generation Information Computing Development Program through the National Research Foundation of Korea(NRF) funded by the Ministry of Education, Science and Technology (2012M3C4A7033344)</t>
  </si>
  <si>
    <t>978-0-7695-4864-7; 978-1-4673-3027-5</t>
  </si>
  <si>
    <t>10.1109/CGC.2012.119</t>
  </si>
  <si>
    <t>Computer Science, Hardware &amp; Architecture; Computer Science, Information Systems; Computer Science, Theory &amp; Methods</t>
  </si>
  <si>
    <t>BEZ10</t>
  </si>
  <si>
    <t>WOS:000318812400116</t>
  </si>
  <si>
    <t>Farnadi, G; Bach, SH; Moens, MF; Getoor, L; De Cock, M</t>
  </si>
  <si>
    <t>Farnadi, Golnoosh; Bach, Stephen H.; Moens, Marie-Francine; Getoor, Lise; De Cock, Martine</t>
  </si>
  <si>
    <t>Soft quantification in statistical relational learning</t>
  </si>
  <si>
    <t>MACHINE LEARNING</t>
  </si>
  <si>
    <t>25th International Conference on Inductive Logic Programming (ILP)</t>
  </si>
  <si>
    <t>AUG 20-22, 2015</t>
  </si>
  <si>
    <t>Kyoto Univ, Kyoto, JAPAN</t>
  </si>
  <si>
    <t>Japanese Soc Artificial Intelligence,Artificial Intelligence,Machine Learning,Support Ctr Adv Telecommunicat Technol Res Fdn,Inoue Fdn Sci,SONAR Ltd,Video Res Ltd,Graduate Univ Adv Studies,Natl Inst Informat,Tokyo Univ Sci</t>
  </si>
  <si>
    <t>Kyoto Univ</t>
  </si>
  <si>
    <t>We present a new statistical relational learning (SRL) framework that supports reasoning with soft quantifiers, such as most and a few. We define the syntax and the semantics of this language, which we call , and present a most probable explanation inference algorithm for it. To the best of our knowledge, is the first SRL framework that combines soft quantifiers with first-order logic rules for modelling uncertain relational data. Our experimental results for two real-world applications, link prediction in social trust networks and user profiling in social networks, demonstrate that the use of soft quantifiers not only allows for a natural and intuitive formulation of domain knowledge, but also improves inference accuracy.</t>
  </si>
  <si>
    <t>[Farnadi, Golnoosh] Univ Ghent, Dept Appl Math Comp Sci &amp; Stat, Ghent, Belgium; [Farnadi, Golnoosh; Moens, Marie-Francine] Katholieke Univ Leuven, Dept Comp Sci, Leuven, Belgium; [Bach, Stephen H.] Stanford Univ, Dept Comp Sci, Stanford, CA 94305 USA; [Getoor, Lise] Univ Calif Santa Cruz, Stat Relat Learning Grp, Santa Cruz, CA 95064 USA; [De Cock, Martine] Univ Washington Tacoma, Ctr Data Sci, Tacoma, WA USA</t>
  </si>
  <si>
    <t>Ghent University; KU Leuven; Stanford University</t>
  </si>
  <si>
    <t>Farnadi, G (corresponding author), Univ Ghent, Dept Appl Math Comp Sci &amp; Stat, Ghent, Belgium.;Farnadi, G (corresponding author), Katholieke Univ Leuven, Dept Comp Sci, Leuven, Belgium.</t>
  </si>
  <si>
    <t>golnoosh.farnadi@ugent.be; bach@cs.stanford.edu; sien.moens@cs.kuleuven.be; getoor@soe.ucsc.edu; mdecock@uw.edu</t>
  </si>
  <si>
    <t>De Cock, Martine/B-8567-2009; Moens, Marie-Francine/B-8378-2014</t>
  </si>
  <si>
    <t>De Cock, Martine/0000-0001-7917-0771; Farnadi, Golnoosh/0000-0003-4504-8668;</t>
  </si>
  <si>
    <t>SBO-program of the Flemish Agency for Innovation by Science and Technology (IWT-SBO) [110067]; NSF [IIS1218488]</t>
  </si>
  <si>
    <t>SBO-program of the Flemish Agency for Innovation by Science and Technology (IWT-SBO); NSF(National Science Foundation (NSF))</t>
  </si>
  <si>
    <t>This work was funded in part by the SBO-program of the Flemish Agency for Innovation by Science and Technology (IWT-SBO-Nr. 110067) and NSF Grant IIS1218488. Any opinions, findings, and conclusions or recommendations expressed in this material are those of the author(s) and do not necessarily reflect the views of the NSF.</t>
  </si>
  <si>
    <t>0885-6125</t>
  </si>
  <si>
    <t>1573-0565</t>
  </si>
  <si>
    <t>MACH LEARN</t>
  </si>
  <si>
    <t>Mach. Learn.</t>
  </si>
  <si>
    <t>10.1007/s10994-017-5647-3</t>
  </si>
  <si>
    <t>Science Citation Index Expanded (SCI-EXPANDED); Conference Proceedings Citation Index - Science (CPCI-S)</t>
  </si>
  <si>
    <t>FN3EW</t>
  </si>
  <si>
    <t>WOS:000415881500005</t>
  </si>
  <si>
    <t>Ma, X; Lei, XJ; Zhao, GS; Qian, XM</t>
  </si>
  <si>
    <t>Ma, Xiang; Lei, Xiaojiang; Zhao, Guoshuai; Qian, Xueming</t>
  </si>
  <si>
    <t>Rating prediction by exploring user's preference and sentiment</t>
  </si>
  <si>
    <t>Data mining; Recommender system; Reviews; User interest; User sentiment</t>
  </si>
  <si>
    <t>SEARCH; NMF</t>
  </si>
  <si>
    <t>With the development of e-commerce, shopping on-line is becoming more and more popular. The explosion of reviews have led to a serious problem, information overloading. How to mine user interest from these reviews and understand users' preference is crucial for us. Traditional recommender systems mainly use structured data to mine user interest preference, such as product category, user's tag, and the other social factors. In this paper, we firstly use LDA+Word2vec model to mine user interest. Then, we propose a social user sentimental measurement approach. At last, three factors, including user topic, user sentiment and interpersonal influence, are fused into a recommender system (RS) based on probabilistic matrix factorization. We conduct a series of experiments on Yelp dataset, and experimental results show the proposed approach outperforms the existing approaches.</t>
  </si>
  <si>
    <t>[Ma, Xiang] Changan Univ, Sch Informat Engn, Xian, Shaanxi, Peoples R China; [Lei, Xiaojiang; Zhao, Guoshuai; Qian, Xueming] Xi An Jiao Tong Univ, Minist Educ, Key Lab Intelligent Networks &amp; Network Secur, Xian 710049, Shaanxi, Peoples R China</t>
  </si>
  <si>
    <t>Chang'an University; Xi'an Jiaotong University</t>
  </si>
  <si>
    <t>Qian, XM (corresponding author), Xi An Jiao Tong Univ, Minist Educ, Key Lab Intelligent Networks &amp; Network Secur, Xian 710049, Shaanxi, Peoples R China.</t>
  </si>
  <si>
    <t>maxiangmail@163.com; xiaolei3439@stu.xjtu.edu.cn; zgs2012@stu.xjtu.edu.cn; qianxm@mail.xjtu.edu.cn</t>
  </si>
  <si>
    <t>Zhao, Guoshuai/AAN-1271-2020; Qian, Xueming/E-9867-2015</t>
  </si>
  <si>
    <t>Zhao, Guoshuai/0000-0003-4392-8450;</t>
  </si>
  <si>
    <t>NSFC [61572083]; China Fundamental Research Funds for the Central Universities [310824153508, 310824173401]</t>
  </si>
  <si>
    <t>NSFC(National Natural Science Foundation of China (NSFC)); China Fundamental Research Funds for the Central Universities(Fundamental Research Funds for the Central Universities)</t>
  </si>
  <si>
    <t>This work is partly supported by the NSFC under 61572083, the China Fundamental Research Funds for the Central Universities under Grant 310824153508 and 310824173401 (Chang'an University).</t>
  </si>
  <si>
    <t>10.1007/s11042-017-4550-z</t>
  </si>
  <si>
    <t>FZ9JV</t>
  </si>
  <si>
    <t>WOS:000427927700001</t>
  </si>
  <si>
    <t>Eliciting Mathematics Interest: New Directions for Context Personalization and Example Choice</t>
  </si>
  <si>
    <t>Choice; mathematics; middle school; personalization; situational interest</t>
  </si>
  <si>
    <t>SITUATIONAL INTEREST; SEDUCTIVE DETAILS; INTRINSIC MOTIVATION; INDIVIDUAL INTEREST; PERFORMANCE; COMPUTER; BELIEFS; ADOLESCENCE; INSTRUCTION; ACHIEVEMENT</t>
  </si>
  <si>
    <t>Building on common assumptions in theories of interest and mathematics education, this experimental study examined the effect of context personalization based on individual preferences, group personalization, and example choice with preselected popular examples on middle school students' situational interest and performance in mathematics. Participants (N = 713) learned a principle in probability calculus in one of four instructional conditions. Individual interest and perceived competence were examined as moderators on triggered and maintained situational interest, perceived value, task effort, and performance. Results showed that example choice triggered situational interest in the learning activity and that context personalization influenced perceived value and effort, contingent on students' perceived competence and individual interest in mathematics. We discuss results in relation to previous findings on interest-based interventions and the theoretical and practical implications.</t>
  </si>
  <si>
    <t>[Hogheim, Sigve] Western Norway Univ Appl Sci, Sogndal, Norway; [Reber, Rolf] Univ Oslo, Oslo, Norway</t>
  </si>
  <si>
    <t>Western Norway University of Applied Sciences; University of Oslo</t>
  </si>
  <si>
    <t>Hogheim, S (corresponding author), Western Norway Univ Appl Sci, Sogn &amp; Fjordane Univ Coll, Dept Teacher Educ &amp; Sports, Postboks 133, NO-6851 Sogndal, Norway.</t>
  </si>
  <si>
    <t>sigve.hogheim@hisf.no</t>
  </si>
  <si>
    <t>; Reber, Rolf/G-6510-2011</t>
  </si>
  <si>
    <t>Høgheim, Sigve/0000-0003-2967-0588; Reber, Rolf/0000-0002-6669-7109</t>
  </si>
  <si>
    <t>10.1080/00220973.2016.1268085</t>
  </si>
  <si>
    <t>FD5DD</t>
  </si>
  <si>
    <t>WOS:000407550200004</t>
  </si>
  <si>
    <t>Zhang, LM; Fu, SH; Jiang, SY; Bao, R; Zeng, YF</t>
  </si>
  <si>
    <t>Zhang, Liming; Fu, Sihui; Jiang, Shengyi; Bao, Rui; Zeng, Yunfeng</t>
  </si>
  <si>
    <t>A Fusion Model of Multi-data Sources for User Profiling in Social Media</t>
  </si>
  <si>
    <t>User profiling; Social media; Multi-data sources; Fusion model</t>
  </si>
  <si>
    <t>User profiling in social media plays an important role in different applications. Most of the existing approaches for user profiling are based on user-generated messages, which is not sufficient for inferring user attributes. With the continuous accumulation of data in social media, integrating multi-data sources has become the inexorable trend for precise user profiling. In this paper, we take advantage of text messages, user metadata, followee information and network representations. In order to integrate seamlessly multi-data sources, we propose a novel fusion model that effectively captures the complementarity and diversity of different sources. In addition, we address the problem of friendship-based network from previous studies and introduce celebrity ties which enrich the social network and boost the connectivity of different users. Experimental results show that our method outperforms several state-of-the-art methods on a real-world dataset.</t>
  </si>
  <si>
    <t>[Zhang, Liming; Fu, Sihui; Jiang, Shengyi; Bao, Rui; Zeng, Yunfeng] Guangdong Univ Foreign Studies, Sch Informat Sci &amp; Technol, Guangzhou, Guangdong, Peoples R China; [Jiang, Shengyi] Engn Res Ctr Cyberspace Content Secur Guangdong P, Guangzhou, Guangdong, Peoples R China</t>
  </si>
  <si>
    <t>Guangdong University of Foreign Studies</t>
  </si>
  <si>
    <t>Jiang, SY (corresponding author), Guangdong Univ Foreign Studies, Sch Informat Sci &amp; Technol, Guangzhou, Guangdong, Peoples R China.;Jiang, SY (corresponding author), Engn Res Ctr Cyberspace Content Secur Guangdong P, Guangzhou, Guangdong, Peoples R China.</t>
  </si>
  <si>
    <t>zhangliming134@foxmail.com; jiangshengyi@163.com</t>
  </si>
  <si>
    <t>National Natural Science Foundation of China [61572145]; Major Projects of Guangdong Education Department for Foundation Research and Applied Research [2017KZDXM031]</t>
  </si>
  <si>
    <t>National Natural Science Foundation of China(National Natural Science Foundation of China (NSFC)); Major Projects of Guangdong Education Department for Foundation Research and Applied Research</t>
  </si>
  <si>
    <t>This work was supported by the National Natural Science Foundation of China (No. 61572145) and the Major Projects of Guangdong Education Department for Foundation Research and Applied Research (No. 2017KZDXM031). The authors would like to thank the anonymous reviewers for their valuable comments and suggestions.</t>
  </si>
  <si>
    <t>10.1007/978-3-319-99501-4_1</t>
  </si>
  <si>
    <t>WOS:000490899300001</t>
  </si>
  <si>
    <t>Qian, LF; Wang, AR; Wang, Y; Huang, YH; Wang, J; Lin, HF</t>
  </si>
  <si>
    <t>Huang, X; Jiang, J; Zhao, D; Feng, Y; Hong, Y</t>
  </si>
  <si>
    <t>Qian, Lingfei; Wang, Anran; Wang, Yan; Huang, Yuhang; Wang, Jian; Lin, Hongfei</t>
  </si>
  <si>
    <t>First Place Solution for NLPCC 2017 Shared Task Social Media User Modeling</t>
  </si>
  <si>
    <t>NATURAL LANGUAGE PROCESSING AND CHINESE COMPUTING, NLPCC 2017</t>
  </si>
  <si>
    <t>6th CCF International Conference on Natural Language Processing and Chinese Computing (NLPCC)</t>
  </si>
  <si>
    <t>NOV 08-12, 2017</t>
  </si>
  <si>
    <t>Dalian Univ Technol, Dalian, PEOPLES R CHINA</t>
  </si>
  <si>
    <t>China Comp Federat,State Key Lab Digital Publishing Technol,Lecture Notes Comp Sci,Springer,ACTA Scientiarum Naturalium Univ Pekinensis,Global Tone Commun Technol,WeChat,Microsoft,Baidu,Vpark,Gridsum,Toutiao,Sogou,Naturali,XINHUAZHIYUN,Intel Corp,NiuTrans,Lenovo</t>
  </si>
  <si>
    <t>Dalian Univ Technol</t>
  </si>
  <si>
    <t>Location prediction; Gender prediction; User modeling; Collaborative filtering; Classification algorithm</t>
  </si>
  <si>
    <t>With the popularity of mobile Internet, many social networking applications provide users with the function to share their personal information. It is of high commercial value to leverage the users' personal information such as tweets, preferences and locations for user profiling. There are two subtasks working in user profiling. Subtask one is to predict the Point-of-Interest (POI) a user will check in at. We adopted a combination of multiple approach results, including user-based collaborative filtering (CF) and social-based CF to predict the locations. Subtask two is to predict the users' gender. We divided the users into two groups, depending on whether the user has posted or not. We treat this task subtask as a classification task. Our results achieved first place in both subtasks.</t>
  </si>
  <si>
    <t>[Qian, Lingfei; Wang, Anran; Wang, Yan; Huang, Yuhang; Wang, Jian; Lin, Hongfei] Dalian Univ Technol, Dalian 116023, Liaoning, Peoples R China</t>
  </si>
  <si>
    <t>Wang, J (corresponding author), Dalian Univ Technol, Dalian 116023, Liaoning, Peoples R China.</t>
  </si>
  <si>
    <t>wangjian@dlut.edu.cn</t>
  </si>
  <si>
    <t>Wang, Anran/L-5829-2017</t>
  </si>
  <si>
    <t>National Key Research Development Program of China [2016YFB1001103]; Natural Science Foundation of China [61572098, 61572102]</t>
  </si>
  <si>
    <t>National Key Research Development Program of China(National Key Research &amp; Development Program of China); Natural Science Foundation of China(National Natural Science Foundation of China (NSFC))</t>
  </si>
  <si>
    <t>This research is supported by the National Key Research Development Program of China (No. 2016YFB1001103) and Natural Science Foundation of China (No. 61572098, 61572102).</t>
  </si>
  <si>
    <t>978-3-319-73618-1; 978-3-319-73617-4</t>
  </si>
  <si>
    <t>10.1007/978-3-319-73618-1_6</t>
  </si>
  <si>
    <t>BO0JM</t>
  </si>
  <si>
    <t>WOS:000491315000006</t>
  </si>
  <si>
    <t>Sun, LH; Guo, JP; Zhu, YL</t>
  </si>
  <si>
    <t>Sun, Lihua; Guo, Junpeng; Zhu, Yanlin</t>
  </si>
  <si>
    <t>A multi-aspect user-interest model based on sentiment analysis and uncertainty theory for recommender systems</t>
  </si>
  <si>
    <t>ELECTRONIC COMMERCE RESEARCH</t>
  </si>
  <si>
    <t>Recommender system; Sentiment analysis; Uncertainty theory; Product reviews; User interest</t>
  </si>
  <si>
    <t>PRODUCT; STATE; WEB</t>
  </si>
  <si>
    <t>This work presents a new multi-aspect user-interest model for recommender systems to improve recommendation and prediction accuracy. We introduce the overall user satisfaction for a product to build a user-interest profile by computing the user-interest levels from multi-aspect reviews. A domain emotional dictionary is built to overcome the gap in quantity between negative and positive words for sentiment polarity analysis. A sentiment analysis model is designed to characterize the users' sentiment polarity and strength based on uncertainty theory and the domain emotional dictionary. Accordingly, a new multi-aspect user-interest model is proposed by considering the sentiment analysis model with the user-interest profile. Then, our proposed model is applied to recommender systems and experimentally tested on five products of different categories from three e-commerce websites. Our model not only outperforms the traditional and state-of-the-art models on rating prediction tasks but also improves the recommendation accuracy in multiple domains.</t>
  </si>
  <si>
    <t>[Sun, Lihua; Guo, Junpeng; Zhu, Yanlin] Tianjin Univ, Coll Management Econ, Tianjin 300072, Peoples R China</t>
  </si>
  <si>
    <t>Tianjin University</t>
  </si>
  <si>
    <t>Guo, JP (corresponding author), Tianjin Univ, Coll Management Econ, Tianjin 300072, Peoples R China.</t>
  </si>
  <si>
    <t>guojp@tju.edu.cn</t>
  </si>
  <si>
    <t>sun, lihua/KVX-9892-2024</t>
  </si>
  <si>
    <t>National Natural Science Foundation of China [71671121]</t>
  </si>
  <si>
    <t>This work is supported by the National Natural Science Foundation of China (Grant No. 71671121).</t>
  </si>
  <si>
    <t>1389-5753</t>
  </si>
  <si>
    <t>1572-9362</t>
  </si>
  <si>
    <t>ELECTRON COMMER RES</t>
  </si>
  <si>
    <t>Electron. Commer. Res.</t>
  </si>
  <si>
    <t>10.1007/s10660-018-9319-6</t>
  </si>
  <si>
    <t>Business; Management</t>
  </si>
  <si>
    <t>OH9EB</t>
  </si>
  <si>
    <t>WOS:000582891600008</t>
  </si>
  <si>
    <t>Liang, TC; Pi, YG</t>
  </si>
  <si>
    <t>Wang, YP; Zhang, QF; Liu, HL; Niu, ZM</t>
  </si>
  <si>
    <t>Liang, Tiancai; Pi, Youguo</t>
  </si>
  <si>
    <t>On spam detection based on cognitive pattern recognition</t>
  </si>
  <si>
    <t>CIS WORKSHOPS 2007: INTERNATIONAL CONFERENCE ON COMPUTATIONAL INTELLIGENCE AND SECURITY WORKSHOPS</t>
  </si>
  <si>
    <t>International Conference on Computational Intelligence and Security</t>
  </si>
  <si>
    <t>DEC 15-19, 2007</t>
  </si>
  <si>
    <t>Harbin, PEOPLES R CHINA</t>
  </si>
  <si>
    <t>Harbin Inst Technol,Guangdong Univ Technol,IEEE Hong Kong, Computat Intelligence Chapter,Hong Kong Baptist Univ,Xidian Univ,IEEE Comp Soc, Press</t>
  </si>
  <si>
    <t>A spam detection method based on cognitive pattern recognition, had been proposed. The connection between Email category and cognition of Email user interest within life and work, had been analyzed Under the guidance of cognitive pattern recognition theory, the mechanism of spam detection, based on intelligent cognition of Email user interest within life and work, had been discussed. Then the spam detection algorithm and its concrete implementation was given. Experimental results demonstrate that the spam detection algorithm has a good learning ability, scalability, and a good ability to achieve high recognition accuracy.</t>
  </si>
  <si>
    <t>[Liang, Tiancai; Pi, Youguo] S China Univ Technol, Coll Automat Sci &amp; Engn, Guangzhou 510641, Peoples R China</t>
  </si>
  <si>
    <t>South China University of Technology</t>
  </si>
  <si>
    <t>Liang, TC (corresponding author), S China Univ Technol, Coll Automat Sci &amp; Engn, Guangzhou 510641, Peoples R China.</t>
  </si>
  <si>
    <t>liang.tc@mail.scut.edu.cn; auygpi@scut.edu.cn</t>
  </si>
  <si>
    <t>978-0-7695-3073-4</t>
  </si>
  <si>
    <t>10.1109/CIS.Workshops.2007.103</t>
  </si>
  <si>
    <t>Computer Science, Artificial Intelligence; Engineering, Electrical &amp; Electronic; Imaging Science &amp; Photographic Technology</t>
  </si>
  <si>
    <t>Computer Science; Engineering; Imaging Science &amp; Photographic Technology</t>
  </si>
  <si>
    <t>BHN69</t>
  </si>
  <si>
    <t>WOS:000254556200033</t>
  </si>
  <si>
    <t>Parslow, RA; Jorm, AF; Christensen, H; Mackinnon, A</t>
  </si>
  <si>
    <t>An instrument to measure engagement in life: Factor analysis and associations with sociodemographic, health and cognition measures</t>
  </si>
  <si>
    <t>GERONTOLOGY</t>
  </si>
  <si>
    <t>mental activities; RIASEC activity list; personality attributes; cognitive skills</t>
  </si>
  <si>
    <t>OLDER; PERSONALITY; PERFORMANCE; INTERESTS; STYLE; LOSE</t>
  </si>
  <si>
    <t>Background: It has been proposed that active engagement with life may protect against cognitive decline. However, existing instruments for measuring life engagement have covered limited domains. Objective: To present a new instrument to measure engagement with life; the RIASEC Activities List draws on activities categorised according to interest categories previously developed by Holland: Realistic, Investigative, Artistic, Social, Enterprising and Conventional (RIASEC). Methods: Participants in a longitudinal, community-based survey were drawn from 3 age groups: 2,404 participants aged 20-24; 2,530 aged 40-44, and 2,551 aged 60-64 years. They provided information on which of 54 selected activities they had performed in the 6 months prior to their survey interview. Other information obtained from participants included measures of sociodemographic characteristics, personality attributes and mental and physical health. Two measures of cognition were also examined. Analyses were conducted separately for men and women in each of the 3 age groups. Results: Confirmatory factor analyses identified six scales of activity types corresponding to Holland's six interest categories. The number of activities of any type undertaken in the past 6 months was significantly associated with cognitive measures, better physical health, and better mental health although these findings varied for men and women across the 3 age groups. Further, for both men and women in all age groups, performing activities of any type was associated with having higher extraversion and mastery scores, and lower levels of neuroticism. Associations were also found between performing specific types of activities and cognitive measures. Conclusions: This instrument has the potential to identify more clearly types of activities that may offer cognitive benefits and warrants further testing in longitudinal studies. Copyright (c) 2006 S. Karger AG, Basel.</t>
  </si>
  <si>
    <t>Univ Melbourne, Orygen Res Ctr, Parkville, Vic 3052, Australia; Australian Natl Univ, Mental Hlth Res Ctr, Canberra, ACT, Australia</t>
  </si>
  <si>
    <t>University of Melbourne; Orygen, The National Centre of Excellence in Youth Mental Health; Australian National University</t>
  </si>
  <si>
    <t>Parslow, RA (corresponding author), Univ Melbourne, Orygen Res Ctr, Locked Bag 10, Parkville, Vic 3052, Australia.</t>
  </si>
  <si>
    <t>rparslow@unimelb.edu.au</t>
  </si>
  <si>
    <t>Christensen, Helen/F-5053-2012; Jorm, Anthony/B-5555-2009; Mackinnon, Andrew/A-4901-2008</t>
  </si>
  <si>
    <t>Christensen, Helen/0000-0003-0435-2065; Jorm, Anthony/0000-0002-1424-4116; Mackinnon, Andrew/0000-0003-0831-9801</t>
  </si>
  <si>
    <t>KARGER</t>
  </si>
  <si>
    <t>ALLSCHWILERSTRASSE 10, CH-4009 BASEL, SWITZERLAND</t>
  </si>
  <si>
    <t>0304-324X</t>
  </si>
  <si>
    <t>1423-0003</t>
  </si>
  <si>
    <t>Gerontology</t>
  </si>
  <si>
    <t>10.1159/000091829</t>
  </si>
  <si>
    <t>Geriatrics &amp; Gerontology</t>
  </si>
  <si>
    <t>038DC</t>
  </si>
  <si>
    <t>WOS:000237197700008</t>
  </si>
  <si>
    <t>Gasparetti, F</t>
  </si>
  <si>
    <t>Gasparetti, Fabio</t>
  </si>
  <si>
    <t>Personalization and Context-awareness in Social Local Search: State-of-the-art and Future Research Challenges</t>
  </si>
  <si>
    <t>Local search; Context-awareness; Social network services; Recommender systems; Personalization; User profiling</t>
  </si>
  <si>
    <t>RECOMMENDER SYSTEMS; GPS; LOCATIONS; MODEL</t>
  </si>
  <si>
    <t>Location-based services (LBS) are now the platforms for aggregating relevant information about users and understanding their mobile behavior and preferences based on the location histories. The increasing availability of large amounts of spatio-temporal data brings us opportunities and challenges to automatically discover valuable knowledge. While context-aware properties quickly became the key of the success of these pervasive applications, information related to user preferences and social signals still lack of adequate capitalization. Local search in LBSs is a peculiar service where recent and current interests, the network of explicit and implicit social interactions between users can be combined for effectively performing fine-tuned and personalized recommendations of points of interest. In this article we present the various and peculiar aspects of local search in mobile scenarios. Then we explore the added value of personalization and the benefits of considering social signals, summarizing open challenges and emerging technologies. (C) 2016 Elsevier B.V. All rights reserved.</t>
  </si>
  <si>
    <t>[Gasparetti, Fabio] Roma Tre Univ, Via Vasca Navale 79, I-00146 Rome, Italy</t>
  </si>
  <si>
    <t>Gasparetti, F (corresponding author), Roma Tre Univ, Via Vasca Navale 79, I-00146 Rome, Italy.</t>
  </si>
  <si>
    <t>gaspare@dia.uniroma3.it</t>
  </si>
  <si>
    <t>Gasparetti, Fabio/0000-0003-0263-531X</t>
  </si>
  <si>
    <t>10.1016/j.pmcj.2016.04.004</t>
  </si>
  <si>
    <t>EZ6KK</t>
  </si>
  <si>
    <t>WOS:000404826600013</t>
  </si>
  <si>
    <t>Khodorchenko, M; Butakov, N</t>
  </si>
  <si>
    <t>Klimova, A; Bilyatdinova, A; Harmandaris, V; Bilas, A; Boukhanovsky, A</t>
  </si>
  <si>
    <t>Khodorchenko, Maria; Butakov, Nikolay</t>
  </si>
  <si>
    <t>Developing an approach for lifestyle identification based on explicit and implicit features from social media</t>
  </si>
  <si>
    <t>7TH INTERNATIONAL YOUNG SCIENTISTS CONFERENCE ON COMPUTATIONAL SCIENCE, YSC2018</t>
  </si>
  <si>
    <t>7th Annual International Young Scientists Conference on Computational Science (YSC)</t>
  </si>
  <si>
    <t>JUL 02-06, 2018</t>
  </si>
  <si>
    <t>Heraklion, GREECE</t>
  </si>
  <si>
    <t>Univ Amsterdam,ITMO Univ</t>
  </si>
  <si>
    <t>Social Media; Topic Modelling; Lifestyle Assessment; Activity Extraction</t>
  </si>
  <si>
    <t>Due to the rapid development of social networks and their increasing availability from almost any device and platform, they have became an essential part of daily life for most of the users all over the world. Thus, comes the natural assumption that the way of how user prefers to live offline affects the content of his/her internet profile. Having a possibility to evaluate and interpret the available set of features in order to get the notion of the user preferences in daily actions will be beneficial for many stakeholders. When trying to search for the features that define lifestyle it is vital to formalize this phenomenon in terms of social media. Here, we assess lifestyle as the set of specific user interests, descriptions of direct actions (activities) and their degree of manifestation for a particular user. Such definition, combined with division on 5 activity domains (sport and health, culture and religion, work and family, entertainments and leisure, general activities), makes possible to introduce the way to measure lifestyle as the set of performed activities that can be uncovered using topic modeling. In order to measure lifestyle, the paper proposes a two - level topic modeling approach of extraction, where the crucial part of the approach is to ensure the quality of resulting topics and to choose their proper number. The latter requires a comparative study of topic quality assessment methods for further usage, which has been done in the paper. (C) 2018 The Authors. Published by Elsevier B.V. This is an open access article under the CC BY-NC-ND license (https://creativecommons.org/licenses/by/nc-nd/3.0/) Peer-review under responsibility of the scientific committee of the 7th International Young Scientist Conference on Computational Science.</t>
  </si>
  <si>
    <t>[Khodorchenko, Maria; Butakov, Nikolay] ITMO Univ, 49 Kronverksky Pr, St Petersurg 197101, Russia</t>
  </si>
  <si>
    <t>Khodorchenko, M (corresponding author), ITMO Univ, 49 Kronverksky Pr, St Petersurg 197101, Russia.</t>
  </si>
  <si>
    <t>Ministry of Education and Science of the Russian Federation [14.578.21.0196, 03.10.2016, RFMEFI57816X0196]</t>
  </si>
  <si>
    <t>Ministry of Education and Science of the Russian Federation(Ministry of Education and Science, Russian Federation)</t>
  </si>
  <si>
    <t>This research financially supported by Ministry of Education and Science of the Russian Federation, Agreement #14.578.21.0196 (03.10.2016). Unique Identification RFMEFI57816X0196.</t>
  </si>
  <si>
    <t>10.1016/j.procs.2018.08.262</t>
  </si>
  <si>
    <t>BP3KG</t>
  </si>
  <si>
    <t>WOS:000547808300027</t>
  </si>
  <si>
    <t>Guo, HJ; Chen, YF</t>
  </si>
  <si>
    <t>Guo, Hongjian; Chen, Yifei</t>
  </si>
  <si>
    <t>User Interest Detecting by Text Mining Technology for Microblog Platform</t>
  </si>
  <si>
    <t>ARABIAN JOURNAL FOR SCIENCE AND ENGINEERING</t>
  </si>
  <si>
    <t>User interest; Microblog; Text mining; Topic model; Timestamp</t>
  </si>
  <si>
    <t>TOPIC MODEL; SINA WEIBO; TWITTER; RECOMMENDATION; NETWORKS; COMMUNICATION; WIKIPEDIA; PLSA</t>
  </si>
  <si>
    <t>In recent years, the popularity of the microblog platform has grown rapidly and through which many users are able to communicate. In this paper, we concentrate on automatic user interest detection, which is an important issue in personal information recommendation. Firstly, a dynamic topic model for user interest detection is presented. In this model, topics can be detected in different timestamps and the words with highest probability in each topic can be regarded as the user interests. Secondly, an algorithm for detecting user interest is proposed. The key ideas of our algorithm lie in that topics with the highest probability should be obtained in advance, and then, the words with highest probability in each topic can be extracted as user interests. Particularly, to promote performance of the topic model we present a density-based optimal topic number selection algorithm. Finally, performance evaluation experiments are conducted where a dataset is crawled from Sina Weibo from 6 months. The experimental results demonstrate that (1) our proposed algorithm can dynamically detect user interest with time changing and (2) user interest detection accuracy of our proposed method is higher than other methods.</t>
  </si>
  <si>
    <t>[Guo, Hongjian] Nanjing Audit Univ, Sch Management Sci &amp; Engn, Nanjing 211815, Jiangsu, Peoples R China; [Guo, Hongjian; Chen, Yifei] Nanjing Audit Univ, Sch Technol, Nanjing 211815, Jiangsu, Peoples R China</t>
  </si>
  <si>
    <t>Nanjing Audit University; Nanjing Audit University</t>
  </si>
  <si>
    <t>Guo, HJ (corresponding author), Nanjing Audit Univ, Sch Management Sci &amp; Engn, Nanjing 211815, Jiangsu, Peoples R China.;Guo, HJ (corresponding author), Nanjing Audit Univ, Sch Technol, Nanjing 211815, Jiangsu, Peoples R China.</t>
  </si>
  <si>
    <t>hoongjianguo@sina.com</t>
  </si>
  <si>
    <t>National Natural Science Foundation of China [61202135, 71572080, 61170105]; Natural Science Foundation of Jiangsu Province [BK2012472]; Humanities and Social Science Research Project of Jiangsu Province Education Department [2013SJB870005]</t>
  </si>
  <si>
    <t>National Natural Science Foundation of China(National Natural Science Foundation of China (NSFC)); Natural Science Foundation of Jiangsu Province(Natural Science Foundation of Jiangsu Province); Humanities and Social Science Research Project of Jiangsu Province Education Department</t>
  </si>
  <si>
    <t>This work is supported by the National Natural Science Foundation of China (Nos. 61202135, 71572080, 61170105), the Natural Science Foundation of Jiangsu Province (No. BK2012472) and Humanities and Social Science Research Project of Jiangsu Province Education Department (No. 2013SJB870005).</t>
  </si>
  <si>
    <t>2193-567X</t>
  </si>
  <si>
    <t>2191-4281</t>
  </si>
  <si>
    <t>ARAB J SCI ENG</t>
  </si>
  <si>
    <t>Arab. J. Sci. Eng.</t>
  </si>
  <si>
    <t>10.1007/s13369-016-2137-z</t>
  </si>
  <si>
    <t>DQ1FH</t>
  </si>
  <si>
    <t>WOS:000378946400032</t>
  </si>
  <si>
    <t>Ma, ZY; Dou, ZC; Zhu, YT; Zhong, HX; Wen, JR</t>
  </si>
  <si>
    <t>Ma, Zhengyi; Dou, Zhicheng; Zhu, Yutao; Zhong, Hanxun; Wen, Ji-Rong</t>
  </si>
  <si>
    <t>One Chatbot Per Person: Creating Personalized Chatbots based on Implicit User Profiles</t>
  </si>
  <si>
    <t>Personalized Chatbots; Response Generation; Implicit User Profile</t>
  </si>
  <si>
    <t>Personalized chatbots focus on endowing chatbots with a consistent personality to behave like real users, give more informative responses, and further act as personal assistants. Existing personalized approaches tried to incorporate several text descriptions as explicit user profiles. However, the acquisition of such explicit profiles is expensive and time-consuming, thus being impractical for large-scale real-world applications. Moreover, the restricted predefined profile neglects the language behavior of a real user and cannot be automatically updated together with the change of user interests. In this paper, we propose to learn implicit user profiles automatically from large-scale user dialogue history for building personalized chatbots. Specifically, leveraging the benefits of Transformer on language understanding, we train a personalized language model to construct a general user profile from the user's historical responses. To highlight the relevant historical responses to the input post, we further establish a key-value memory network of historical post-response pairs, and build a dynamic post-aware user profile. The dynamic profile mainly describes what and how the user has responded to similar posts in history. To explicitly utilize users' frequently used words, we design a personalized decoder to fuse two decoding strategies, including generating a word from the generic vocabulary and copying one word from the user's personalized vocabulary. Experiments on two real-world datasets show the significant improvement of our model compared with existing methods.</t>
  </si>
  <si>
    <t>[Dou, Zhicheng] Renmin Univ China, Gaoling Sch Artificial Intelligence, Beijing, Peoples R China; [Ma, Zhengyi; Zhong, Hanxun] Renmin Univ China, Sch Informat, Beijing, Peoples R China; [Ma, Zhengyi; Dou, Zhicheng; Zhong, Hanxun; Wen, Ji-Rong] Beijing Key Lab Big Data Management &amp; Anal Method, Beijing, Peoples R China; [Wen, Ji-Rong] MOE, Key Lab Data Engn &amp; Knowledge Engn, Beijing, Peoples R China; [Zhu, Yutao] Univ Montreal, Montreal, PQ, Canada</t>
  </si>
  <si>
    <t>Renmin University of China; Renmin University of China; Universite de Montreal</t>
  </si>
  <si>
    <t>Ma, ZY (corresponding author), Renmin Univ China, Sch Informat, Beijing, Peoples R China.;Ma, ZY (corresponding author), Beijing Key Lab Big Data Management &amp; Anal Method, Beijing, Peoples R China.</t>
  </si>
  <si>
    <t>zymaa@ruc.edu.cn; dou@ruc.edu.cn; yutao.zhu@umontreal.ca; hanxun_zhong@ruc.edu.cn; jirong.wen@gmail.com</t>
  </si>
  <si>
    <t>; Dou, Zhicheng/OBO-6932-2025</t>
  </si>
  <si>
    <t>Zhu, Yutao/0000-0002-9432-3251; Dou, Zhicheng/0000-0002-9781-948X</t>
  </si>
  <si>
    <t>National Natural Science Foundation of China [61872370, 61832017]; Beijing Outstanding Young Scientist Program [BJJWZYJH012019100020098]; Shandong Provincial Natural Science Foundation [ZR2019ZD06]</t>
  </si>
  <si>
    <t>National Natural Science Foundation of China(National Natural Science Foundation of China (NSFC)); Beijing Outstanding Young Scientist Program; Shandong Provincial Natural Science Foundation(Natural Science Foundation of Shandong Province)</t>
  </si>
  <si>
    <t>Zhicheng Dou is the corresponding author. This work was supported by National Natural Science Foundation of China No. 61872370 and No. 61832017, and Beijing Outstanding Young Scientist Program NO. BJJWZYJH012019100020098, and Shandong Provincial Natural Science Foundation under Grant ZR2019ZD06.</t>
  </si>
  <si>
    <t>10.1145/3404835.3462828</t>
  </si>
  <si>
    <t>WOS:000719807900055</t>
  </si>
  <si>
    <t>Wu, YZ; Liu, H</t>
  </si>
  <si>
    <t>Wu Yuezhong; Liu He</t>
  </si>
  <si>
    <t>A System Constructing User Interest Model Based on VSM and Ontology</t>
  </si>
  <si>
    <t>2016 INTERNATIONAL CONFERENCE ON ROBOTS &amp; INTELLIGENT SYSTEM (ICRIS)</t>
  </si>
  <si>
    <t>International Conference on Robots &amp; Intelligent System (ICRIS)</t>
  </si>
  <si>
    <t>AUG 27-28, 2016</t>
  </si>
  <si>
    <t>Zhangjiajie, PEOPLES R CHINA</t>
  </si>
  <si>
    <t>Hunan Univ Technol,Hunan Agr Univ,Johns Univ Taiwan &amp; Cognit Syst &amp; Informat Proc Soc Chinese Assoc Artificial Intelligence,Pattern Cognit Soc Chinese Assoc Artificial Intelligence,LIGHT &amp; TRUTH</t>
  </si>
  <si>
    <t>user interest model; space vector method; ontology; forgetting curve</t>
  </si>
  <si>
    <t>User interest model is the key technology for us to efficiently obtain personalized high quality resources in huge amounts of data. On the basis of traditional user interest model, combining with the concept of ontology, this paper designs a system to construct user interest model based on ontology semantic tree and space vector model, and its eigenvalue is changing by using Ebbinghaus's theory of forgetting curve. The method describes a theme by using semantic concept tree, and it not only simply to describe the semantic relations between concepts, but also can reflect the user interest drift character. It is more accurate in characterization of user interest, and better reflects the change of user interest, and efficiently improves the quality of network document resource personalized services. Finally the system describes the update process of the proposed model by using an example, and illustrates that the proposed model is simple and practical.</t>
  </si>
  <si>
    <t>[Wu Yuezhong; Liu He] Hunan Univ Technol, Zhuzhou 412007, Hunan, Peoples R China</t>
  </si>
  <si>
    <t>Hunan University of Technology</t>
  </si>
  <si>
    <t>Wu, YZ (corresponding author), Hunan Univ Technol, Zhuzhou 412007, Hunan, Peoples R China.</t>
  </si>
  <si>
    <t>8986259@qq.com</t>
  </si>
  <si>
    <t>National Natural Science Foundation of China [61502163, 61472451, 61402161]</t>
  </si>
  <si>
    <t>This work is supported in part by the National Natural Science Foundation of China under grant numbers 61502163, 61472451 and 61402161.</t>
  </si>
  <si>
    <t>978-1-5090-4155-8</t>
  </si>
  <si>
    <t>10.1109/ICRIS.2016.15</t>
  </si>
  <si>
    <t>Engineering, Electrical &amp; Electronic; Robotics</t>
  </si>
  <si>
    <t>Engineering; Robotics</t>
  </si>
  <si>
    <t>BG8EC</t>
  </si>
  <si>
    <t>WOS:000392263200017</t>
  </si>
  <si>
    <t>Martínez-Martínez, S</t>
  </si>
  <si>
    <t>Martinez-Martinez, Silvia</t>
  </si>
  <si>
    <t>The Spanish digital newspaper community: analysis of the distribution and profiles of the contacts network</t>
  </si>
  <si>
    <t>ANALISI-QUADERNS DE COMUNICACIO I CULTURA</t>
  </si>
  <si>
    <t>Italian</t>
  </si>
  <si>
    <t>social media; community; Spanish digital newspapers; Twitter; followers</t>
  </si>
  <si>
    <t>SOCIAL NETWORKS; MEDIA; NEWS</t>
  </si>
  <si>
    <t>The Spanish digital newspaper community: analysis of the distribution and profiles of the contacts network explore the possibilities provided by these new horizontal communication platforms for reaching more users, for attracting and redirecting traffic and even for finding out more about readers' knowledge (Greer and Yan, 2010). The new norms for relations - characterized by connectivity and participation options - disrupt the conventional communication model and the bond the media had with the public and with sources. In the case of Twitter, this connection materializes as the relation that is created with the followers/following duality. The objective of this article is to present a study about the general-interest profiles that the Spanish digital newspapers manage on the microblogging platform. The analysis allows us to make a distribution map of the Spanish online press's network of established contacts (followers and following) in terms of volume. In a second phase, we go into detail about the kind of profiles the most followed Twitter account among those analyzed (El Pais) follows. The results show a clear trend towards a strategy based around circulation, since the platform allows for the creation of new distribution possibilities in intra and intergroup environments. In general, the smallest interest in accessing new nodes and strengthening the relationships can be seen in the smallest numbers of following registered. Research of the following profiles of El Pais confirms the pre-eminence of self-promotion. The newspaper makes its relations with external information sources public through lists.</t>
  </si>
  <si>
    <t>Univ Oberta Catalunya, Estudis Ciencies Informacio &amp; Comunicacio, Catalunya, Spain</t>
  </si>
  <si>
    <t>UOC Universitat Oberta de Catalunya</t>
  </si>
  <si>
    <t>Martínez-Martínez, S (corresponding author), Univ Oberta Catalunya, Estudis Ciencies Informacio &amp; Comunicacio, Catalunya, Spain.</t>
  </si>
  <si>
    <t>smartinezmartinez1@uoc.edu</t>
  </si>
  <si>
    <t>Martínez-Martínez, Silvia/AGK-6235-2022</t>
  </si>
  <si>
    <t>UNIV AUTONOMA BARCELONA</t>
  </si>
  <si>
    <t>BARCELONA</t>
  </si>
  <si>
    <t>SERVEI PUBLICACIONS, EDIFICI A, BELLATERRA, CARDANYOLA DEL VALLES, BARCELONA, 08193, SPAIN</t>
  </si>
  <si>
    <t>0211-2175</t>
  </si>
  <si>
    <t>2340-5236</t>
  </si>
  <si>
    <t>ANALISI</t>
  </si>
  <si>
    <t>Analisi</t>
  </si>
  <si>
    <t>Communication</t>
  </si>
  <si>
    <t>CQ7US</t>
  </si>
  <si>
    <t>WOS:000360811000002</t>
  </si>
  <si>
    <t>Feng, LZ; Zuo, WL; Wang, YW</t>
  </si>
  <si>
    <t>Liu, J; Wang, Y; Xu, H</t>
  </si>
  <si>
    <t>Feng, Lizhou; Zuo, Wanli; Wang, Youwei</t>
  </si>
  <si>
    <t>Novel Query Expansion Method based on User Interest Context and Ontology</t>
  </si>
  <si>
    <t>PROCEEDINGS OF THE 2015 INTERNATIONAL CONFERENCE ON INTELLIGENT SYSTEMS RESEARCH AND MECHATRONICS ENGINEERING</t>
  </si>
  <si>
    <t>International Conference on Intelligent Systems Research and Mechatronics Engineering (ISRME)</t>
  </si>
  <si>
    <t>APR 11-13, 2015</t>
  </si>
  <si>
    <t>Zhengzhou, PEOPLES R CHINA</t>
  </si>
  <si>
    <t>contextual word; query expansion; user interest; ontology</t>
  </si>
  <si>
    <t>We proposed a novel query expansion method by combining user interest and ontology. Firstly, users' interests are described by contextual words which are generated based on ontology, and the user interest degree with respect to each contextual word is calculated. Secondly, the contextual words are organized according to ontology relevance and divided into different subsets, and each subset can be seen as a candidate suggestion set. By calculating the weight of each contextual word, we obtain the meaningful expansions for a query. Comparative experiments show that, the proposed method is superior to other methods when precision and recall measurement are used and gives personalized query suggestions to users efficiently.</t>
  </si>
  <si>
    <t>[Feng, Lizhou; Zuo, Wanli; Wang, Youwei] Jilin Univ, Coll Comp Sci &amp; Technol, Changchun 130012, Peoples R China</t>
  </si>
  <si>
    <t>Feng, LZ (corresponding author), Jilin Univ, Coll Comp Sci &amp; Technol, Changchun 130012, Peoples R China.</t>
  </si>
  <si>
    <t>331902794@qq.com; 413326209@qq.com; 1036569449@qq.com</t>
  </si>
  <si>
    <t>978-94-62520-59-2</t>
  </si>
  <si>
    <t>Automation &amp; Control Systems; Computer Science, Artificial Intelligence; Engineering, Manufacturing</t>
  </si>
  <si>
    <t>Automation &amp; Control Systems; Computer Science; Engineering</t>
  </si>
  <si>
    <t>BD3BI</t>
  </si>
  <si>
    <t>WOS:000359441300082</t>
  </si>
  <si>
    <t>Oami, R; Benitez, AB; Chang, SF; Dimitrova, N</t>
  </si>
  <si>
    <t>Understanding and modeling user interests in consumer videos</t>
  </si>
  <si>
    <t>2004 IEEE INTERNATIONAL CONFERENCE ON MULTIMEDIA AND EXP (ICME), VOLS 1-3</t>
  </si>
  <si>
    <t>JUN 27-30, 2004</t>
  </si>
  <si>
    <t>Taipei, TAIWAN</t>
  </si>
  <si>
    <t>This paper analyzes the interests of users in viewing and organizing consumer videos. It proposes a taxonomy of relevant concepts with three basic Dimensions Of Interests (DOIs) and effective models to predict the user interests in each dimension. The three DOIs correspond to the objects, the scenes and the events. Our conclusions are backed with an extensive study, in which users were asked to annotate and score the importance of each DOI in short clips of diverse and real consumer videos. Analysis of the user study data reveals high consistency (70%) of the scores across different users and independence between objects and events. In addition, we show how heuristic rules and neural networks can accurately predict these scores using camera motion, foreground object and audio information. The automatic and effective prediction of user interests has the potential for improving applications for annotating and summarizing consumer videos.</t>
  </si>
  <si>
    <t>0-7803-8603-5</t>
  </si>
  <si>
    <t>10.1109/ICME.2004.1394514</t>
  </si>
  <si>
    <t>Computer Science, Artificial Intelligence; Computer Science, Software Engineering; Imaging Science &amp; Photographic Technology; Telecommunications</t>
  </si>
  <si>
    <t>BBH70</t>
  </si>
  <si>
    <t>WOS:000225567800374</t>
  </si>
  <si>
    <t>Costa, A; Heras, S; Palanca, J; Jordán, J; Novais, P; Julián, V</t>
  </si>
  <si>
    <t>DeVries, PW; OinasKukkonen, H; Siemons, L; BeerlageDeJong, N; VanGemertPijnen, L</t>
  </si>
  <si>
    <t>Costa, Angelo; Heras, Stella; Palanca, Javier; Jordan, Jaume; Novais, Paulo; Julian, Vicente</t>
  </si>
  <si>
    <t>Argumentation Schemes for Events Suggestion in an e-Health Platform</t>
  </si>
  <si>
    <t>PERSUASIVE TECHNOLOGY: DEVELOPMENT AND IMPLEMENTATION OF PERSONALIZED TECHNOLOGIES TO CHANGE ATTITUDES AND BEHAVIORS, PERSUASIVE 2017</t>
  </si>
  <si>
    <t>12th International Conference on Persuasive Technologies (PERSUASIVE)</t>
  </si>
  <si>
    <t>APR 04-06, 2017</t>
  </si>
  <si>
    <t>Univ Twente, Persuas Hlth Technol Lab, Cte eHealth &amp; Wellbeing Res, Amsterdam, NETHERLANDS</t>
  </si>
  <si>
    <t>Exxellence Labbs,ConnectedCare,Coolminds</t>
  </si>
  <si>
    <t>Univ Twente, Persuas Hlth Technol Lab, Cte eHealth &amp; Wellbeing Res</t>
  </si>
  <si>
    <t>In this work, we propose the introduction of persuasion techniques that guide the users into interacting with the Ambient Assisted Living framework iGenda. It is a cognitive assistant that manages active daily living activities, monitors user's health condition, and creates a social network between users via mobile devices. The objective is to be inserted in a healthcare environment and to provide features like adaptive interfaces, user profiling and machine learning processes that enhance the usage experience. The inclusion of a persuasive architecture (based on argumentation schemes) enables the system to provide recommendations to the users that fit their profile and interests, thus increases the chance of a positive interaction.</t>
  </si>
  <si>
    <t>[Costa, Angelo; Novais, Paulo] Univ Minho, Escola Engn, Ctr ALGORITMI, Guimaraes, Portugal; [Heras, Stella; Palanca, Javier; Jordan, Jaume; Julian, Vicente] Univ Politecn Valencia, D Sistemas Informat &amp; Computac, Valencia, Spain</t>
  </si>
  <si>
    <t>Universidade do Minho; Universitat Politecnica de Valencia</t>
  </si>
  <si>
    <t>Heras, S (corresponding author), Univ Politecn Valencia, D Sistemas Informat &amp; Computac, Valencia, Spain.</t>
  </si>
  <si>
    <t>acosta@di.uminho.pt; sheras@dsic.upv.es; jpalanca@dsic.upv.es; jjordan@dsic.upv.es; pjon@di.uminho.pt; vinglada@dsic.upv.es</t>
  </si>
  <si>
    <t>Heras, Stella/M-2457-2014; Novais, Paulo/M-4053-2013; Costa, Angelo/P-5651-2014; Julian, Vicente/K-6029-2013; Jordán, Jaume/L-2384-2014; Palanca, Javier/P-7523-2019</t>
  </si>
  <si>
    <t>Heras, Stella/0000-0001-6212-9377; Novais, Paulo/0000-0002-3549-0754; Costa, Angelo/0000-0002-6170-4912; Julian, Vicente/0000-0002-2743-6037; Jordán, Jaume/0000-0003-0400-9136;</t>
  </si>
  <si>
    <t>Fundacao para a Ciencia e a Tecnologia (FCT) [SFRH/BPD/102696/2014]; COMPETE [POCI-01-0145-FEDER-007043]; FCT - Fundacao para a Ciencia e a Tecnologia [UID/CEC/00319/2013]; Spanish government [TIN2015-65515-C4-1-R, TIN2014-55206-R]; Universitat Politecnica de Valencia [PAID-10-14]</t>
  </si>
  <si>
    <t>Fundacao para a Ciencia e a Tecnologia (FCT)(Fundacao para a Ciencia e a Tecnologia (FCT)); COMPETE; FCT - Fundacao para a Ciencia e a Tecnologia(Fundacao para a Ciencia e a Tecnologia (FCT)); Spanish government(Spanish Government); Universitat Politecnica de Valencia</t>
  </si>
  <si>
    <t>A. Costa thanks the Fundacao para a Ciencia e a Tecnologia (FCT) the Post-Doc scholarship with the Ref. SFRH/BPD/102696/2014. This work has been supported by COMPETE: POCI-01-0145-FEDER-007043 and FCT - Fundacao para a Ciencia e a Tecnologia within the Project Scope: UID/CEC/00319/2013. It was also supported by the by the projects TIN2015-65515-C4-1-R and TIN2014-55206-R of the Spanish government and by the grant program for the recruitment of doctors for the Spanish system of science and technology (PAID-10-14) of the Universitat Politecnica de Valencia.</t>
  </si>
  <si>
    <t>978-3-319-55134-0; 978-3-319-55133-3</t>
  </si>
  <si>
    <t>10.1007/978-3-319-55134-0_2</t>
  </si>
  <si>
    <t>Computer Science, Cybernetics; Computer Science, Information Systems; Computer Science, Theory &amp; Methods</t>
  </si>
  <si>
    <t>BI6AD</t>
  </si>
  <si>
    <t>WOS:000413012900002</t>
  </si>
  <si>
    <t>Huang, MQ; Zhang, BF; Zou, GB; Gu, CW; Wu, PY; Cheng, SL; Zhang, Z</t>
  </si>
  <si>
    <t>Wang, KIK; Jin, Q; Zhang, Q; Bhuiyan, MZA; Hsu, CH</t>
  </si>
  <si>
    <t>Huang, Mingqing; Zhang, Bofeng; Zou, Guobing; Gu, Chengwei; Wu, Peiye; Cheng, Shulin; Zhang, Zhu</t>
  </si>
  <si>
    <t>Socialized User Modeling in Microblogging Scenarios for Interest Prediction</t>
  </si>
  <si>
    <t>2016 IEEE 14TH INTL CONF ON DEPENDABLE, AUTONOMIC AND SECURE COMPUTING, 14TH INTL CONF ON PERVASIVE INTELLIGENCE AND COMPUTING, 2ND INTL CONF ON BIG DATA INTELLIGENCE AND COMPUTING AND CYBER SCIENCE AND TECHNOLOGY CONGRESS (DASC/PICOM/DATACOM/CYBERSC</t>
  </si>
  <si>
    <t>IEEE DASC/PICom/DataCom/CyberSciTech Conferences</t>
  </si>
  <si>
    <t>AUG 08-12, 2016</t>
  </si>
  <si>
    <t>Auckland, NEW ZEALAND</t>
  </si>
  <si>
    <t>IEEE,IEEE Comp Soc,IEEE Tech Comm Scalable Comp</t>
  </si>
  <si>
    <t>user modeling; interest mining; community detection; LeaderRank sort; microblog platform</t>
  </si>
  <si>
    <t>AUTHOR</t>
  </si>
  <si>
    <t>For adapting functionality to individual users, systems need interest prediction information of these users. Social media provides opportunities to gather mass user data for this purpose. To effectively extract user interests, this paper proposes a hybrid user modeling approach which integrates isolated interests discovery via text analysis into the social relationship-based method by community detection for the interest prediction of microblog users. We conduct extensive experiments on large-scale microblogging datasets with 12,746 users. The experimental results demonstrate that our hybrid approach for socialized user modeling can significantly improve prediction accuracy of user interests, in comparison of the text- based method.</t>
  </si>
  <si>
    <t>[Huang, Mingqing; Zhang, Bofeng; Zou, Guobing; Gu, Chengwei; Wu, Peiye; Cheng, Shulin; Zhang, Zhu] Shanghai Univ, Sch Comp Engn &amp; Sci, Shanghai 200444, Peoples R China</t>
  </si>
  <si>
    <t>bfzhang@shu.edu.cn; gbzou@shu.edu.cn</t>
  </si>
  <si>
    <t>978-1-5090-4065-0</t>
  </si>
  <si>
    <t>10.1109/DASC-PICom-DataCom-CyberSciTec.2016.39</t>
  </si>
  <si>
    <t>BG6YO</t>
  </si>
  <si>
    <t>WOS:000391002500022</t>
  </si>
  <si>
    <t>Alshammari, A; Kapetanakis, S; Polatidis, N; Evans, R; Alshammari, G</t>
  </si>
  <si>
    <t>Nguyen, NT; Chbeir, R; Exposito, E; Aniorte, P; Trawinski, B</t>
  </si>
  <si>
    <t>Alshammari, Abdullah; Kapetanakis, Stelios; Polatidis, Nikolaos; Evans, Roger; Alshammari, Gharbi</t>
  </si>
  <si>
    <t>Twitter User Modeling Based on Indirect Explicit Relationships for Personalized Recommendations</t>
  </si>
  <si>
    <t>COMPUTATIONAL COLLECTIVE INTELLIGENCE, PT I</t>
  </si>
  <si>
    <t>11th International Conference on Computational Collective Intelligence (ICCCI)</t>
  </si>
  <si>
    <t>SEP 04-06, 2019</t>
  </si>
  <si>
    <t>Hendaye, FRANCE</t>
  </si>
  <si>
    <t>French ACM Special Interest Grp Appl Comp,Univ Pau Pays Adour, Lab Informatique,Wroclaw Univ Sci &amp; Technol,IEEE SMC Tech Comm Computat Collect Intelligence</t>
  </si>
  <si>
    <t>Recommender systems; User modeling; User profiling; Explicit relationships; Twitter</t>
  </si>
  <si>
    <t>Information overload has increased due to social network website use in recent times. Social media has increased the popularity of websites such as Twitter. It is believed that a rich environment is provided through Twitter whereby information sharing will be able to aid in recommender system research. This paper will focus upon Twitter user modeling through the utilization of indirect explicit relationships that exist amongst users. The further aim of this paper is to ensure that personal profiles are built via the use of information that will be sourced from Twitter so as to provide recommendations that are more accurate. The proposed method adopts Twitter user's indirect explicit relationships in order to get information which is vital in the process of building personal user profiles. The proposed method has been validated through the implementation of an offline evaluation using real data. Proposed user profiles' performances have been compared with each other and against the baseline profile. The performance of this has been validated using real data and is both practical and effective.</t>
  </si>
  <si>
    <t>[Alshammari, Abdullah; Kapetanakis, Stelios; Polatidis, Nikolaos; Evans, Roger; Alshammari, Gharbi] Univ Brighton, Sch Comp Engn &amp; Math, Brighton, E Sussex, England</t>
  </si>
  <si>
    <t>University of Brighton</t>
  </si>
  <si>
    <t>Alshammari, A; Kapetanakis, S; Polatidis, N; Evans, R; Alshammari, G (corresponding author), Univ Brighton, Sch Comp Engn &amp; Math, Brighton, E Sussex, England.</t>
  </si>
  <si>
    <t>A.Alshammaril@brighton.ac.uk; S.Kapetanakis@brighton.ac.uk; N.Polatidis@brighton.ac.uk; R.P.Evans@brighton.ac.uk; g.alshammari@brighton.ac.uk</t>
  </si>
  <si>
    <t>; Polatidis, Nikolaos/LXV-5280-2024; Alshammari, Gharbi/GNP-1774-2022</t>
  </si>
  <si>
    <t>Alshammari, Abdullah/0000-0002-8826-7660; Polatidis, Nikolaos/0000-0003-4249-4953;</t>
  </si>
  <si>
    <t>978-3-030-28377-3; 978-3-030-28376-6</t>
  </si>
  <si>
    <t>10.1007/978-3-030-28377-3_8</t>
  </si>
  <si>
    <t>BQ6GU</t>
  </si>
  <si>
    <t>WOS:000611678800008</t>
  </si>
  <si>
    <t>User profiling for Web page filtering</t>
  </si>
  <si>
    <t>IEEE INTERNET COMPUTING</t>
  </si>
  <si>
    <t>To help address pressing problems with information overload, researchers have developed personal agents to provide assistance to users in navigating the Web. To provide suggestions, such agents rely on user profiles representing interests and preferences, which makes acquiring and modeling interest categories a critical component in their design. Existing profiling approaches have only partially tackled the characteristics that distinguish user profiling from related tasks. The authors' technique generates readable user profiles that accurately capture interests, starting from observations of user behavior on the Web.</t>
  </si>
  <si>
    <t>UNICEN Univ, ISISTAN Res Inst, Intelligent Agents Grp, Tandil, Argentina; UNICEN Univ, Dept Comp Sci, Tandil, Argentina</t>
  </si>
  <si>
    <t>Godoy, D (corresponding author), UNICEN Univ, ISISTAN Res Inst, Intelligent Agents Grp, Tandil, Argentina.</t>
  </si>
  <si>
    <t>; Godoy, Daniela/W-2190-2017</t>
  </si>
  <si>
    <t>Amandi, Analía/0000-0003-1866-5310; Godoy, Daniela/0000-0002-5185-4570</t>
  </si>
  <si>
    <t>1089-7801</t>
  </si>
  <si>
    <t>IEEE INTERNET COMPUT</t>
  </si>
  <si>
    <t>IEEE Internet Comput.</t>
  </si>
  <si>
    <t>10.1109/MIC.2005.90</t>
  </si>
  <si>
    <t>944ND</t>
  </si>
  <si>
    <t>WOS:000230434800012</t>
  </si>
  <si>
    <t>Lei, S; Su, WY</t>
  </si>
  <si>
    <t>Lei, Stephanie; Su, Wenyi</t>
  </si>
  <si>
    <t>An End-To-End Method for Teenagers Potential Depression Detection on Social Media</t>
  </si>
  <si>
    <t>2021 IEEE INTERNATIONAL PERFORMANCE, COMPUTING, AND COMMUNICATIONS CONFERENCE (IPCCC)</t>
  </si>
  <si>
    <t>IEEE International Performance Computing and Communications Conference (IPCCC)</t>
  </si>
  <si>
    <t>40th IEEE International Performance, Computing, and Communications Conference (IPCCC)</t>
  </si>
  <si>
    <t>OCT 28-30, 2021</t>
  </si>
  <si>
    <t>Social Networks; User Profiling; Behavior Analysis</t>
  </si>
  <si>
    <t>The growing presence of social media in daily life has provided a platform for teenagers to directly and indirectly express their emotions, creating a space to express depressive behaviors or activity. This poster paper develops an end-to-end method that identifies social media posts indicative of depressive activities in profiles categorized as under age 18 and the possibility of the target user to be depressed over time through age classification and depression detection. Specially, we introduce a new multimodal, multilingual, multi-attribute classification model (M3) for age classification, and a Long short-term memory network (LSTM) method for depression detection. Our preliminary experimental results with a real world dataset with hundreds of posts from Reddit show that our proposed models could effectively and accurately classify users under age 18 and detect potential depressive behaviors.</t>
  </si>
  <si>
    <t>[Lei, Stephanie] Marquette High Sch, Chesterfield, MO 63017 USA; [Su, Wenyi] Mars Lab, Whittle Sch &amp; Studios Shenzhen Campus, Shenzhen, Peoples R China</t>
  </si>
  <si>
    <t>Lei, S (corresponding author), Marquette High Sch, Chesterfield, MO 63017 USA.</t>
  </si>
  <si>
    <t>slei041@rsdmo.org; wsu111@whittleschool.org</t>
  </si>
  <si>
    <t>1097-2641</t>
  </si>
  <si>
    <t>978-1-6654-4331-9</t>
  </si>
  <si>
    <t>IEEE IPCCC</t>
  </si>
  <si>
    <t>10.1109/IPCCC51483.2021.9679449</t>
  </si>
  <si>
    <t>BS9CL</t>
  </si>
  <si>
    <t>WOS:000779177500071</t>
  </si>
  <si>
    <t>Suman, C; Singh, A; Saha, S; Bhattacharyya, P</t>
  </si>
  <si>
    <t>Suman, Chanchal; Singh, Abhishek; Saha, Sriparna; Bhattacharyya, Pushpak</t>
  </si>
  <si>
    <t>Development of Multi-task Models for Emotion-Aware Gender Prediction</t>
  </si>
  <si>
    <t>2022 INTERNATIONAL JOINT CONFERENCE ON NEURAL NETWORKS (IJCNN)</t>
  </si>
  <si>
    <t>IEEE International Joint Conference on Neural Networks (IJCNN)</t>
  </si>
  <si>
    <t>IEEE International Conference on Fuzzy Systems (FUZZ-IEEE) / IEEE World Congress on Computational Intelligence (IEEE WCCI) / International Joint Conference on Neural Networks (IJCNN) / IEEE Congress on Evolutionary Computation (IEEE CEC)</t>
  </si>
  <si>
    <t>JUL 18-23, 2022</t>
  </si>
  <si>
    <t>Padua, ITALY</t>
  </si>
  <si>
    <t>IEEE,Int Neural Network Soc,IEEE Computat Intelligence Soc,Evolutionary Programming Soc,IET,Univ Padova, Dept Math Tullio Levi Civita,European Space Agcy,expert.ai,Elsevier,Springer Nature,Google,Baker &amp; Hughes,NVIDIA</t>
  </si>
  <si>
    <t>Author profiling; emotion; gender; multi-task; Twitter</t>
  </si>
  <si>
    <t>With the rise of personalized online services, a huge opportunity for user profiling has developed. Gender plays a very important role for services that rely on information about a user's background. Although, due to anonymity and privacy, the gender information of a user is usually unavailable for other users. Social Networking sites have provided users with a lot of features to express their thoughts and emotions either using pictures or emojis or writing texts. Based on the idea that female and male users have some differences in their post and message contents, social media accounts can be analyzed using their textual posts for finding the user's gender. In this work, we explore different emotion-aided multi-modal gender prediction models. The basic intuition behind our proposed approach is to predict the gender of a user based on the emotional clues present in their multimodal posts, which includes texts as well as images. PAN 2018 dataset is enriched with emotion labels, for the experimentation. Different multi-tasking based architectures have been developed for gender prediction. Obtained results on the benchmark PAN-2018 dataset illustrate that the proposed multimodal emotion-aided system performs better than the single modal (with only text and only image) based models and the state of the art system too.</t>
  </si>
  <si>
    <t>[Suman, Chanchal; Saha, Sriparna] IIT Patna, Comp Sci &amp; Engn, Patna, Bihar, India; [Singh, Abhishek] IIT Patna, Mech Engn, Patna, Bihar, India; [Bhattacharyya, Pushpak] Indian Inst Technol, Comp Sci &amp; Engn, Bombay, Maharashtra, India</t>
  </si>
  <si>
    <t>Indian Institute of Technology (IIT) - Patna; Indian Institute of Technology System (IIT System); Indian Institute of Technology System (IIT System); Indian Institute of Technology (IIT) - Patna; Indian Institute of Technology System (IIT System); Indian Institute of Technology (IIT) - Bombay</t>
  </si>
  <si>
    <t>Suman, C (corresponding author), IIT Patna, Comp Sci &amp; Engn, Patna, Bihar, India.</t>
  </si>
  <si>
    <t>1821cs11@iitp.ac.in; abhishek_2011mt01@iitp.ac.in; sriparna@iitp.ac.in; pushpakbh@gmail.com</t>
  </si>
  <si>
    <t>Suman, Chanchal/ADM-8643-2022</t>
  </si>
  <si>
    <t>Young Faculty Research Fellowship (YFRF) Award - Visvesvaraya Ph.D. Scheme for Electronics and IT, Ministry of Electronics and Information Technology (MeitY), Government of India; Ministry of Electronics and Information Technology (MeitY), Government of India; C-DAC Kolkata</t>
  </si>
  <si>
    <t>Young Faculty Research Fellowship (YFRF) Award - Visvesvaraya Ph.D. Scheme for Electronics and IT, Ministry of Electronics and Information Technology (MeitY), Government of India; Ministry of Electronics and Information Technology (MeitY), Government of India(Ministry of Electronics and Information Technology (MEITY), Government of India); C-DAC Kolkata</t>
  </si>
  <si>
    <t>Dr. Sriparna Saha gratefully acknowledges the Young Faculty Research Fellowship (YFRF) Award, supported by Visvesvaraya Ph.D. Scheme for Electronics and IT, Ministry of Electronics and Information Technology (MeitY), Government of India, being implemented by Digital India Corporation (formerly Media Lab Asia) for carrying out this research. This research is also supported by Ministry of Electronics and Information Technology (MeitY), Government of India, in collaboration with C-DAC Kolkata.</t>
  </si>
  <si>
    <t>2161-4393</t>
  </si>
  <si>
    <t>978-1-7281-8671-9</t>
  </si>
  <si>
    <t>IEEE IJCNN</t>
  </si>
  <si>
    <t>10.1109/IJCNN55064.2022.9892404</t>
  </si>
  <si>
    <t>Computer Science, Artificial Intelligence; Computer Science, Hardware &amp; Architecture; Engineering, Electrical &amp; Electronic; Neurosciences</t>
  </si>
  <si>
    <t>Computer Science; Engineering; Neurosciences &amp; Neurology</t>
  </si>
  <si>
    <t>BU0DB</t>
  </si>
  <si>
    <t>WOS:000867070904038</t>
  </si>
  <si>
    <t>Xi, J; Zhang, WQ; Xia, ZW; Zhao, L; Tao, HW</t>
  </si>
  <si>
    <t>Xi, Ji; Zhang, Weiqi; Xia, Zhengwang; Zhao, Li; Tao, Huawei</t>
  </si>
  <si>
    <t>A Semantic Behavioral Sequence-Based Approach to Trajectory Privacy Protection</t>
  </si>
  <si>
    <t>SYMMETRY-BASEL</t>
  </si>
  <si>
    <t>location-based social networks; semantic trajectory; trajectory privacy; staying region; symmetric noise</t>
  </si>
  <si>
    <t>NETWORK; SCHEME</t>
  </si>
  <si>
    <t>Trajectory data contain numerous sensitive attributes. Unauthorized disclosure of precise user trajectory information generates persistent privacy and security concerns that significantly impact daily life. Most existing trajectory privacy protection schemes focus on geographic trajectories while neglecting the critical importance of semantic trajectories, resulting in ongoing privacy vulnerabilities. To address this limitation, we propose the Semantic Behavior Sequence-based Trajectory Privacy Protection method (SBS-TPP). Our approach integrates short-term and long-term behavioral patterns within a user behavior modeling layer to identify user preferences. A dual-model framework (geographic and semantic) generates noise-injected trajectories with maximized noise potential. This methodology applies symmetric noise addition to both geographic trajectory fragments and semantic trajectory segments, optimizing trajectory data utility while ensuring robust protection of sensitive information. The SBS-TPP framework operates in the following two phases: firstly, behavior modeling, which comprises interest extraction from behavioral trajectory sequences, and secondly, noise generation, which creates synthetic noise locations with maximal semantic expectation from original locations, yielding privacy-enhanced trajectories for publication. Experimental results demonstrate that our interest extraction model achieves 93.7% accuracy while maintaining 81.6% data utility under strict privacy guarantees. The proposed method significantly enhances data usability and enables effective recommendation services without compromising user privacy or security.</t>
  </si>
  <si>
    <t>[Xi, Ji; Zhang, Weiqi; Xia, Zhengwang] Changzhou Inst Technol, Sch Comp Informat Engn, 666 Liaohe Rd, Changzhou 213022, Peoples R China; [Zhao, Li] Southeast Univ, Sch Informat Sci &amp; Engn, Nanjing 210096, Peoples R China; [Tao, Huawei] Henan Univ Technol, Key Lab Food Informat Proc &amp; Control, Minist Educ, Zhengzhou 450001, Peoples R China</t>
  </si>
  <si>
    <t>Changzhou Institute of Technology; Southeast University - China; Henan University of Technology</t>
  </si>
  <si>
    <t>Xi, J (corresponding author), Changzhou Inst Technol, Sch Comp Informat Engn, 666 Liaohe Rd, Changzhou 213022, Peoples R China.</t>
  </si>
  <si>
    <t>xiji@czust.edu.cn; zhangwq@czust.edu.cn; xiazhengwang@czust.edu.cn; zhaoli@seu.edu.cn; thw@haut.edu.cn</t>
  </si>
  <si>
    <t>Xia, Zhengwang/KCY-0543-2024</t>
  </si>
  <si>
    <t>Science and Technology Plan Project of Changzhou; [CJ20210155]; [CJ20220151]</t>
  </si>
  <si>
    <t>Science and Technology Plan Project of Changzhou; ;</t>
  </si>
  <si>
    <t>This research was funded by Science and Technology Plan Project of Changzhou (CJ20210155, CJ20220151).</t>
  </si>
  <si>
    <t>2073-8994</t>
  </si>
  <si>
    <t>Symmetry-Basel</t>
  </si>
  <si>
    <t>AUG 7</t>
  </si>
  <si>
    <t>10.3390/sym17081266</t>
  </si>
  <si>
    <t>6OR4E</t>
  </si>
  <si>
    <t>WOS:001558364900001</t>
  </si>
  <si>
    <t>Sohrabi, B; Vanani, IR; Nasiri, N; Rudd, AG</t>
  </si>
  <si>
    <t>Sohrabi, Babak; Vanani, Iman Raeesi; Nasiri, Narges; Rudd, Armin Ghassemi</t>
  </si>
  <si>
    <t>A predictive model of tourist destinations based on tourists' comments and interests using text analytics</t>
  </si>
  <si>
    <t>TOURISM MANAGEMENT PERSPECTIVES</t>
  </si>
  <si>
    <t>Tourism; Data mining; Text mining; Predictive analysis; Iran</t>
  </si>
  <si>
    <t>SMART</t>
  </si>
  <si>
    <t>Data provided by tourists always benefit tourism managers and help them offer customized services, products and destinations to future travelers. This research investigates the effect of interests on Iranian outbound tourists, especially their selection of a destination and then, using text and data mining algorithms, it introduces a model to predict tourists' destinations based on their interests and travel backgrounds. In the current study, a dataset of 244,980 travels, consisting of 6661 people, was extracted from social media to discover the relationship between tourists' interests and travel destinations. Hence, it represents a model that is created using data and text mining from travel agencies to design their marketing plans by offering and advertising destinations to travelers with specific interest categories. The model has also shown promising accuracy and interesting results for the future tourist destination data and text analysis.</t>
  </si>
  <si>
    <t>[Sohrabi, Babak; Nasiri, Narges; Rudd, Armin Ghassemi] Univ Tehran, Dept Informat Technol Management, Jalal Al Ahmad St,POB 14155-6311, Tehran, Iran; [Vanani, Iman Raeesi] Allameh Tabatabai Univ, Fac Management &amp; Accounting, Tehran, Iran</t>
  </si>
  <si>
    <t>University of Tehran; Allameh Tabataba'i University</t>
  </si>
  <si>
    <t>Sohrabi, B (corresponding author), Univ Tehran, Dept Informat Technol Management, Jalal Al Ahmad St,POB 14155-6311, Tehran, Iran.</t>
  </si>
  <si>
    <t>bsohrabi@ut.ac.ir</t>
  </si>
  <si>
    <t>; Raeesi Vanani, Iman/ABE-7788-2021</t>
  </si>
  <si>
    <t>Ghassemi Rudd, Armin/0000-0002-9679-6618; Raeesi Vanani, Iman/0000-0001-8324-9896</t>
  </si>
  <si>
    <t>2211-9736</t>
  </si>
  <si>
    <t>2211-9744</t>
  </si>
  <si>
    <t>TOUR MANAG PERSPECT</t>
  </si>
  <si>
    <t>Tour. Manag. Perspect.</t>
  </si>
  <si>
    <t>10.1016/j.tmp.2020.100710</t>
  </si>
  <si>
    <t>Hospitality, Leisure, Sport &amp; Tourism; Management</t>
  </si>
  <si>
    <t>Social Sciences - Other Topics; Business &amp; Economics</t>
  </si>
  <si>
    <t>MT4DA</t>
  </si>
  <si>
    <t>WOS:000554917500011</t>
  </si>
  <si>
    <t>Kaisar, S; Kamruzzaman, J; Karmakar, G; Rashid, MM</t>
  </si>
  <si>
    <t>Kaisar, Shahriar; Kamruzzaman, Joarder; Karmakar, Gour; Rashid, Md Mamunur</t>
  </si>
  <si>
    <t>Decentralized content sharing in mobile ad-hoc networks: A survey</t>
  </si>
  <si>
    <t>DIGITAL COMMUNICATIONS AND NETWORKS</t>
  </si>
  <si>
    <t>Decentralized content sharing; Mobile ad -hoc networks; Delay -tolerant networks; Flying ad hoc networks; Message forwarding; Content caching; Incentive; Group formation; Misbehavior detection</t>
  </si>
  <si>
    <t>DELAY TOLERANT NETWORKS; DATA DISSEMINATION; SOCIAL NETWORKS; INCENTIVE SCHEME; ROUTING SCHEME; DATA TRUST; AWARE; INFORMATION; SERVICE; PROTOCOL</t>
  </si>
  <si>
    <t>The evolution of smart mobile devices has significantly impacted the way we generate and share contents and introduced a huge volume of Internet traffic. To address this issue and take advantage of the short-range communication capabilities of smart mobile devices, the decentralized content sharing approach has emerged as a suitable and promising alternative. Decentralized content sharing uses a peer-to-peer network among colocated smart mobile device users to fulfil content requests. Several articles have been published to date to address its different aspects including group management, interest extraction, message forwarding, participation incentive, and content replication. This survey paper summarizes and critically analyzes recent advancements in decentralized content sharing and highlights potential research issues that need further consideration.</t>
  </si>
  <si>
    <t>[Kaisar, Shahriar] RMIT Univ, Dept Informat Syst &amp; Business Analyt, Melbourne, Australia; [Kamruzzaman, Joarder; Karmakar, Gour] Federat Univ Australia, Sch Engn IT &amp; Phys Sci, Mount Helen, Vic, Australia; [Rashid, Md Mamunur] Cent Queensland Univ, Sch Engn &amp; Technol, Rockhampton, Australia</t>
  </si>
  <si>
    <t>Royal Melbourne Institute of Technology (RMIT); Federation University Australia; Central Queensland University</t>
  </si>
  <si>
    <t>Kaisar, S (corresponding author), RMIT Univ, Dept Informat Syst &amp; Business Analyt, Melbourne, Australia.</t>
  </si>
  <si>
    <t>shahriar.kaisar@rmit.edu.au; joarder.kamruzzaman@federation.edu.au; gour.karmakar@federation.edu.au; m.rashid@cqu.edu.au</t>
  </si>
  <si>
    <t>; Kaisar, Shahriar/KFA-2336-2024; Karmakar, Gour/ABL-0860-2022</t>
  </si>
  <si>
    <t>Kamruzzaman, Joarder/0000-0002-3748-0277; Kaisar, Shahriar/0000-0002-8103-0900; Karmakar, Gour/0000-0002-1308-7315</t>
  </si>
  <si>
    <t>2468-5925</t>
  </si>
  <si>
    <t>2352-8648</t>
  </si>
  <si>
    <t>DIGIT COMMUN NETW</t>
  </si>
  <si>
    <t>Digit. Commun. Netw.</t>
  </si>
  <si>
    <t>10.1016/j.dcan.2022.07.002</t>
  </si>
  <si>
    <t>GC0H1</t>
  </si>
  <si>
    <t>WOS:001150339300001</t>
  </si>
  <si>
    <t>Li, XM</t>
  </si>
  <si>
    <t>Spector, JM; Sampson, DG; Okamoto, T; Kinshuk, X; Cerri, SA; Ueno, M; Kashihara, A</t>
  </si>
  <si>
    <t>Li, Xuemei</t>
  </si>
  <si>
    <t>Interactive educational technologies for new generations in China</t>
  </si>
  <si>
    <t>7th IEEE International Conference on Advanced Learning Technologies, Proceedings</t>
  </si>
  <si>
    <t>7th IEEE International Conference on Advanced Learning Technologies</t>
  </si>
  <si>
    <t>JUL 18-20, 2007</t>
  </si>
  <si>
    <t>Niigata, JAPAN</t>
  </si>
  <si>
    <t>IEEE TCLT,IEEE Comp Soc,Univ Electro Commun</t>
  </si>
  <si>
    <t>The interaction instructional model aims at improving learner's capacity of independent learning, seeking information, choosing useful information, cooperating, and creating is proposed for education in China. It is proposed that advanced educational technologies not only includes electronic learning /teaching technologies, but also includes advanced instructional modes, which is considered as the educational soft-ware technologies. Advanced instructional mode based on advanced educational technology can help to improve learner interest and efficiency. The interactive instructional model is a challenge to the teachers' leading position in the education. Teachers' function transits to organizer and advisor instead of authority. The curriculum setting incrY be adaptable according to personal interests or strong suit and is suitable for cultivating graduates' competence in job-hunting. Education focus not on pouring knowledge to students but to cultivate student's ability to further study, solving problem independently, creation, collaboration, personality. These abilities are required for learners to be successful in career. In a word, educational technology should be career-oriented and aims tit developing creativity, practicing skill, innate ability and personality instead of just imparting knowledge.</t>
  </si>
  <si>
    <t>978-0-7695-2916-5</t>
  </si>
  <si>
    <t>10.1109/ICALT.2007.170</t>
  </si>
  <si>
    <t>BGQ95</t>
  </si>
  <si>
    <t>WOS:000249886800149</t>
  </si>
  <si>
    <t>Alswiti, W; Alqatawna, J; Al-Shboul, B; Faris, H; Hakh, H</t>
  </si>
  <si>
    <t>Alswiti, Wedyan; Alqatawna, Ja'far; Al-Shboul, Bashar; Faris, Hossam; Hakh, Heba</t>
  </si>
  <si>
    <t>Users profiling using clickstream data analysis and classification</t>
  </si>
  <si>
    <t>2016 CYBERSECURITY AND CYBERFORENSICS CONFERENCE (CCC)</t>
  </si>
  <si>
    <t>Cybersecurity and Cyberforensics Conference (CCC)</t>
  </si>
  <si>
    <t>AUG 02-04, 2016</t>
  </si>
  <si>
    <t>Univ Jordan, King Abdullah II Sch Informat Technol, Amman, JORDAN</t>
  </si>
  <si>
    <t>Al Balqa Appl Univ,Jordan Australian Natl Univ Cybercrime Observ,Australia Jordan Informat Security &amp; Digital Forens Res Grp,Jordan Macquarie Univ,Australia Princess Sumaya Univ Technol,Jordan Univ E London,Adv Technol,F5 Networks,Juniper Networks,London Cyber Security Acad,Microsoft,Next,LSP,Palo Alto Networks,Sci &amp; Med Supplies Co</t>
  </si>
  <si>
    <t>Univ Jordan, King Abdullah II Sch Informat Technol</t>
  </si>
  <si>
    <t>Click Stream Analysis; User Authentication; Identification; User Profiling</t>
  </si>
  <si>
    <t>The nature of today's online communication and the emergence of online social networks have introduced a great challenge related to the identification and the verification of users in web environments. The assumption that every user interact uniquely with a web site provides a baseline for studying user identification based on historical records of user's interactions with specific web site. In this paper, we proposed an approach for using clickstream data to identify users based on their navigational behavior. The study investigates using server-side clickstream data collected from previous users' interaction to create a behavioral profile per user. User's profile can be used to identify possible future interactions, which can be associated with distinguishing authenticated user from malicious user. To accomplish this identification, the ability to gather a historical record for user's navigation in a specific web site, is investigated. The goal of the collected data is to use it for training a model that is able to identify if a future interaction can be associated with a certain user.</t>
  </si>
  <si>
    <t>[Alswiti, Wedyan; Alqatawna, Ja'far; Al-Shboul, Bashar; Faris, Hossam; Hakh, Heba] Univ Jordan, King Abdullah II Sch Informat Technol, Web Intelligence Res Grp, Amman, Jordan</t>
  </si>
  <si>
    <t>University of Jordan</t>
  </si>
  <si>
    <t>Alqatawna, J (corresponding author), Univ Jordan, King Abdullah II Sch Informat Technol, Web Intelligence Res Grp, Amman, Jordan.</t>
  </si>
  <si>
    <t>J.alqatawna@ju.edu.jo; b.shboul@ju.edu.jo; hossam.faris@ju.edu.jo</t>
  </si>
  <si>
    <t>Alqatawna, Ja'far/J-8952-2013; Al-Shboul, Bashar/C-8036-2015; Faris, Hossam/C-2392-2015</t>
  </si>
  <si>
    <t>Al-Shboul, Bashar/0000-0002-5214-6429;</t>
  </si>
  <si>
    <t>978-1-5090-2657-9</t>
  </si>
  <si>
    <t>10.1109/CCC.2016.27</t>
  </si>
  <si>
    <t>BG1NG</t>
  </si>
  <si>
    <t>WOS:000386911700016</t>
  </si>
  <si>
    <t>Kumar, A; Spaniol, M</t>
  </si>
  <si>
    <t>Kumar, Amit; Spaniol, Marc</t>
  </si>
  <si>
    <t>There is a fine Line between Personalization and Surveillance: Semantic User Interest Tracing via Entity-level Analytics</t>
  </si>
  <si>
    <t>PROCEEDINGS OF THE 14TH ACM WEB SCIENCE CONFERENCE, WEBSCI 2022</t>
  </si>
  <si>
    <t>14th ACM Web Science Conference (WebSci)</t>
  </si>
  <si>
    <t>JUN 26-29, 2022</t>
  </si>
  <si>
    <t>Assoc Comp Machinery,ACM Special Interest Grp Hypertext &amp; Web,Web4Good,Univ Pompeu Fabra, Dept Informat &amp; Communicat Technologies</t>
  </si>
  <si>
    <t>User Interest Tracing; Entity-level Analytics; Graph Neural Networks; Privacy; Ethics</t>
  </si>
  <si>
    <t>AUTHORSHIP IDENTIFICATION; NETWORKS; WORDNET</t>
  </si>
  <si>
    <t>User interest tracing is a common practice in many Web use-cases including, but not limited to, search, recommendation or intelligent assistants. The overall aim is to provide the user a personalized Web experience by aggregating and exploiting a plenitude of user data derived from collected logs, accessed contents, and/or mined community context. As such, fairly basic features such as terms and graph structures can be utilized in order to model a user's interest. While there are clearly positive aspects in the before mentioned application scenarios, the user's privacy is highly at risk. In order to highlight inherent privacy risks, this paper studies Semantic User Interest Tracing (SUIT in short) by investigating a user's publishing/editing behavior of Web contents. In contrast to existing approaches, SUIT solely exploits the (semantic) concepts [categories] inherent in documents derived via entity-level analytics. By doing so, we raise Web contents to the entity-level. Thus, we are able to abstract the user interest from plain text strings to things. In particular, we utilize the inherited structural relationships present among the concepts derived from a knowledge graph in order to identify the user associated with a specific Web content. Our extensive experiments on Wikipedia show that our approach outperforms state of the art approaches in tracing and predicting user behavior in a single language. In addition, we also demonstrate the viability of our semantic (language-agnostic) approach in multi-lingual experiments. As such, SUIT is capable of revealing the user's identity, which demonstrates the fine line between personalization and surveillance, raising questions regarding ethical considerations at the same time.</t>
  </si>
  <si>
    <t>[Kumar, Amit; Spaniol, Marc] Univ Caen Normandie, Caen, France</t>
  </si>
  <si>
    <t>Universite de Caen Normandie</t>
  </si>
  <si>
    <t>Kumar, A (corresponding author), Univ Caen Normandie, Caen, France.</t>
  </si>
  <si>
    <t>amit.kumar@unicaen.fr; marc.spaniol@unicaen.fr</t>
  </si>
  <si>
    <t>; Kumar, Amit/HJP-6788-2023</t>
  </si>
  <si>
    <t>Spaniol, Marc/0000-0002-5094-4523; Kumar, Amit/0009-0004-8545-2176</t>
  </si>
  <si>
    <t>978-1-4503-9191-7</t>
  </si>
  <si>
    <t>10.1145/3501247.3531592</t>
  </si>
  <si>
    <t>Computer Science, Information Systems; History &amp; Philosophy Of Science; Social Sciences, Interdisciplinary</t>
  </si>
  <si>
    <t>Computer Science; History &amp; Philosophy of Science; Social Sciences - Other Topics</t>
  </si>
  <si>
    <t>BW2MD</t>
  </si>
  <si>
    <t>WOS:001118952600003</t>
  </si>
  <si>
    <t>Gautam, S; Ghuliani, L; Sachan, A</t>
  </si>
  <si>
    <t>Gautam, Shubham; Ghuliani, Lakshya; Sachan, Amit</t>
  </si>
  <si>
    <t>Knowledge Extraction from Apps Data and its Application in AdTargeting</t>
  </si>
  <si>
    <t>Interest prediction; NLP; mobile apps data; knowledge extraction</t>
  </si>
  <si>
    <t>This paper presents a unique approach to determine the interest of a user based on the user's smartphone usage behavior. Identification of interest may help advertisers to target their designated audience. We propose a novel way of predicting the app category for apps available on Google play store, which in turn helps us to determine the interest of a user. The proposed approach performs significantly better as compared to the original apps provided from domain experts for different interest category.</t>
  </si>
  <si>
    <t>[Gautam, Shubham; Ghuliani, Lakshya; Sachan, Amit] Novi Digital Entertainment Pvt Ltd, Hotstar, Bangalore, Karnataka, India</t>
  </si>
  <si>
    <t>Gautam, S (corresponding author), Novi Digital Entertainment Pvt Ltd, Hotstar, Bangalore, Karnataka, India.</t>
  </si>
  <si>
    <t>shubham@hotstar.com; lakshya@hotstar.com; amits@hotstar.com</t>
  </si>
  <si>
    <t>WOS:000455682100077</t>
  </si>
  <si>
    <t>Characterizing the interests of social media users: Refinement of a topic model for incorporating heterogeneous media</t>
  </si>
  <si>
    <t>User interest; Heterogeneous media; Social media; News media; Topic model; Personalization</t>
  </si>
  <si>
    <t>RECOMMENDATION; TIME</t>
  </si>
  <si>
    <t>Recent research has focused on extracting personal interest data from social media. Although many methods have been developed, accurately estimating users' interests is often difficult because messages on social media are short and are not classified into any predefined categories. We propose a new method to overcome this problem by incorporating heterogeneous media, such as news. In our method, we first extract explicit features and implicit topics of categories using news media, where implicit topics are determined using a refined topic model. Next, we describe social media messages using these features and topics to estimate users' interests. Compared with several other approaches, our approach provides more accurate estimations of users' interests. We also demonstrate that the accuracy of friend recommendations is increased using the users' interests estimated by our method. Thus, we expect that the proposed approach could be helpful for enhancing the personalization of social media services. (C) 2016 Elsevier Inc. All rights reserved.</t>
  </si>
  <si>
    <t>[Han, Jonghyun] Def Agcy Technol &amp; Qual, 420 Dongjin Ro, Jinju 52851, Gyeongsangnam D, South Korea; [Lee, Hyunju] Gwangju Inst Sci &amp; Technol, Sch Elect Engn &amp; Comp Sci, 123 Cheomdangwagi Ro, Gwangju 61005, South Korea</t>
  </si>
  <si>
    <t>Lee, H (corresponding author), Gwangju Inst Sci &amp; Technol, Sch Elect Engn &amp; Comp Sci, 123 Cheomdangwagi Ro, Gwangju 61005, South Korea.</t>
  </si>
  <si>
    <t>jhan@dtaq.re.kr; hyunjulee@gist.ac.kr</t>
  </si>
  <si>
    <t>Ministry of Science, ICT and Future Planning through the National Research Foundation [NRF-2013M3A9C4078138]</t>
  </si>
  <si>
    <t>Ministry of Science, ICT and Future Planning through the National Research Foundation</t>
  </si>
  <si>
    <t>This work was supported by the Bio-Synergy Research Project (NRF-2013M3A9C4078138) of the Ministry of Science, ICT and Future Planning through the National Research Foundation.</t>
  </si>
  <si>
    <t>SEP 1</t>
  </si>
  <si>
    <t>10.1016/j.ins.2016.04.020</t>
  </si>
  <si>
    <t>DN8IN</t>
  </si>
  <si>
    <t>WOS:000377322500008</t>
  </si>
  <si>
    <t>Zhang, HL; Couch, S; Estabrooks, L; Perry, A; Kalainoff, M</t>
  </si>
  <si>
    <t>Zhang, Helen; Couch, Stephanie; Estabrooks, Leigh; Perry, Anthony; Kalainoff, Melinda</t>
  </si>
  <si>
    <t>Role models' influence on student interest in and awareness of career opportunities in life sciences</t>
  </si>
  <si>
    <t>INTERNATIONAL JOURNAL OF SCIENCE EDUCATION PART B-COMMUNICATION AND PUBLIC ENGAGEMENT</t>
  </si>
  <si>
    <t>Career role modeling; life sciences education; authentic learning</t>
  </si>
  <si>
    <t>SELF-ESTEEM; IMPACT; ME; ADAPTABILITY; SUPERSTARS; ATTITUDES; PROGRAM; STEM</t>
  </si>
  <si>
    <t>The call to increase student interest in science and related careers continues to receive national attention in the United States. While many current efforts have focused on infrastructure support and innovative pedagogies to better reach and engage students, research suggests that having a career role model can influence adolescents' interest in and choices of science courses and career pathways. This exploratory study investigated the impact of a week-long online biotechnology program called Biotech in Action (BIA) that featured career role modeling and authentic science learning. Students were engaged in career modeling sessions with multiple professionals working in related STEM fields while learning life sciences within authentic biotechnology research contexts. In total, over 400 high school students participated in BIA. The results showed that students felt they developed a better understanding of the biotechnology field and became more cognizant about steps to achieve their future career goals after BIA. Many students reported that the interactions with career role models and learning about their educational and professional pathways helped demystify science career fields. Overall, this research provides new insights to curriculum designers and researchers on integrating career role modeling and authentic learning to spark and sustain student interest in science.</t>
  </si>
  <si>
    <t>[Zhang, Helen] Boston Coll, Lynch Sch Educ &amp; Human Dev, Chestnut Hill, MA 02467 USA; [Couch, Stephanie; Estabrooks, Leigh; Perry, Anthony] MIT, Sch Engn, Lemelson MITProgram, Cambridge, MA USA</t>
  </si>
  <si>
    <t>Boston College; Massachusetts Institute of Technology (MIT)</t>
  </si>
  <si>
    <t>Zhang, HL (corresponding author), Boston Coll, Lynch Sch Educ &amp; Human Dev, Chestnut Hill, MA 02467 USA.</t>
  </si>
  <si>
    <t>zhangzm@bc.edu</t>
  </si>
  <si>
    <t>Couch, Stephanie/0000-0003-3145-012X; Kalainoff, Melinda/0000-0001-5106-3915; Perry, Anthony/0000-0002-6497-8345</t>
  </si>
  <si>
    <t>Lemelson Foundation [21-01968]</t>
  </si>
  <si>
    <t>Lemelson Foundation</t>
  </si>
  <si>
    <t>This work was supported by Lemelson Foundation: 21-01968.</t>
  </si>
  <si>
    <t>2154-8455</t>
  </si>
  <si>
    <t>2154-8463</t>
  </si>
  <si>
    <t>INT J SCI EDUC PART</t>
  </si>
  <si>
    <t>Int. J. Sci. Educ. Part B-Commun. Public Engagem.</t>
  </si>
  <si>
    <t>OCT 2</t>
  </si>
  <si>
    <t>10.1080/21548455.2023.2180333</t>
  </si>
  <si>
    <t>FEB 2023</t>
  </si>
  <si>
    <t>U6HA4</t>
  </si>
  <si>
    <t>WOS:000937622300001</t>
  </si>
  <si>
    <t>Yang, QH; Neng, X; Hao, H</t>
  </si>
  <si>
    <t>Yang Qinghong; Neng, Xiong; Hao, Hu</t>
  </si>
  <si>
    <t>A Method of Constructing User Interest Model Based on Semantics</t>
  </si>
  <si>
    <t>PROCEEDINGS OF 2012 7TH INTERNATIONAL CONFERENCE ON COMPUTER SCIENCE &amp; EDUCATION, VOLS I-VI</t>
  </si>
  <si>
    <t>International Conference on Computer Science &amp; Education</t>
  </si>
  <si>
    <t>7th International Conference on Computer Science and Education</t>
  </si>
  <si>
    <t>JUL 14-17, 2012</t>
  </si>
  <si>
    <t>semantics; user interest model; Ontology; Bayesian network</t>
  </si>
  <si>
    <t>In this paper, the representation method of user interest model is a combination of vector space model with Ontology. It introduces the algorithm of semantic similarity when calculating the term weight, and considers the semantic similarity of words, and then the term weight is updated through the Bayesian network. This paper focuses on the steps of building and updating the user interest model, and verified the validity of the model by experiment.</t>
  </si>
  <si>
    <t>[Yang Qinghong; Neng, Xiong; Hao, Hu] Jiangxi Normal Univ, Coll Comp &amp; Informat Engn, Nanchang, Jiangxi, Peoples R China</t>
  </si>
  <si>
    <t>Jiangxi Normal University</t>
  </si>
  <si>
    <t>Yang, QH (corresponding author), Jiangxi Normal Univ, Coll Comp &amp; Informat Engn, Nanchang, Jiangxi, Peoples R China.</t>
  </si>
  <si>
    <t>yangqh120@163.com; xiongneng2006@163.com; huhaohao88@163.com</t>
  </si>
  <si>
    <t>yang, qinghong/KZV-0077-2024</t>
  </si>
  <si>
    <t>2471-6146</t>
  </si>
  <si>
    <t>978-1-4673-0239-5</t>
  </si>
  <si>
    <t>INT CONF COMP SCI ED</t>
  </si>
  <si>
    <t>BH2EC</t>
  </si>
  <si>
    <t>WOS:000398865900013</t>
  </si>
  <si>
    <t>Chen, XS; Liu, D; Xiong, ZW; Zha, ZJ</t>
  </si>
  <si>
    <t>Chen, Xusong; Liu, Dong; Xiong, Zhiwei; Zha, Zheng-Jun</t>
  </si>
  <si>
    <t>Learning and Fusing Multiple User Interest Representations for Micro-Video and Movie Recommendations</t>
  </si>
  <si>
    <t>Videos; Motion pictures; Collaboration; Fuses; Recommender systems; Machine learning; Computational modeling; Attention mechanism; deep learning; information fusion; personalized recommendation; representation learning; user interest</t>
  </si>
  <si>
    <t>Deep learning is known to be effective at automating the generation of representations, which eliminates the need for handcrafted features. For the task of personalized recommendation, deep learning-based methods have achieved great success by learning efficient representations of multimedia items, especially images and videos. Previous works usually adopt simple, single-modality representations of user interest, such as user embeddings, which cannot fully characterize the diversity and volatility of user interest. To address this problem, in this paper we focus on learning and fusing multiple kinds of user interest representations by leveraging deep networks. Specifically, we consider efficient representations of four aspects of user interest: first, we use latent representation, i.e. user embedding, to profile the overall interest; second, we propose item-level representation, which is learned from and integrates the features of a user's historical items; third, we investigate neighbor-assisted representation, i.e. using neighboring users' information to characterize user interest collaboratively; fourth, we propose category-level representation, which is learned from the categorical attributes of a user's historical items. In order to integrate these multiple user interest representations, we study both early fusion and late fusion; where for early fusion, we study different fusion functions. We validate the proposed method on two real-world video recommendation datasets for micro-video and movie recommendations, respectively. Experimental results demonstrate that our method outperforms existing state-of-the-arts by a significant margin. Our code is publicly available.</t>
  </si>
  <si>
    <t>[Chen, Xusong; Liu, Dong; Xiong, Zhiwei; Zha, Zheng-Jun] Univ Sci &amp; Technol China, CAS Key Lab Technol Geospatial Informat Proc &amp; Ap, Hefei 230027, Peoples R China</t>
  </si>
  <si>
    <t>Liu, D (corresponding author), Univ Sci &amp; Technol China, CAS Key Lab Technol Geospatial Informat Proc &amp; Ap, Hefei 230027, Peoples R China.</t>
  </si>
  <si>
    <t>cxs2016@mail.ustc.edu.cn; dongeliu@ustc.edu.cn; zwxiong@ustc.edu.cn; zhazj@ustc.edu.cn</t>
  </si>
  <si>
    <t>Liu, Dong/K-7488-2012; Zha, Zheng-Jun/AAE-8408-2020; 熊, 志伟/JWQ-0092-2024</t>
  </si>
  <si>
    <t>Liu, Dong/0000-0001-9100-2906; Chen, Xusong/0000-0003-3425-1791;</t>
  </si>
  <si>
    <t>National Key Research and Development Program of China [2018YFA0701603]; Natural Science Foundation of China [61772483, 61622211, U19B2038, 61620106009]; Fundamental Research Funds for the Central Universities [WK2100100030]</t>
  </si>
  <si>
    <t>National Key Research and Development Program of China; Natural Science Foundation of China(National Natural Science Foundation of China (NSFC)); Fundamental Research Funds for the Central Universities(Fundamental Research Funds for the Central Universities)</t>
  </si>
  <si>
    <t>This work was supported in part by the National Key Research and Development Program of China under Grant 2018YFA0701603, in part by the Natural Science Foundation of China under Grants 61772483, 61622211, U19B2038, and 61620106009, and in part by the Fundamental Research Funds for the Central Universities under Grant WK2100100030.</t>
  </si>
  <si>
    <t>10.1109/TMM.2020.2978618</t>
  </si>
  <si>
    <t>PJ6LW</t>
  </si>
  <si>
    <t>WOS:000601877600038</t>
  </si>
  <si>
    <t>Chader, A; Haddadou, H; Hidouci, WK</t>
  </si>
  <si>
    <t>Chader, Asma; Haddadou, Hamid; Hidouci, Walid-Khaled</t>
  </si>
  <si>
    <t>All friends are not equal: weight-aware egocentric network-based user profiling</t>
  </si>
  <si>
    <t>User's Profile; Social Profile; User modeling; Social profiling; Weighted Social Network; Weighted Egocentric Network; Weight-aware method</t>
  </si>
  <si>
    <t>CENTRALITY</t>
  </si>
  <si>
    <t>Several studies were interested in social shared content as rewarding source to enrich user's profile. In this context, we highlight the importance of considering the user's relationship strength to derive relevant social profile. We focus on egocentric network community-based user profiling process (CoBSP) which considers only binary connections between people. In real life, social connections are not merely binary but have associated weights that record people's relation strength. We aim to enhance the effectiveness of CoBSP process by integrating ties strength in the user's profiling process. Our motivation stems from the intuition that people having the strongest relationships with the profiled user may reveal more valuable information about him. The first experiments conducted on scientific publications networks (DBLP/ResearchGate) are promising and show the relevance of our prior premise. However, we should conduct further experiments to completely validate the effectiveness of our proposition.</t>
  </si>
  <si>
    <t>[Chader, Asma; Haddadou, Hamid; Hidouci, Walid-Khaled] Ecole Natl Super Informat ESI, LCSI, Algiers, Algeria</t>
  </si>
  <si>
    <t>Chader, A (corresponding author), Ecole Natl Super Informat ESI, LCSI, Algiers, Algeria.</t>
  </si>
  <si>
    <t>aa_chader@esi.dz; h_haddadou@esi.dz; w_hidouci@esi.dz</t>
  </si>
  <si>
    <t>Haddadou, Hamid/AAW-8892-2020; CHADER, Asma/AAA-5297-2021</t>
  </si>
  <si>
    <t>Haddadou, Hamid/0000-0003-0824-0124; CHADER, Asma/0000-0002-0037-5529</t>
  </si>
  <si>
    <t>10.1109/AICCSA.2017.13</t>
  </si>
  <si>
    <t>WOS:000428311600075</t>
  </si>
  <si>
    <t>Li, HK; Lai, LB; Xu, XF; Shen, Y; Xu, XY; Xia, CR</t>
  </si>
  <si>
    <t>Li, Huakang; Lai, Longbin; Xu, Xiaofeng; Shen, Yao; Xu, Xiangyang; Xia, Chunrong</t>
  </si>
  <si>
    <t>User interest profile identification using Wikipedia knowledge database</t>
  </si>
  <si>
    <t>2013 IEEE 15TH INTERNATIONAL CONFERENCE ON HIGH PERFORMANCE COMPUTING AND COMMUNICATIONS &amp; 2013 IEEE INTERNATIONAL CONFERENCE ON EMBEDDED AND UBIQUITOUS COMPUTING (HPCC_EUC)</t>
  </si>
  <si>
    <t>15th IEEE International Conference on High Performance Computing and Communications (HPCC) /11th IEEE/IFIP International Conference on Embedded and Ubiquitous Computing (EUC)</t>
  </si>
  <si>
    <t>NOV 13-15, 2013</t>
  </si>
  <si>
    <t>IEEE,IEEE Comp Soc,Cent S Univ,Natl Univ Defense Technol,Hunan Univ,Jishou Univ,IFIP</t>
  </si>
  <si>
    <t>The interesting, targeted, relevant advertisement is considered as one of the most honest proceeds for personalizing recommendation. Topic identification is the most important technique for the unstructured web pages. Conventional content classification approaches based on bag of words are difficult to process massive web pages. In this paper, Wikipedia Category Network (WCN) nodes are used to identify a web page topic and estimate user's interest profile. Wikipedia is the largest contents knowledge database and updated dynamically. A basic interest data set is marked for WCN. The topic characterization for each WCN node is generated with the depth and breadth of the interest data set. To reduce the deviation of the breadth, a family generation algorithm is proposed to estimate the generation weight in WCN. Finally, an interest decay model based on URL number is proposed to represent user's interest profile in time period. Experimental results illustrated that the performance of Web page topic identification is significant using WCN with family model, and the profile identification model has a dynamical performance for active users.</t>
  </si>
  <si>
    <t>[Li, Huakang] Nanjing Univ Posts &amp; TELE, Juangsu High Technol Res Key Lab Wireless Sensor, Sch Comp Sci &amp; Technol, Nanjing, Jiangsu, Peoples R China; [Lai, Longbin; Xu, Xiaofeng; Shen, Yao] Shanghai Jiao Tong Univ, Dept Comp Sci &amp; Engn, Shanghai 200240, Peoples R China; [Xu, Xiangyang; Xia, Chunrong] Nanjing Univ, Dept Comp Sci &amp; Technol, Nanjing 210008, Jiangsu, Peoples R China</t>
  </si>
  <si>
    <t>Nanjing University of Posts &amp; Telecommunications; Shanghai Jiao Tong University; Nanjing University</t>
  </si>
  <si>
    <t>Li, HK (corresponding author), Nanjing Univ Posts &amp; TELE, Juangsu High Technol Res Key Lab Wireless Sensor, Sch Comp Sci &amp; Technol, Nanjing, Jiangsu, Peoples R China.</t>
  </si>
  <si>
    <t>huakang.lee@gmail.com; yshen@cs.sjtu.edu.cn; xiangyang.xu.89@gmail.com</t>
  </si>
  <si>
    <t>Lai, Longbin/AAT-1182-2020; Li, Huakang/PFI-7262-2025</t>
  </si>
  <si>
    <t>978-0-7695-5088-6</t>
  </si>
  <si>
    <t>10.1109/HPCC.and.EUC.2013.340</t>
  </si>
  <si>
    <t>BC9OW</t>
  </si>
  <si>
    <t>WOS:000356716900331</t>
  </si>
  <si>
    <t>Degeling, M; Nierhoff, J</t>
  </si>
  <si>
    <t>Degeling, Martin; Nierhoff, Jan</t>
  </si>
  <si>
    <t>Tracking and Tricking a Profiler Automated Measuring and Influencing of Bluekai's Interest Profiling</t>
  </si>
  <si>
    <t>PROCEEDINGS OF THE 2018 WORKSHOP ON PRIVACY IN THE ELECTRONIC SOCIETY (WPES'18)</t>
  </si>
  <si>
    <t>17th ACM Workshop on Privacy in the Electronic Society (WPES)</t>
  </si>
  <si>
    <t>OCT 15, 2018</t>
  </si>
  <si>
    <t>Toronto, CANADA</t>
  </si>
  <si>
    <t>Assoc Comp Machinery,ACM SIGSAC</t>
  </si>
  <si>
    <t>Online advertising services infer interest profiles based on users browsing behavior, but little is known about the extent of these profiles and how they can be influenced. In this paper we describe and evaluate a system to analyze online profiling as a black box by simulating web browsing sessions based on links posted to Reddit. The study utilizes Oracle's Bluekai Registry1 to gain insights into profiles created through online tracking and evaluates how they can be obfuscated. We report on the extent of Bluekai's tracking network and taxonomy, analyze how profiles are shown to users, and observe how they develop for sessions of up to 3,000 website visits. Our results show that only a fraction of websites influence the interests assigned to a session's profile, that the profiles themselves are very noisy, and that identical browsing behavior results in different profiles. We evaluate two simple obfuscation schemes that effectively alter interest profiles by selectively adding 5% targeted obfuscation traffic.</t>
  </si>
  <si>
    <t>[Degeling, Martin; Nierhoff, Jan] Ruhr Univ Bochum, Bochum, Germany</t>
  </si>
  <si>
    <t>Ruhr University Bochum</t>
  </si>
  <si>
    <t>Degeling, M (corresponding author), Ruhr Univ Bochum, Bochum, Germany.</t>
  </si>
  <si>
    <t>martin.degeling@ruhr-uni-bochum.de; jan.nierhoff@ruhr-uni-bochum.de</t>
  </si>
  <si>
    <t>Degeling, Martin/ACN-9492-2022</t>
  </si>
  <si>
    <t>Degeling, Martin/0000-0001-7048-781X; Nierhoff, Jan/0000-0002-4439-6778</t>
  </si>
  <si>
    <t>978-1-4503-5989-4</t>
  </si>
  <si>
    <t>10.1145/3267323.3268955</t>
  </si>
  <si>
    <t>BL9RT</t>
  </si>
  <si>
    <t>WOS:000458177600001</t>
  </si>
  <si>
    <t>Ho, TDH; Nguyen, STT</t>
  </si>
  <si>
    <t>Trong Dang Huu Ho; Sang Thi Thanh Nguyen</t>
  </si>
  <si>
    <t>Self-Attentive Sequential Recommendation Models Enriched with More Features</t>
  </si>
  <si>
    <t>PROCEEEDINGS OF 2024 8TH INTERNATIONAL CONFERENCE ON DEEP LEARNING TECHNOLOGIES, ICDLT 2024</t>
  </si>
  <si>
    <t>8th International Conference on Deep Learning Technologies</t>
  </si>
  <si>
    <t>JUL 15-17, 2024</t>
  </si>
  <si>
    <t>Recommender Systems; Sequential Prediction; Self-attention; Self-Attentive Models</t>
  </si>
  <si>
    <t>Recommender systems have become essential for alleviating information overload by providing personalized suggestions, with traditional collaborative filtering methods based on matrix factorization widely adopted but often struggling to capture dynamic user interests and complex item relationships. Recently, deep learning techniques utilizing the attention mechanism have shown promise in modeling sequential user behavior for recommendation tasks by leveraging self-attention to identify relevant historical interactions when predicting the next item of interest. However, these models primarily rely on raw interaction sequences, failing to exploit auxiliary information, such as user ratings and item categories that could further enhance recommendation accuracy. In this study, we propose a self-attentive sequential recommendation method that enriches input representations by incorporating user ratings to capture explicit preferences and item categories to capture semantic relationships between items, extending the self-attention architecture to attend to the combination of interaction sequences, ratings, and categories. Through extensive experiments on public datasets, we demonstrate that our proposed method exhibits relative strengths in capturing certain aspects of user-item relationships, leading to competitive performance compared to original models across different recommendation quality metrics.</t>
  </si>
  <si>
    <t>[Trong Dang Huu Ho; Sang Thi Thanh Nguyen] Int Univ, Sch Comp Sci &amp; Engn, VNU HCMC, Ho Chi Minh City, Vietnam; [Trong Dang Huu Ho; Sang Thi Thanh Nguyen] Vietnam Natl Univ HCMC, Ho Chi Minh City, Vietnam</t>
  </si>
  <si>
    <t>Vietnam National University Ho Chi Minh City (VNUHCM) System; Vietnam National University Ho Chi Minh City (VNUHCM) System</t>
  </si>
  <si>
    <t>Ho, TDH (corresponding author), Int Univ, Sch Comp Sci &amp; Engn, VNU HCMC, Ho Chi Minh City, Vietnam.;Ho, TDH (corresponding author), Vietnam Natl Univ HCMC, Ho Chi Minh City, Vietnam.</t>
  </si>
  <si>
    <t>hdhtrong@hcmiu.edu.vn; nttsang@hcmiu.edu.vn</t>
  </si>
  <si>
    <t>Ho Dang Huu, Trong/0009-0002-0176-0864</t>
  </si>
  <si>
    <t>Vietnam National University HoChiMinh City (VNU-HCM) [C2024-28-03]</t>
  </si>
  <si>
    <t>Vietnam National University HoChiMinh City (VNU-HCM)</t>
  </si>
  <si>
    <t>This research is funded by Vietnam National University HoChiMinh City (VNU-HCM) under grant number C2024-28-03.</t>
  </si>
  <si>
    <t>979-8-4007-1686-7</t>
  </si>
  <si>
    <t>10.1145/3695719.3695727</t>
  </si>
  <si>
    <t>BY3GD</t>
  </si>
  <si>
    <t>WOS:001416150200008</t>
  </si>
  <si>
    <t>Deng, H; Wu, CQ; Song, Y; Changhui, L; Zhijie, X; Deng, YC; Yiwen, X</t>
  </si>
  <si>
    <t>Deng, Hui; Wu, Changqi; Song, Yang; Changhui, Li; Zhijie, Xu; Deng, Yichuan; Yiwen, Xu</t>
  </si>
  <si>
    <t>A feedback-driven knowledge-graph recommendation framework for personalised service optimisation in offline commercial complexes</t>
  </si>
  <si>
    <t>ENGINEERING CONSTRUCTION AND ARCHITECTURAL MANAGEMENT</t>
  </si>
  <si>
    <t>Personalised recommendation; Knowledge graph; Feedback mechanism; Collaborative filtering; Offline commercial complexes; Dynamic preference evolution</t>
  </si>
  <si>
    <t>PurposeOffline commercial complexes feature diverse services, sparse behavioural data and rapidly changing user interests, which limit conventional recommendation methods. This study develops a personalised recommendation framework designed for high-uncertainty offline environments and evaluates its performance across static and dynamic systems and across cold-start and stable user groups.Design/methodology/approachA lightweight system is built by encoding questionnaire data into a preference knowledge graph and applying a hybrid user similarity model for preference inference. A dynamic module updates user-category relations through explicit feedback and controlled semantic diffusion, enabling continuous refinement. Static and dynamic configurations are tested separately on cold-start and stable users and ablation experiments quantify the contribution of relation updating and diffusion.FindingsThe static system provides a strong baseline under sparse data. The dynamic system yields further improvements: for cold-start users, P@1 and HIT@3 rise by 5.6 and 6.6 percentage points; for stable users, P@1 increases by 10.0 percent with clear gains in mean reciprocal rank and discounted cumulative gain. Ablation results show that feedback-driven edge updating generates most improvements, while intra-cluster diffusion supplies additional benefits, particularly for cold-start users.Originality/valueThe study offers a structurally adaptable and computationally efficient framework for offline commercial environments without behavioural logs. Through a combined static-to-dynamic and cold-start-to-stable evaluation, it demonstrates how lightweight graph modelling and local feedback-based updates can deliver accurate, interpretable and deployable personalised recommendations for real facility and commercial management settings.</t>
  </si>
  <si>
    <t>[Deng, Hui; Wu, Changqi; Deng, Yichuan; Yiwen, Xu] South China Univ Technol, Sch Civil Engn &amp; Transportat, Guangzhou, Peoples R China; [Song, Yang; Changhui, Li; Zhijie, Xu] Guangzhou Urban Planning Survey &amp; Design Inst, Guangzhou, Peoples R China</t>
  </si>
  <si>
    <t>Song, Y (corresponding author), Guangzhou Urban Planning Survey &amp; Design Inst, Guangzhou, Peoples R China.</t>
  </si>
  <si>
    <t>hdeng@scut.edu.cn; 202421008354@mail.scut.edu.cn; songyang_whu@163.com; lichanghui@gzpi.com.cn; jay-xu33@163.com; ctycdeng@scut.edu.cn; 202020107992@mail.scut.edu.cn</t>
  </si>
  <si>
    <t>Deng, Yichuan/GZM-0576-2022</t>
  </si>
  <si>
    <t>Collaborative Innovation Center for Natural Resources Planning and Marine Technology of Guangzhou [No.2023B04J0301]; Basic and Applied Basic Research Foundation of Guangdong Province [2023A1515030169]</t>
  </si>
  <si>
    <t>Collaborative Innovation Center for Natural Resources Planning and Marine Technology of Guangzhou; Basic and Applied Basic Research Foundation of Guangdong Province</t>
  </si>
  <si>
    <t>ThisworkwassupportedbyCollaborativeInnovationCenterforNaturalResourcesPlanningandMarineTechnologyofGuangzhou(awardnumber:2023B04J0301and2025B04J0025)andBasicandAppliedBasicResearchFoundationofGuangdongProvince(awardnumber:2023A1515030169).</t>
  </si>
  <si>
    <t>0969-9988</t>
  </si>
  <si>
    <t>1365-232X</t>
  </si>
  <si>
    <t>ENG CONSTR ARCHIT MA</t>
  </si>
  <si>
    <t>Eng. Constr. Archit. Manag.</t>
  </si>
  <si>
    <t>2026 MAR 25</t>
  </si>
  <si>
    <t>10.1108/ECAM-11-2025-1833</t>
  </si>
  <si>
    <t>MAR 2026</t>
  </si>
  <si>
    <t>Engineering, Industrial; Engineering, Civil; Management</t>
  </si>
  <si>
    <t>Engineering; Business &amp; Economics</t>
  </si>
  <si>
    <t>FL6RX</t>
  </si>
  <si>
    <t>WOS:001721706100001</t>
  </si>
  <si>
    <t>Zhu, Y; He, L; Wang, XJ</t>
  </si>
  <si>
    <t>Guo, H</t>
  </si>
  <si>
    <t>Zhu, Yi; He, Li; Wang, Xiaojun</t>
  </si>
  <si>
    <t>User Interest Modeling and Self-Adaptive Update Using Relevance Feedback Technology</t>
  </si>
  <si>
    <t>2012 INTERNATIONAL WORKSHOP ON INFORMATION AND ELECTRONICS ENGINEERING</t>
  </si>
  <si>
    <t>Procedia Engineering</t>
  </si>
  <si>
    <t>International Workshop on Information and Electronics Engineering (IWIEE) / International Conference on Information, Computing and Telecommunications (ICICT)</t>
  </si>
  <si>
    <t>MAR 10-11, 2012</t>
  </si>
  <si>
    <t>Harbin Univ Sci &amp; Technol,Int Sci &amp; Engn Res Ctr,Harbin Engn Univ,NE Forestry Univ,Harbin Normal Univ,HeiLongJing Univ,NE Petr Univ,Harbin Univ,China Commun Magazine, Co., Ltd</t>
  </si>
  <si>
    <t>User Interest; Personalized Service; Relevance Feedback; Time-attenuation</t>
  </si>
  <si>
    <t>User interest modeling is the core component of personalized service system. To improve the accuracy of the resulting model, this paper presents a method for modeling user's interest by collecting information of interactive behaviors and combining with implicit feedback techniques. This method also applies explicit feedback and Time-attenuation to self-adaptively update the interest model. It improves the accuracy of the model and will be pretty useful for personalized searching and filtering systems. (C) 2011 Published by Elsevier Ltd. Selection and/or peer-review under responsibility of Harbin University of Science and Technology.</t>
  </si>
  <si>
    <t>[Zhu, Yi; He, Li; Wang, Xiaojun] Jiangsu Radio &amp; TV Univ, Nanjing 210036, Jiangsu, Peoples R China</t>
  </si>
  <si>
    <t>Zhu, Y (corresponding author), Jiangsu Radio &amp; TV Univ, Nanjing 210036, Jiangsu, Peoples R China.</t>
  </si>
  <si>
    <t>zhuyi@jstvu.edu.cn</t>
  </si>
  <si>
    <t>Wang, Xiao-Jun/A-6036-2012</t>
  </si>
  <si>
    <t>1877-7058</t>
  </si>
  <si>
    <t>PROCEDIA ENGINEER</t>
  </si>
  <si>
    <t>10.1016/j.proeng.2012.01.030</t>
  </si>
  <si>
    <t>Engineering, Mechanical</t>
  </si>
  <si>
    <t>BDP99</t>
  </si>
  <si>
    <t>WOS:000314346400131</t>
  </si>
  <si>
    <t>Cui, RH; Agrawal, G; Ramnath, R</t>
  </si>
  <si>
    <t>Cui, Renhao; Agrawal, Gagan; Ramnath, Rajiv</t>
  </si>
  <si>
    <t>Tweets can tell: activity recognition using hybrid gated recurrent neural networks</t>
  </si>
  <si>
    <t>Neural network; Activity recognition; Classification; Social network; User profiling</t>
  </si>
  <si>
    <t>This paper presents techniques to detect the offline activity (such as dining, shopping, or entertainment) a person is engaged in when she is tweeting , in order to create a dynamic profile of the user, for uses such as better targeting of advertisements. To this end, we present a hybrid gated recurrent neural network (GRNN)-based model for rich contextual learning. Specifically, the study and construction of the hybrid model are applied to two types of GRNNs, namely LSTM and GRU networks. In the process, we study the effects of applying and combining multiple contextual modeling methods with different contextual features. Our hybrid model outperforms a set of baselines and state-of-the-art methods. Finally, this paper presents an orthogonal validation using a real-world application. Our model generates offline activity analysis for the followers of several well-known accounts, and the result is quite representative of the expected characteristics of these accounts.</t>
  </si>
  <si>
    <t>[Cui, Renhao; Ramnath, Rajiv] Ohio State Univ, Columbus, OH 43210 USA; [Agrawal, Gagan] Augusta Univ, Augusta, GA USA</t>
  </si>
  <si>
    <t>University System of Ohio; Ohio State University; University System of Georgia; Augusta University</t>
  </si>
  <si>
    <t>Cui, RH (corresponding author), Ohio State Univ, Columbus, OH 43210 USA.</t>
  </si>
  <si>
    <t>cui.182@osu.edu; gagrawal@augusta.edu; ramnath.6@osu.edu</t>
  </si>
  <si>
    <t>; Ramnath, Rajiv/AAF-1865-2019</t>
  </si>
  <si>
    <t>Cui, Renhao/0000-0003-4211-1844;</t>
  </si>
  <si>
    <t>MAR 2</t>
  </si>
  <si>
    <t>10.1007/s13278-020-0628-0</t>
  </si>
  <si>
    <t>KW1NM</t>
  </si>
  <si>
    <t>WOS:000520938200002</t>
  </si>
  <si>
    <t>Du, AN; Fang, BX; Li, B</t>
  </si>
  <si>
    <t>Singh, S; Singh, M; Apte, C; Perner, P</t>
  </si>
  <si>
    <t>A Biased Support Vector Machine approach to web filtering</t>
  </si>
  <si>
    <t>PATTERN RECOGNITION AND DATA MINING, PT 1, PROCEEDINGS</t>
  </si>
  <si>
    <t>3rd International Conference on Advances in Pattern Recognition</t>
  </si>
  <si>
    <t>AUG 22-25, 2005</t>
  </si>
  <si>
    <t>Bath, ENGLAND</t>
  </si>
  <si>
    <t>Web filtering is an inductive process which automatically builds a filter by learning the description of user interest from a set of pre-assigned web pages, and uses the filter to assign unprocessed web pages. In web filtering, content similarity analysis is the core problem, the automatic-learning and relativity-analysis abilities of machine learning algorithms help solve the above problems and make ML useful in web filtering. While in practical applications, different filtering task implies different userinterest and thus implies different filtering result. This work studies how to adjust the web filtering results to be more fit for the user interest. The web filtering result are divided into three categories: relative pages, similar pages and homologous pages according to different user interest. A Biased Support Vector Machine (BSVM) algorithm, which imports a stimulant function, uses training examples distribution n(+)/n(-) and a user-adaptable parameter k to deal imbalancedly different classes of the pre-assigned pages, is introduced to adjust the filtering result to be best fit for the user interest. Experiments show that BSVM can greatly improve the web filtering performance.</t>
  </si>
  <si>
    <t>Harbin Inst Technol, Res Ctr Comp Network &amp; Informat Secur Technol, Harbin 150001, Peoples R China</t>
  </si>
  <si>
    <t>Du, AN (corresponding author), Harbin Inst Technol, Res Ctr Comp Network &amp; Informat Secur Technol, Harbin 150001, Peoples R China.</t>
  </si>
  <si>
    <t>ani@pact518.hit.edu.cn; bxfang@pact518.hit.edu.cn; libin@pact518.hit.edu.cn</t>
  </si>
  <si>
    <t>3-540-28757-4</t>
  </si>
  <si>
    <t>Conference Proceedings Citation Index - Science (CPCI-S); Science Citation Index Expanded (SCI-EXPANDED)</t>
  </si>
  <si>
    <t>BDA34</t>
  </si>
  <si>
    <t>WOS:000232247900039</t>
  </si>
  <si>
    <t>Ki, S; Park, S; Ryu, J</t>
  </si>
  <si>
    <t>Ki, Suhyun; Park, Sanghoon; Ryu, Jeeheon</t>
  </si>
  <si>
    <t>The Effects of Classroom Management Efficacy on Interest Development in Guided Role-Playing Simulations for Sustainable Pre-Service Teacher Training</t>
  </si>
  <si>
    <t>SUSTAINABILITY</t>
  </si>
  <si>
    <t>virtual reality simulation; pre-service teacher training; guided role-playing; classroom management efficacy; interest development</t>
  </si>
  <si>
    <t>SELF-EFFICACY; SITUATIONAL INTEREST; 4-PHASE MODEL; STUDENTS; DISCIPLINE; EDUCATION; ANTECEDENTS</t>
  </si>
  <si>
    <t>Classroom management is an essential yet frequently under-practiced competency in undergraduate teacher education, with important implications for sustainable teacher preparation. This study investigated whether pre-service teachers who feel more capable of managing classrooms also engage more deeply with simulation-based training. Fifty-seven Korean pre-service teachers (15 men, 42 women), all undergraduate students enrolled in a secondary teacher education program at a college of education, completed a five-item classroom-management-efficacy scale, then experienced a 15 min branching simulation that required choosing recognition, punishment, or aggression strategies in response to a disrespectful virtual student. Interest was assessed immediately afterwards with a 24-item instrument covering the four phases of the interest-development model (triggered situational, maintained situational, emerging individual, and well-developed individual). A post-test comparative design and MANOVA revealed that efficacy level had a significant multivariate effect on overall interest (Wilks Lambda = 0.78, p = 0.029, partial eta(2) = 0.12). Scheffe contrasts showed that high-efficacy participants outscored their low-efficacy peers on maintained situational and emerging individual interest, p &lt; 0.05, and surpassed the middle-efficacy group in three of the four phases. Repeated measures ANOVA confirmed a general decline from situational to individual interest across all groups (F (3, 52) = 9.23, p &lt; 0.01), underscoring the difficulty of converting short-term curiosity into lasting commitment. These findings position classroom-management efficacy as a key moderator of engagement and support the use of adaptive simulations as sustainable tools for teacher education. By tailoring challenge levels and feedback to participants' efficacy, guided simulations can foster deeper engagement and promote individualized growth-helping build resilient and well-prepared educators.</t>
  </si>
  <si>
    <t>[Ki, Suhyun; Ryu, Jeeheon] Chonnam Natl Univ, Inst Educ Res, Ctr Immers Learning Technol, Dept Educ, Gwangju 61186, South Korea; [Park, Sanghoon] Univ S Florida, Dept Educ &amp; Psychol Studies, Tampa, FL 33620 USA</t>
  </si>
  <si>
    <t>Chonnam National University; State University System of Florida; University of South Florida</t>
  </si>
  <si>
    <t>Ryu, J (corresponding author), Chonnam Natl Univ, Inst Educ Res, Ctr Immers Learning Technol, Dept Educ, Gwangju 61186, South Korea.</t>
  </si>
  <si>
    <t>park2@usf.edu</t>
  </si>
  <si>
    <t>PARK, SANGHOON/ABH-4058-2020</t>
  </si>
  <si>
    <t>PARK, SANGHOON/0000-0001-9459-8880; Ryu, Jeeheon/0000-0003-2891-283X</t>
  </si>
  <si>
    <t>National Research Foundation of Korea (NRF) [NRF-2021S1A5B8096558]; National Research Foundation of Korea (NRF) - Ministry of Education</t>
  </si>
  <si>
    <t>National Research Foundation of Korea (NRF)(National Research Foundation of Korea); National Research Foundation of Korea (NRF) - Ministry of Education(National Research Foundation of KoreaMinistry of Education (MOE), Republic of Korea)</t>
  </si>
  <si>
    <t>This research was supported by National Research Foundation of Korea (NRF) funded by the Ministry of Education (NRF-2021S1A5B8096558).</t>
  </si>
  <si>
    <t>2071-1050</t>
  </si>
  <si>
    <t>SUSTAINABILITY-BASEL</t>
  </si>
  <si>
    <t>Sustainability</t>
  </si>
  <si>
    <t>JUL 8</t>
  </si>
  <si>
    <t>10.3390/su17146257</t>
  </si>
  <si>
    <t>Green &amp; Sustainable Science &amp; Technology; Environmental Sciences; Environmental Studies</t>
  </si>
  <si>
    <t>5JA3Z</t>
  </si>
  <si>
    <t>WOS:001536845500001</t>
  </si>
  <si>
    <t>Shao, JL; Wang, YQ; Gao, H; Shen, HW; Li, YY; Cheng, XQ</t>
  </si>
  <si>
    <t>Shao, Jiangli; Wang, Yongqing; Gao, Hao; Shen, Huawei; Li, Yangyang; Cheng, Xueqi</t>
  </si>
  <si>
    <t>Locate Who You Are: Matching Geo-location to Text for User Identity Linkage</t>
  </si>
  <si>
    <t>PROCEEDINGS OF THE 30TH ACM INTERNATIONAL CONFERENCE ON INFORMATION &amp; KNOWLEDGE MANAGEMENT, CIKM 2021</t>
  </si>
  <si>
    <t>30th ACM International Conference on Information and Knowledge Management (CIKM)</t>
  </si>
  <si>
    <t>NOV 01-05, 2021</t>
  </si>
  <si>
    <t>Univ Queensland, ELECTR NETWORK</t>
  </si>
  <si>
    <t>Univ Queensland</t>
  </si>
  <si>
    <t>user identity linkage; geo-location; user generated text</t>
  </si>
  <si>
    <t>Nowadays, users are encouraged to activate across multiple on-line social networks simultaneously. User identity linkage, which aims to reveal the correspondence among different accounts across networks, has been regarded as a fundamental problem for user profiling, marketing, cybersecurity, and recommendation. Existing methods mainly address the prediction problem by utilizing profile, content, or structural features of users in symmetric ways. However, encouraged by online services, information from different social platforms may also be asymmetric, such as geo-locations and texts. It leads to an emerged challenge in aligning users with asymmetric information across networks. Instead of similarity evaluation applied in previous works, we formalize correlation between geo-locations and texts and propose a novel user identity linkage framework for matching users across networks. Moreover, our model can alleviate the label scarcity problem by introducing external text-location pairs. Experimental results on real-world datasets show that our approach outperforms existing methods and achieves state-of-the-art results.</t>
  </si>
  <si>
    <t>[Shao, Jiangli; Wang, Yongqing; Gao, Hao; Shen, Huawei; Cheng, Xueqi] Chinese Acad Sci, Inst Comp Technol, Data Intelligence Syst Res Ctr, Beijing, Peoples R China; [Shao, Jiangli; Gao, Hao] Univ Chinese Acad Sci, Beijing, Peoples R China; [Li, Yangyang] China Acad Elect &amp; Informat Technol, Natl Engn Lab Risk Percept &amp; Prevent, Beijing, Peoples R China</t>
  </si>
  <si>
    <t>Chinese Academy of Sciences; Institute of Computing Technology, CAS; Chinese Academy of Sciences; University of Chinese Academy of Sciences, CAS</t>
  </si>
  <si>
    <t>Shao, JL (corresponding author), Chinese Acad Sci, Inst Comp Technol, Data Intelligence Syst Res Ctr, Beijing, Peoples R China.;Shao, JL (corresponding author), Univ Chinese Acad Sci, Beijing, Peoples R China.</t>
  </si>
  <si>
    <t>shaojiangli19z@ict.ac.cn; wangyongqing@ict.ac.cn; gaohao@ict.ac.cn; shenhuawei@ict.ac.cn; liyangyang@cetc.com.cn; cxq@ict.ac.cn</t>
  </si>
  <si>
    <t>Shen, Hua-Wei/E-8028-2010; Gao, Hao/AFM-0642-2022; Cheng, Xueqi/F-1706-2010; Li, Yangyang/HTL-9531-2023</t>
  </si>
  <si>
    <t>Gao, Hao/0000-0003-1586-8542; Shao, Jiangli/0000-0002-1552-4769;</t>
  </si>
  <si>
    <t>This work was funded by the National Natural Science Foundation of China under grant numbers 61802371, 91746301, U1836111, the National Key Research and Development Program of China under grant numbers 2018YFC0825200 and the National Social Science Fund of China under grant number 19ZDA329.</t>
  </si>
  <si>
    <t>978-1-4503-8446-9</t>
  </si>
  <si>
    <t>10.1145/3459637.3482134</t>
  </si>
  <si>
    <t>BV5WQ</t>
  </si>
  <si>
    <t>WOS:001054156203090</t>
  </si>
  <si>
    <t>Cena, F; Likavec, S; Osborne, F</t>
  </si>
  <si>
    <t>Pirrone, R; Sorbello, F</t>
  </si>
  <si>
    <t>Cena, Federica; Likavec, Silvia; Osborne, Francesco</t>
  </si>
  <si>
    <t>Propagating User Interests in Ontology-Based User Model</t>
  </si>
  <si>
    <t>AI(STAR)IA 2011: ARTIFICIAL INTELLIGENCE AROUND MAN AND BEYOND</t>
  </si>
  <si>
    <t>12th International Conference of the Italian-Association-for-Artificial-Intelligence on Advances in Artificial Intelligence</t>
  </si>
  <si>
    <t>SEP 15-17, 2011</t>
  </si>
  <si>
    <t>Italian Assoc Artificial Intelligence, Palermo, ITALY</t>
  </si>
  <si>
    <t>Univ Palermo,Artificial Intelligence Journal,Ist Calcolo &amp; Reti Alte Prestazioni,Ctr Interdipartimentale Tecnol Conoscenza,Engn Ingegneria Informat SpA,Informamuse SRL</t>
  </si>
  <si>
    <t>Italian Assoc Artificial Intelligence</t>
  </si>
  <si>
    <t>User model; ontology; propagation of interests</t>
  </si>
  <si>
    <t>RECOMMENDER SYSTEMS; HYPERMEDIA</t>
  </si>
  <si>
    <t>In this paper we address the problem of propagating user interests in ontology-based user models. Our ontology-based user model (OBUM) is devised as an overlay over the domain ontology. Using ontologies as the basis of the user profile allows the initial user behavior to be matched with existing concepts in the domain ontology. Such ontological approach to user profiling has been proven successful in addressing the cold-start problem in recommender systems, since it allows for propagation from a small number of initial concepts to other related domain concepts by exploiting the ontological structure of the domain. The main contribution of the paper is the novel algorithm for propagation of user interests which takes into account i) the ontological structure of the domain and, in particular, the level at which each domain item is found in the ontology; ii) the type of feedback provided by the user, and iii) the amount of past feedback provided for a certain domain object.</t>
  </si>
  <si>
    <t>[Cena, Federica; Likavec, Silvia; Osborne, Francesco] Univ Turin, Dipartimento Informat, I-10124 Turin, Italy</t>
  </si>
  <si>
    <t>University of Turin</t>
  </si>
  <si>
    <t>Cena, F (corresponding author), Univ Turin, Dipartimento Informat, I-10124 Turin, Italy.</t>
  </si>
  <si>
    <t>cena@di.unito.it; likavec@di.unito.it; osborne@di.unito.it</t>
  </si>
  <si>
    <t>Osborne, Francesco/HGU-2673-2022; CENA, Federica/ABD-5287-2020</t>
  </si>
  <si>
    <t>Osborne, Francesco/0000-0001-6557-3131; CENA, Federica/0000-0003-3481-3360; Likavec, Silvia/0009-0009-1439-3435</t>
  </si>
  <si>
    <t>978-3-642-23953-3</t>
  </si>
  <si>
    <t>BBI27</t>
  </si>
  <si>
    <t>WOS:000306943600028</t>
  </si>
  <si>
    <t>Ojagh, S; Malek, MR; Saeedi, S; Liang, S</t>
  </si>
  <si>
    <t>Chakrabarti, S; Saha, HN</t>
  </si>
  <si>
    <t>Ojagh, Soroush; Malek, Mohammad Reza; Saeedi, Sara; Liang, Steve</t>
  </si>
  <si>
    <t>An Internet of Things (IoT) Approach for Automatic Context Detection</t>
  </si>
  <si>
    <t>2018 IEEE 9TH ANNUAL INFORMATION TECHNOLOGY, ELECTRONICS AND MOBILE COMMUNICATION CONFERENCE (IEMCON)</t>
  </si>
  <si>
    <t>9th IEEE Annual Information Technology, Electronics and Mobile Communication Conference (IEMCON)</t>
  </si>
  <si>
    <t>NOV 01-03, 2018</t>
  </si>
  <si>
    <t>Univ British Columbia, Vancouver, CANADA</t>
  </si>
  <si>
    <t>Inst Engn &amp; Management,IEEE Vancouver Sect,UBC,Univ Engn &amp; Management</t>
  </si>
  <si>
    <t>Univ British Columbia</t>
  </si>
  <si>
    <t>Adaptive Services; Smart Objects; Sensors; Internet of Things; User Profile; Context Awareness</t>
  </si>
  <si>
    <t>Context-aware systems are intelligent systems that recommend users with adaptive service choices which are appropriate to their profile preferences and contextual situations. However, the key challenges in these systems are extracting dynamic context information and updating user's profile information. Recently by the popularity of IoT devices as well as the availability of the wireless network, a massive volume of data is available to gain useful insights into user profile which contains dynamic contextual information. IoT sensors continuously generate enormous amounts of data. However, in order to add value to raw sensor data, we need to understand them and use them in a context-aware computing platform. In this article, an adaptive context-aware service composition system is proposed using an IoT based social network dataset to find users' preferences, improve quality of experience, and boosts the personalization level of services. This paper proposes an IoT-based context-aware service composition to seamlessly find adaptive services offered by a service provider at anytime and anywhere. Firstly, the proposed system considers the dynamic social profile of the user and clusters their preferences while other systems take only static user interests into account. Secondly, this system increases the level of personalization by extracting context information from a user's IoT devices. Finally, the adaptive service composition provides users with various context-aware recommendation including movies, music, venues, radio stations, and events simultaneously. To evaluate the efficiency of the proposed system, we target some of the smart objects such as smart watches/bands, smartphones/tablets, Google Home, and personal computers for detecting several contexts (e.g. location, time, user activity, interest and). Experimental evaluations show that the proposed algorithm can improve accuracy and personalization of filtered items with compare to other widely-applied conventional filtering algorithms.</t>
  </si>
  <si>
    <t>[Ojagh, Soroush; Malek, Mohammad Reza] KNT Univ Technol, Dept Geospatial Informat Syst GIS, Tehran, Iran; [Saeedi, Sara; Liang, Steve] Univ Calgary, Dept Geomat Engn, Calgary, AB, Canada</t>
  </si>
  <si>
    <t>Ojagh, S (corresponding author), KNT Univ Technol, Dept Geospatial Informat Syst GIS, Tehran, Iran.</t>
  </si>
  <si>
    <t>soroush.ojagh@ucalgary.ca; mrmalek@kntu.ac.ir; ssaeedi@ucalgary.ca; steve.liang@ucalgary.ca</t>
  </si>
  <si>
    <t>Malek, Mohammad Reza/AAK-3822-2020</t>
  </si>
  <si>
    <t>Malek, Mohammad Reza/0000-0002-0893-8197</t>
  </si>
  <si>
    <t>978-1-5386-7266-2</t>
  </si>
  <si>
    <t>BM2QM</t>
  </si>
  <si>
    <t>WOS:000461314200037</t>
  </si>
  <si>
    <t>Gammoudi, F; Sendi, M; Omri, MN</t>
  </si>
  <si>
    <t>Gammoudi, Feriel; Sendi, Mondher; Omri, Mohamed Nazih</t>
  </si>
  <si>
    <t>A Survey on Social Media Influence Environment and Influencers Identification</t>
  </si>
  <si>
    <t>Social media; Influencer; Influencer identification; Influence; Finding influencer; Users' interest</t>
  </si>
  <si>
    <t>USER INTERESTS; NETWORKS; TWITTER; TOPICS; DISCOVERY; FRIENDS; PROFILE</t>
  </si>
  <si>
    <t>Social media users can be influenced directly by their close relationships, such as their friends, family, and colleagues. They can also be influenced by those who follow them through shared information, goals, news, and opinions. Generally, an influencer is someone who entices an influence to do the same action, make the same decision, or change their behavior. He can also communicate information, ideas, and thoughts to multiple users. There are many tools to identify influencers. It can not be found simply through their big follower number or their shared media number. Thus, influencer identification is one of the essential tasks in social media research. Several approaches and metrics have been proposed in the literature to identify influencers. In this article, we explored the issue of identifying social media influencers while providing a generic view of social media influence. First, we presented a literature synthesis on the influence of social media. Then, we categorized the works and illustrated the leading solutions in literature to identify influencers in social media. A discussion and suggestions for potential future directions in this area accompanied this presentation. We believe these briefings are critical to resolving the issue discussed in this article.</t>
  </si>
  <si>
    <t>[Gammoudi, Feriel] Univ Monastir, Monastir Fac Sci, Monastir, Tunisia; [Gammoudi, Feriel; Sendi, Mondher; Omri, Mohamed Nazih] Univ Sousse, MARS Res Lab LR17ES05, Sousse, Tunisia</t>
  </si>
  <si>
    <t>Universite de Monastir; Universite de Sousse</t>
  </si>
  <si>
    <t>GammoudiFeriel@gmail.com; Sendi.Mondher@gmail.com; MohamedNazih.Omri@eniso.u-sousse.tn</t>
  </si>
  <si>
    <t>; Omri, Mohamed/AAH-3854-2020</t>
  </si>
  <si>
    <t>Gammoudi, Feriel/0000-0002-4715-0028;</t>
  </si>
  <si>
    <t>10.1007/s13278-022-00972-y</t>
  </si>
  <si>
    <t>5D9GV</t>
  </si>
  <si>
    <t>Green Accepted, Bronze</t>
  </si>
  <si>
    <t>WOS:000865242800001</t>
  </si>
  <si>
    <t>Chen, XS; Liu, D; Zha, ZJ; Zhou, W; Xiong, ZW; Li, Y</t>
  </si>
  <si>
    <t>Chen, Xusong; Liu, Dong; Zha, Zheng-Jun; Zhou, Wengang; Xiong, Zhiwei; Li, Yan</t>
  </si>
  <si>
    <t>Temporal Hierarchical Attention at Category- and Item-Level for Micro-Video Click-Through Prediction</t>
  </si>
  <si>
    <t>PROCEEDINGS OF THE 2018 ACM MULTIMEDIA CONFERENCE (MM'18)</t>
  </si>
  <si>
    <t>26th ACM Multimedia Conference (MM)</t>
  </si>
  <si>
    <t>OCT 22-26, 2018</t>
  </si>
  <si>
    <t>Assoc Comp Machinery,ACM SIGMM</t>
  </si>
  <si>
    <t>attention mechanism; click-through prediction; micro-video; recommendation; algorithm; user modeling</t>
  </si>
  <si>
    <t>Micro-video sharing gains great popularity in recent years, which calls for effective recommendation algorithm to help user find their interested micro-videos. Compared with traditional online (e.g. YouTube) videos, micro-videos contributed by grass-root users and taken by smartphones are much shorter (tens of seconds) and more short of tags or descriptive text, making the recommendation of micro-videos a challenging task. In this paper, we investigate how to model user's historical behaviors so as to predict the user's click-through of micro-videos. Inspired by the recent deep network-based methods, we propose a Temporal Hierarchical Attention at Category- and Item-Level (THACIL) network for user behavior modeling. First, we use temporal windows to capture the short-term dynamics of user interests; Second, we leverage a category-level attention mechanism to characterize user's diverse interests, as well as an item-level attention mechanism for fine-grained profiling of user interests; Third, we adopt forward multi-head self-attention to capture the long-term correlation within user behaviors. Our proposed THACIL network was tested on MicroVideo-1.7M, a new dataset of 1.7 million micro-videos, coming from real data of a micro-video sharing service in China. Experimental results demonstrate the effectiveness of the proposed method in comparison with the state-of-the-art solutions.</t>
  </si>
  <si>
    <t>[Chen, Xusong; Liu, Dong; Zha, Zheng-Jun; Zhou, Wengang; Xiong, Zhiwei; Li, Yan] Univ Sci &amp; Technol China, CAS Key Lab Technol Geospatial Informat Proc &amp; Ap, Hefei, Peoples R China</t>
  </si>
  <si>
    <t>Liu, D (corresponding author), Univ Sci &amp; Technol China, CAS Key Lab Technol Geospatial Informat Proc &amp; Ap, Hefei, Peoples R China.</t>
  </si>
  <si>
    <t>dongeliu@ustc.edu.cn</t>
  </si>
  <si>
    <t>Zha, Zheng-Jun/AAE-8408-2020; liu, dong/GRJ-9115-2022; l, y/IAQ-9519-2023; 熊, 志伟/JWQ-0092-2024</t>
  </si>
  <si>
    <t>Zha, Zheng-Jun/0000-0003-2510-8993;</t>
  </si>
  <si>
    <t>Natural Science Foundation of China [61772483, 61331017, 61390512, 61622211, 61472392, 61620106009]; Fundamental Research Funds for the Central Universities [WK2100100030]</t>
  </si>
  <si>
    <t>Natural Science Foundation of China(National Natural Science Foundation of China (NSFC)); Fundamental Research Funds for the Central Universities(Fundamental Research Funds for the Central Universities)</t>
  </si>
  <si>
    <t>This work was supported by the Natural Science Foundation of China under Grants 61772483, 61331017, 61390512, 61622211, 61472392 and 61620106009, and by the Fundamental Research Funds for the Central Universities under Grant WK2100100030.</t>
  </si>
  <si>
    <t>978-1-4503-5665-7</t>
  </si>
  <si>
    <t>10.1145/3240508.3240617</t>
  </si>
  <si>
    <t>BO2ZN</t>
  </si>
  <si>
    <t>WOS:000509665700131</t>
  </si>
  <si>
    <t>Angioni, M; De Vita, E; Lai, C; Marcialis, I; Paddeu, G; Tuveri, FG</t>
  </si>
  <si>
    <t>Pallotta, V; Soro, A; Vargiu, E</t>
  </si>
  <si>
    <t>Angioni, Manuela; De Vita, Emanuela; Lai, Cristian; Marcialis, Ivan; Paddeu, Gavino; Tuveri, Franco G.</t>
  </si>
  <si>
    <t>Rethinking Search Engines in Social Network Vision</t>
  </si>
  <si>
    <t>ADVANCES IN DISTRIBUTED AGENT-BASED RETRIEVAL TOOLS</t>
  </si>
  <si>
    <t>4th International Workshop on Distributed Agent-Based Retrieval Tools (DART 2010)</t>
  </si>
  <si>
    <t>JUN 18-19, 2010</t>
  </si>
  <si>
    <t>Geneva, SWITZERLAND</t>
  </si>
  <si>
    <t>In this chapter we illustrate our vision about the evolution of search engines, dealing with some emerging questions related to the social role of the user on the Web and to the actual approach to access the information. In this scenario, is ever more evident the need to redefine the information paradigm bringing the information to the user and not more the user to the information, with search engines able to provide results without direct questions from users, anticipating their needs. A Web in service of the user, automatically informed by the system with suggested resources related with his life style and his common behavior without the need to ask for them. This approach will be applied to a project named A Semantic Search Engine for a Business Network where the development of a business network creates a point of contact between the academic and the research world and the productive one by the introduction of Natural Language Processing, user profiling, automatic information classification according to users' personal schemas, contributing in such a way to redefine the vision of information and delineating processes of Human-Machine Interaction.</t>
  </si>
  <si>
    <t>[Angioni, Manuela; De Vita, Emanuela; Lai, Cristian; Marcialis, Ivan; Paddeu, Gavino; Tuveri, Franco G.] CRS4, Ctr Adv Studies Res &amp; Dev Sardinia, I-09010 Pula, CA, Italy</t>
  </si>
  <si>
    <t>Angioni, M (corresponding author), CRS4, Ctr Adv Studies Res &amp; Dev Sardinia, Parco Sci &amp; Tecnol,Ed 1, I-09010 Pula, CA, Italy.</t>
  </si>
  <si>
    <t>angioni@crs4.it; emy@crs4.it; clai@crs4.it; ciano@crs4.it; paddeu@crs4.it; tuveri@crs4.it</t>
  </si>
  <si>
    <t>Lai, Cristian/Y-5874-2019</t>
  </si>
  <si>
    <t>Lai, Cristian/0000-0001-8468-2085</t>
  </si>
  <si>
    <t>978-3-642-21383-0</t>
  </si>
  <si>
    <t>BZQ28</t>
  </si>
  <si>
    <t>WOS:000302383100001</t>
  </si>
  <si>
    <t>Huang, X; Yang, ZH; Yang, Y; Shen, FM; Xie, N; Shen, HT</t>
  </si>
  <si>
    <t>Huang, Z; Xiao, X; Cao, X</t>
  </si>
  <si>
    <t>Huang, Xiu; Yang, Zihao; Yang, Yang; Shen, Fumin; Xie, Ning; Shen, Heng Tao</t>
  </si>
  <si>
    <t>A Deep Approach for Multi-modal User Attribute Modeling</t>
  </si>
  <si>
    <t>DATABASES THEORY AND APPLICATIONS, ADC 2017</t>
  </si>
  <si>
    <t>28th Australasian Database Conference (ADC)</t>
  </si>
  <si>
    <t>SEP 25-28, 2017</t>
  </si>
  <si>
    <t>Univ Queensland, St Lucia Campus, Brisbane, AUSTRALIA</t>
  </si>
  <si>
    <t>Univ Queensland, St Lucia Campus</t>
  </si>
  <si>
    <t>User profiling; Deep learning; Multi-model; Social media</t>
  </si>
  <si>
    <t>With the explosive growth of user-generated contents (e.g., texts, images and videos) on social networks, it is of great significance to analyze and extract people's interests from the massive social media data, thus providing more accurate personalized recommendations and services. In this paper, we propose a novel multimodal deep learning algorithm for user profiling, dubbed multi-modal User Attribute Model (mmUAM), which explores the intrinsic semantic correlations across different modalities. Our proposed model is based on Poisson Gamma Belief Network (PGBN), which is a deep learning topic model for count data in documents. By improving PGBN, we succeed in addressing the problem of learning a shared representation between texts and images in order to obtain textual and visual attributes for users. To evaluate the effectiveness of our proposed method, we collect a real dataset from Sina Weibo. Experimental results demonstrate that the proposed algorithm achieves encouraging performance compared with several state-of-the-art methods.</t>
  </si>
  <si>
    <t>[Yang, Yang] Univ Elect Sci &amp; Technol China, Sch Comp Sci &amp; Technol, Chengdu, Sichuan, Peoples R China; Univ Elect Sci &amp; Technol China, Ctr Future Media, Chengdu, Sichuan, Peoples R China</t>
  </si>
  <si>
    <t>University of Electronic Science &amp; Technology of China; University of Electronic Science &amp; Technology of China</t>
  </si>
  <si>
    <t>Yang, Y (corresponding author), Univ Elect Sci &amp; Technol China, Sch Comp Sci &amp; Technol, Chengdu, Sichuan, Peoples R China.</t>
  </si>
  <si>
    <t>hxiu321@163.com; zivon396@163.com; dlyyang@gmail.com; fumin.shen@gmail.com; seanxiening@gmail.com; shenhengtao@hotmail.com</t>
  </si>
  <si>
    <t>Shen, Heng Tao/ABD-5331-2021; Shen, Fumin/R-2121-2016</t>
  </si>
  <si>
    <t>National Natural Science Foundation of China [61572108, 61502081]; National Thousand-Young-Talents Program of China; Fundamental Research Funds for the Central Universities [ZYGX2014Z007, ZYGX2015J055]</t>
  </si>
  <si>
    <t>National Natural Science Foundation of China(National Natural Science Foundation of China (NSFC)); National Thousand-Young-Talents Program of China; Fundamental Research Funds for the Central Universities(Fundamental Research Funds for the Central Universities)</t>
  </si>
  <si>
    <t>This work was supported in part by the National Natural Science Foundation of China under Project 61572108 and Project 61502081, the National Thousand-Young-Talents Program of China, and the Fundamental Research Funds for the Central Universities under Project ZYGX2014Z007 and Project ZYGX2015J055.</t>
  </si>
  <si>
    <t>978-3-319-68155-9; 978-3-319-68154-2</t>
  </si>
  <si>
    <t>10.1007/978-3-319-68155-9_17</t>
  </si>
  <si>
    <t>BK5YB</t>
  </si>
  <si>
    <t>WOS:000439775500017</t>
  </si>
  <si>
    <t>Bashir, MA; Farooq, U; Shahid, M; Zaffar, MF; Wilsont, C</t>
  </si>
  <si>
    <t>Internet Soc</t>
  </si>
  <si>
    <t>Bashir, Muhammad Ahmad; Farooq, Umar; Shahid, Maryam; Zaffar, Muhammad Fareed; Wilsont, Christo</t>
  </si>
  <si>
    <t>Quantity vs. Quality: Evaluating User Interest Profiles Using Ad Preference Managers</t>
  </si>
  <si>
    <t>26TH ANNUAL NETWORK AND DISTRIBUTED SYSTEM SECURITY SYMPOSIUM (NDSS 2019)</t>
  </si>
  <si>
    <t>26th Annual Network and Distributed System Security Symposium (NDSS)</t>
  </si>
  <si>
    <t>FEB 24-27, 2019</t>
  </si>
  <si>
    <t>San Diego, CA</t>
  </si>
  <si>
    <t>Widely reported privacy issues concerning major online advertising platforms (e.g., Facebook) have heightened concerns among users about the data that is collected about them. However, while we have a comprehensive understanding who collects data on users, as well as how tracking is implemented, there is still a significant gap in our understanding: what information do advertisers actually infer about users, and is this information accurate? In this study, we leverage Ad Preference Managers (APMs) as a lens through which to address this gap. APMs are transparency tools offered by some advertising platforms that allow users to see the interest profiles that are constructed about them. We recruited 220 participants to install an IRB approved browser extension that collected their interest profiles from four APMs (Google, Facebook, Oracle BlueKai, and Neilsen eXelate), as well as behavioral and survey data. We use this data to analyze the size and correctness of interest profiles, compare their composition across the four platforms, and investigate the origins of the data underlying these profiles.</t>
  </si>
  <si>
    <t>[Bashir, Muhammad Ahmad; Wilsont, Christo] Northeastern Univ, Boston, MA 02115 USA; [Farooq, Umar; Shahid, Maryam; Zaffar, Muhammad Fareed] LUMS Pakistan, Lahore, Pakistan</t>
  </si>
  <si>
    <t>Northeastern University</t>
  </si>
  <si>
    <t>Bashir, MA (corresponding author), Northeastern Univ, Boston, MA 02115 USA.</t>
  </si>
  <si>
    <t>ahmad@ccs.neu.edu; 18100155@lums.edu.pk; 18100048@lums.edu.pk; fareed.zaffar@lums.edu.pk; cbw@ccs.neu.edu</t>
  </si>
  <si>
    <t>Wilson, Christo/AAV-9530-2020; Farooq, Umar/JFA-0090-2023</t>
  </si>
  <si>
    <t>Wilson, Christo/0000-0002-5268-004X;</t>
  </si>
  <si>
    <t>NSF [CNS-1563320, IIS-1553088]</t>
  </si>
  <si>
    <t>We thank the reviewers and our shepherd for their helpful feedback. This research was supported in part by NSF grants CNS-1563320 and IIS-1553088. Any opinions, findings, conclusions, or recommendations expressed herein are those of the authors and do not necessarily reflect the views of the NSF.</t>
  </si>
  <si>
    <t>INTERNET SOC</t>
  </si>
  <si>
    <t>1775 WIEHLE AVE, STE 201, RESTON, VA, UNITED STATES</t>
  </si>
  <si>
    <t>978-1-891562-55-6</t>
  </si>
  <si>
    <t>10.14722/ndss.2019.23392</t>
  </si>
  <si>
    <t>BS0BA</t>
  </si>
  <si>
    <t>WOS:000680713300043</t>
  </si>
  <si>
    <t>Lampridis, O; Karanatsiou, D; Vakali, A</t>
  </si>
  <si>
    <t>Lampridis, Orestis; Karanatsiou, Dimitra; Vakali, Athena</t>
  </si>
  <si>
    <t>MANIFESTO: a huMAN-centric explaInable approach for FakE news spreaders deTectiOn</t>
  </si>
  <si>
    <t>COMPUTING</t>
  </si>
  <si>
    <t>Fake news; Social networks; User profiling; Explainable machine learning</t>
  </si>
  <si>
    <t>MISINFORMATION</t>
  </si>
  <si>
    <t>Fake news spreading is strongly connected with the human involvement as individuals tend to fall, adopt and circulate misinformation stories. Until recently, the role of human characteristics in fake news diffusion, in order to deeply understand and fight misinformation patterns, has not been explored to the full extent. This paper suggests a human-centric approach on detecting fake news spreading behavior by building an explainable fake-news-spreader classifier based on psychological and behavioral cues of individuals. Our model achieves promising classification results while offering explanations of human motives and features behind fake news spreading behavior. Moreover, to the best of our knowledge, this is the first study that aims at providing a fully explainable setup that evaluates fake news spreading based on users credibility applied to public discussions aiming to a comprehensive way to combat fake news through human involvement.</t>
  </si>
  <si>
    <t>[Lampridis, Orestis; Karanatsiou, Dimitra; Vakali, Athena] Aristotle Univ Thessaloniki, Informat Dept, Thessaloniki, Greece</t>
  </si>
  <si>
    <t>Karanatsiou, D (corresponding author), Aristotle Univ Thessaloniki, Informat Dept, Thessaloniki, Greece.</t>
  </si>
  <si>
    <t>lorestis@csd.auth.gr; dimitrakd@csd.auth.gr; avakali@csd.auth.gr</t>
  </si>
  <si>
    <t>Karanatsiou, Dimitra/0000-0001-8622-1338</t>
  </si>
  <si>
    <t>European Union; Greek national funds through the Operational Program Competitiveness, Entrepreneurship, and Innovation, under the call RESEARCH -CREATE -INNOVATE [T1EDK-03052, T2EDK-03898]</t>
  </si>
  <si>
    <t>European Union(European Union (EU)); Greek national funds through the Operational Program Competitiveness, Entrepreneurship, and Innovation, under the call RESEARCH -CREATE -INNOVATE</t>
  </si>
  <si>
    <t>This research has been co-financed by the European Union and Greek national funds through the Operational Program Competitiveness, Entrepreneurship, and Innovation, under the call RESEARCH -CREATE -INNOVATE (Project Codes: T1EDK-03052, T2EDK-03898).</t>
  </si>
  <si>
    <t>0010-485X</t>
  </si>
  <si>
    <t>1436-5057</t>
  </si>
  <si>
    <t>Computing</t>
  </si>
  <si>
    <t>10.1007/s00607-021-01013-w</t>
  </si>
  <si>
    <t>0K3DA</t>
  </si>
  <si>
    <t>WOS:000741563500002</t>
  </si>
  <si>
    <t>Wiedemann, N; Janowicz, K; Raubal, M; Kounadi, O</t>
  </si>
  <si>
    <t>Wiedemann, Nina; Janowicz, Krzysztof; Raubal, Martin; Kounadi, Ourania</t>
  </si>
  <si>
    <t>Where you go is who you are: a study on machine learning based semantic privacy attacks</t>
  </si>
  <si>
    <t>JOURNAL OF BIG DATA</t>
  </si>
  <si>
    <t>Location privacy; Place labelling; Semantic privacy; Human mobility</t>
  </si>
  <si>
    <t>LOCATION PRIVACY; SOCIAL NETWORKS; TRIP PURPOSE; ANONYMITY</t>
  </si>
  <si>
    <t>Concerns about data privacy are omnipresent, given the increasing usage of digital applications and their underlying business model that includes selling user data. Location data is particularly sensitive since they allow us to infer activity patterns and interests of users, e.g., by categorizing visited locations based on nearby points of interest (POI). On top of that, machine learning methods provide new powerful tools to interpret big data. In light of these considerations, we raise the following question: What is the actual risk that realistic, machine learning based privacy attacks can obtain meaningful semantic information from raw location data, subject to inaccuracies in the data? In response, we present a systematic analysis of two attack scenarios, namely location categorization and user profiling. Experiments on the Foursquare dataset and tracking data demonstrate the potential for abuse of high-quality spatial information, leading to a significant privacy loss even with location inaccuracy of up to 200 m. With location obfuscation of more than 1 km, spatial information hardly adds any value, but a high privacy risk solely from temporal information remains. The availability of public context data such as POIs plays a key role in inference based on spatial information. Our findings point out the risks of ever-growing databases of tracking data and spatial context data, which policymakers should consider for privacy regulations, and which could guide individuals in their personal location protection measures.</t>
  </si>
  <si>
    <t>[Wiedemann, Nina; Raubal, Martin] Swiss Fed Inst Technol, Inst Cartog &amp; Geoinformat, Zurich, Switzerland; [Janowicz, Krzysztof; Kounadi, Ourania] Univ Vienna, Dept Geog &amp; Reg Res, Vienna, Austria</t>
  </si>
  <si>
    <t>Swiss Federal Institutes of Technology Domain; ETH Zurich; University of Vienna</t>
  </si>
  <si>
    <t>Wiedemann, N (corresponding author), Swiss Fed Inst Technol, Inst Cartog &amp; Geoinformat, Zurich, Switzerland.</t>
  </si>
  <si>
    <t>nwiedemann@ethz.ch</t>
  </si>
  <si>
    <t>Kounadi, Ourania/HNR-1571-2023</t>
  </si>
  <si>
    <t>Kounadi, Ourania/0000-0002-5998-7343</t>
  </si>
  <si>
    <t>Swiss Federal Institute of Technology Zurich</t>
  </si>
  <si>
    <t>Swiss Federal Institute of Technology Zurich(ETH Zurich)</t>
  </si>
  <si>
    <t>Not applicable.</t>
  </si>
  <si>
    <t>THE CAMPUS, 4 CRINAN ST, LONDON, N1 9XW, ENGLAND</t>
  </si>
  <si>
    <t>2196-1115</t>
  </si>
  <si>
    <t>J BIG DATA-GER</t>
  </si>
  <si>
    <t>J. Big Data</t>
  </si>
  <si>
    <t>MAR 12</t>
  </si>
  <si>
    <t>10.1186/s40537-024-00888-8</t>
  </si>
  <si>
    <t>KQ5I8</t>
  </si>
  <si>
    <t>WOS:001181442700001</t>
  </si>
  <si>
    <t>Dolin, C; Weinshel, B; Shan, S; Hahn, CM; Choi, E; Mazurekt, ML; Ur, B</t>
  </si>
  <si>
    <t>Dolin, Claire; Weinshel, Ben; Shan, Shawn; Chang Min Hahn; Choi, Euirim; Mazurekt, Michelle L.; Ur, Blase</t>
  </si>
  <si>
    <t>Unpacking Perceptions of Data-Driven Inferences Underlying Online Targeting and Personalization</t>
  </si>
  <si>
    <t>PROCEEDINGS OF THE 2018 CHI CONFERENCE ON HUMAN FACTORS IN COMPUTING SYSTEMS (CHI 2018)</t>
  </si>
  <si>
    <t>CHI Conference on Human Factors in Computing Systems (CHI)</t>
  </si>
  <si>
    <t>APR 21-26, 2018</t>
  </si>
  <si>
    <t>Assoc Comp Machinery,ACM SIGCHI</t>
  </si>
  <si>
    <t>Transparency; inferencing; tracking; OBA; targeting; privacy</t>
  </si>
  <si>
    <t>Much of what a user sees browsing the internet, from ads to search results, is targeted or personalized by algorithms that have made inferences about that user. Prior work has documented that users find such targeting simultaneously useful and creepy. We begin unpacking these conflicted feelings through two online studies. In the first study, 306 participants saw one of ten explanations for why they received an ad, reflecting prevalent methods of targeting based on demographics, interests, and other factors. The type of interest-based targeting described in the explanation affected participants' comfort with the targeting and perceptions of its usefulness. We conducted a follow-up study in which 237 participants saw ten interests companies might infer. Both the sensitivity of the interest category and participants' actual interest in that topic significantly impacted their attitudes toward inferencing. Our results inform the design of transparency tools.</t>
  </si>
  <si>
    <t>[Dolin, Claire; Weinshel, Ben; Shan, Shawn; Chang Min Hahn; Choi, Euirim; Ur, Blase] Univ Chicago, Chicago, IL 60637 USA; [Mazurekt, Michelle L.] Univ Maryland, Baltimore, MD 21201 USA</t>
  </si>
  <si>
    <t>University of Chicago; University System of Maryland; University of Maryland Baltimore</t>
  </si>
  <si>
    <t>Dolin, C (corresponding author), Univ Chicago, Chicago, IL 60637 USA.</t>
  </si>
  <si>
    <t>cdolin@uchicago.edu; weinshel@uchicago.edu; shansixioing@uchicago.edu; changhahn@uchicago.edu; euirim@uchicago.edu; mmazurek@cs.umd.edu; blase@uchicago.edu</t>
  </si>
  <si>
    <t>Weinshel, Ben/0000-0003-0396-1969</t>
  </si>
  <si>
    <t>Mozilla; Data Transparency Lab; UMIACS</t>
  </si>
  <si>
    <t>We gratefully acknowledge support from Mozilla and the Data Transparency Lab, as well as from a UMIACS contract under the partnership between the University of Maryland and DoD.</t>
  </si>
  <si>
    <t>978-1-4503-5620-6</t>
  </si>
  <si>
    <t>10.1145/3173574.3174067</t>
  </si>
  <si>
    <t>BO2ZO</t>
  </si>
  <si>
    <t>WOS:000509673106011</t>
  </si>
  <si>
    <t>Cheng, ST; Horng, GJ; Chou, CL</t>
  </si>
  <si>
    <t>Cheng, Sheng-Tzong; Horng, Gwo-Jiun; Chou, Chih-Lun</t>
  </si>
  <si>
    <t>Using Cellular Automata to Form Car Society in Vehicular Ad Hoc Networks</t>
  </si>
  <si>
    <t>IEEE TRANSACTIONS ON INTELLIGENT TRANSPORTATION SYSTEMS</t>
  </si>
  <si>
    <t>Cellular automata (CA) clustering; interest ontology; vehicular ad hoc network (VANET); vehicle to vehicle (V2V); zone of interest (ZOI)</t>
  </si>
  <si>
    <t>CHANNEL; PROTOCOL</t>
  </si>
  <si>
    <t>This paper proposes a novel approach to clustering the interests of car drivers, increasing the lifetime of interest groups, and increasing the throughput in vehicle-to-vehicle environments. It develops an interest ontology of cellular automata (CA) clustering using the zone of interest (ZOI) for mobicast communications in vehicular ad hoc network (VANET) environments. The key to the proposed method is to integrate CA clustering with the ontology of users' interests. This paper argues for the use of both an interest profile (ontology) of drivers and information about vehicles to form a group of VANET-related interests. The current study evaluates the performance of the approach by conducting computer simulations. Simulation results reveal the strengths of the proposed CA clustering algorithm in terms of increased group lifetime and increased ZOI throughput for VANETs.</t>
  </si>
  <si>
    <t>[Cheng, Sheng-Tzong; Horng, Gwo-Jiun; Chou, Chih-Lun] Natl Cheng Kung Univ, Dept Comp Sci &amp; Informat Engn, Tainan 701, Taiwan</t>
  </si>
  <si>
    <t>National Cheng Kung University</t>
  </si>
  <si>
    <t>Cheng, ST (corresponding author), Natl Cheng Kung Univ, Dept Comp Sci &amp; Informat Engn, Tainan 701, Taiwan.</t>
  </si>
  <si>
    <t>stcheng@mail.ncku.edu.tw; grojium@gmail.com; mikechou.3@gmail.com</t>
  </si>
  <si>
    <t>1524-9050</t>
  </si>
  <si>
    <t>1558-0016</t>
  </si>
  <si>
    <t>IEEE T INTELL TRANSP</t>
  </si>
  <si>
    <t>IEEE Trans. Intell. Transp. Syst.</t>
  </si>
  <si>
    <t>10.1109/TITS.2011.2158211</t>
  </si>
  <si>
    <t>Engineering, Civil; Engineering, Electrical &amp; Electronic; Transportation Science &amp; Technology</t>
  </si>
  <si>
    <t>Engineering; Transportation</t>
  </si>
  <si>
    <t>855TS</t>
  </si>
  <si>
    <t>WOS:000297588500040</t>
  </si>
  <si>
    <t>Chen, JY; Chen, ZY; Wang, MZ; Fan, G; Zhong, G; Liu, O; Du, WF; Xu, ZH; Gong, ZG</t>
  </si>
  <si>
    <t>Chen, Junyang; Chen, Ziyi; Wang, Mengzhu; Fan, Ge; Zhong, Guo; Liu, Ou; Du, Wenfeng; Xu, Zhenghua; Gong, Zhiguo</t>
  </si>
  <si>
    <t>A Neural Inference of User Social Interest for Item Recommendation</t>
  </si>
  <si>
    <t>Neural variational inference; User interest summarization; Item recommendation</t>
  </si>
  <si>
    <t>User-generated content is daily produced in social media, as such user interest summarization is critical to distill salient information from massive information for recommendation tasks. While the interested messages (e.g., tags or posts) from a single user are usually sparse becoming a bottleneck for existing methods, we propose a neural inference method (NIGraphNet) by mining user social interest for item recommendation. It can unearth user latent topics combined with user relation learning. Specifically, we exploit a neural variational inference approach to learn the distributions between user interests and hidden topics. (We denote it as interest-topic distributions in the following.) Then, we adopt a unified graph-based training loss that jointly learns the hidden topics and user relations for item recommendation. Experiments on two datasets collected from well-known social media platforms demonstrate the superior performance of our model in the tasks of user interest summarization and item recommendation. Further discussions also show that exploiting the latent topic representations and user relations is conducive to the user's automatic language understanding.</t>
  </si>
  <si>
    <t>[Chen, Junyang; Wang, Mengzhu; Du, Wenfeng] Shenzhen Univ, Coll Comp Sci &amp; Software Engn, Shenzhen, Peoples R China; [Chen, Junyang] Guangdong Lab Artificial Intelligence &amp; Digital Ec, Shenzhen, Peoples R China; [Chen, Ziyi; Fan, Ge] Tencent Inc, Shenzhen, Peoples R China; [Zhong, Guo] Guangdong Univ Foreign Studies, Sch Informat Sci &amp; Technol, Guangzhou, Peoples R China; [Liu, Ou] Univ Chinese Acad Sci, Wenzhou Inst, Wenzhou, Zhejiang, Peoples R China; [Xu, Zhenghua] Hebei Univ Technol, State Key Lab Reliabil &amp; Intelligence Elect Equip, Tianjin 300131, Peoples R China; [Gong, Zhiguo] Univ Macau, State Key Lab Internet Things Smart City, Dept Comp Informat Sci, Zhuhai, Peoples R China</t>
  </si>
  <si>
    <t>Shenzhen University; Guangming Laboratory; Tencent; Guangdong University of Foreign Studies; Chinese Academy of Sciences; University of Chinese Academy of Sciences, CAS; Hebei University of Technology; University of Macau</t>
  </si>
  <si>
    <t>Chen, JY (corresponding author), Shenzhen Univ, Coll Comp Sci &amp; Software Engn, Shenzhen, Peoples R China.;Chen, JY (corresponding author), Guangdong Lab Artificial Intelligence &amp; Digital Ec, Shenzhen, Peoples R China.</t>
  </si>
  <si>
    <t>junyangchen@szu.edu.cn</t>
  </si>
  <si>
    <t>; chen, junyang/AAZ-4344-2020; Chen, Ziyi/CAH-5334-2022; XU, Zhenghua/MXJ-9431-2025</t>
  </si>
  <si>
    <t>Liu, Ou/0000-0002-7273-8966; chen, junyang/0000-0002-1139-8654;</t>
  </si>
  <si>
    <t>National Natural Science Foundation of China [62102265]; Open Research Fund from Guangdong Laboratory of Artificial Intelligence and Digital Economy [GML-KF-22-29]; Natural Science Foundation of Guangdong Province of China [2022A1515011474, 2023A1515012534]; National Statistical Science Research Project of China [2022LY096]; Science and Technology Development Fund, Macau SAR, China [0068/2020/AGJ, SKL-IOTSC(UM)-2021-2023]; Natural Science Foundation of Hebei Province, China [F2021202064]</t>
  </si>
  <si>
    <t>National Natural Science Foundation of China(National Natural Science Foundation of China (NSFC)); Open Research Fund from Guangdong Laboratory of Artificial Intelligence and Digital Economy; Natural Science Foundation of Guangdong Province of China(National Natural Science Foundation of Guangdong Province); National Statistical Science Research Project of China; Science and Technology Development Fund, Macau SAR, China; Natural Science Foundation of Hebei Province, China(Natural Science Foundation of Hebei Province)</t>
  </si>
  <si>
    <t>The preliminary version of this article has been published in DASFAA 2023 [ A Topic-Aware Graph-Based Neural Network for User Interest Summarization and Item Recommendation in Social Media]. This work was supported by National Natural Science Foundation of China under Grant No. 62102265, by the Open Research Fund from Guangdong Laboratory of Artificial Intelligence and Digital Economy (SZ) under Grant No. GML-KF-22-29, by the Natural Science Foundation of Guangdong Province of China under Grant No. 2022A1515011474 and 2023A1515012534, by the National Statistical Science Research Project of China Grant No. 2022LY096, by the Science and Technology Development Fund, Macau SAR, China, under Grant No. (0068/2020/AGJ, SKL-IOTSC(UM)-2021-2023), and by the Natural Science Foundation of Hebei Province, China, under the Grant No. F2021202064. (Corresponding authors: Wenfeng Du,Zhenghua Xu, Email: junyangchen@szu.edu.cn, duwf@szu.edu.cn, zhenghua.xu@hebut.edu.cn).</t>
  </si>
  <si>
    <t>10.1007/s41019-023-00225-8</t>
  </si>
  <si>
    <t>R6LI2</t>
  </si>
  <si>
    <t>WOS:001060212300001</t>
  </si>
  <si>
    <t>Oono, F; Matsumoto, M; Ogata, R; Suga, M; Murakami, K</t>
  </si>
  <si>
    <t>Oono, Fumi; Matsumoto, Mai; Ogata, Risa; Suga, Mizuki; Murakami, Kentaro</t>
  </si>
  <si>
    <t>Description of Weight-Related Content and Recommended Dietary Behaviors for Weight Loss Frequently Reposted on X (Twitter) in English and Japanese: Content Analysis</t>
  </si>
  <si>
    <t>social networkingservice; X, Twitter; web-based health information; dieting; weight loss; content analysis; digital health; weight control; weight; social media; diet; dietary behavior; obesity; eating disorders; public perceptions</t>
  </si>
  <si>
    <t>EATING-DISORDERS; BODY-IMAGE; SOCIAL MEDIA; OBESITY; PREVALENCE; METAANALYSIS; DISSATISFACTION; MORTALITY; ADULTS; TWEET</t>
  </si>
  <si>
    <t>Background: Both obesity and underweight are matters of global concern. Weight-related content frequently shared on social media can reflect public recognition and affect users' behaviors and perceptions. Although X (Twitter) is a popular social media platform, few studies have revealed the content of weight-related posts or details of dietary behaviors for weight loss shared on X. Objective: This study aims to describe body weight-related content frequently reposted on X, with a particular focus on dietary behaviors for weight loss, in English and Japanese. Methods: We collected English and Japanese X posts related to human body weight having over 100 reposts in July 2023 using an application programming interface tool. Two independent researchers categorized the contents of the posts into 7 main categories and then summarized recommended weight loss strategies. Results: We analyzed 815 English and 1213 Japanese posts. The most popular main category of the content was how to change weight in both languages. The Japanese posts were more likely to mention how to change weight (n=571, 47.1%) and recipes to change weight (n=114, 9.4%) than the English posts (n=195, 23.9% and n=10, 1.2%, respectively), whereas the English posts were more likely to mention will or experience to change weight (n=167, 20.5%), attitudes toward weight status (n=78, 9.6%), and public health situation (n=44, 5.4%) than Japanese posts. Among 146 English and 541 Japanese posts about weight loss strategies, the predominant strategies were diet (n=76, 52.1% in English and n=170, 31.4% in Japanese) and physical activities (n=56, 38.4% and n=295, 54.5%, respectively). The proportion of posts mentioning both diet and physical activity was smaller in Japanese (n=62, 11.5%) than in English (n=31, 21.2%). Among 76 English and 170 Japanese posts about dietary behaviors for weight loss, more than 60% of posts recommended increasing intakes of specific nutrients or food groups in both languages. The most popular dietary component recommended to increase was vegetables in both English (n=31, 40.8%) and Japanese (n=48, 28.2%), followed by protein and fruits in English and grains or potatoes and legumes in Japanese. Japanese posts were less likely to mention reducing energy intake; meal timing or eating frequency; or reducing intakes of specific nutrients or food groups than the English posts. The most popular dietary component recommended to decrease was alcohol in English and confectioneries in Japanese.Conclusions: This study characterized user interest in weight management and suggested the potential of X as an information source for weight management. Although weight loss strategies related to diet and physical activity were popular in both English and Japanese, some differences in the details of the strategies were present, indicating that X users are exposed to different information in English and Japanese.</t>
  </si>
  <si>
    <t>[Oono, Fumi] Univ Tokyo, Grad Sch Med, Dept Social &amp; Prevent Epidemiol, Div Hlth Sci &amp; Nursing, Tokyo, Japan; [Oono, Fumi] Gifu Univ, Grad Sch Med, Dept Epidemiol &amp; Prevent Med, Gifu, Japan; [Oono, Fumi; Matsumoto, Mai] Natl Inst Biomed Innovat Hlth &amp; Nutr, Dept Nutr Epidemiol &amp; Shokuiku, Chome-6-8 Saitoasagi, Ibaraki, Osaka 5670085, Japan; [Ogata, Risa] Ochanomizu Univ, Grad Sch Humanities &amp; Sci, Dept Food &amp; Nutr Sci, Tokyo, Japan; [Suga, Mizuki; Murakami, Kentaro] Univ Tokyo, Sch Publ Hlth, Dept Social &amp; Prevent Epidemiol, Tokyo, Japan</t>
  </si>
  <si>
    <t>University of Tokyo; Gifu University; Ochanomizu University; University of Tokyo</t>
  </si>
  <si>
    <t>Matsumoto, M (corresponding author), Natl Inst Biomed Innovat Hlth &amp; Nutr, Dept Nutr Epidemiol &amp; Shokuiku, Chome-6-8 Saitoasagi, Ibaraki, Osaka 5670085, Japan.</t>
  </si>
  <si>
    <t>m-matsumoto@nibiohn.go.jp</t>
  </si>
  <si>
    <t>; Oono, Fumi/KIK-7307-2024</t>
  </si>
  <si>
    <t>Matsumoto, Mai/0000-0002-6788-0212; Murakami, Kentaro/0000-0002-4189-7753; Oono, Fumi/0000-0001-9100-7387; Ogata, Risa/0009-0000-3611-0736; SUGA, Mizuki/0009-0004-6764-3200</t>
  </si>
  <si>
    <t>Ministry of Health, Labour and Welfare, Japan [22FA1022]; Tochigi Prefectural Health and Nutrition Survey Analysis project [JP22K02121, JP24KJ0098]; JSPS KAKENHI [JP22K02121, JP24KJ0098]</t>
  </si>
  <si>
    <t>Ministry of Health, Labour and Welfare, Japan(Ministry of Health, Labour and Welfare, Japan); Tochigi Prefectural Health and Nutrition Survey Analysis project; JSPS KAKENHI(Ministry of Education, Culture, Sports, Science and Technology, Japan (MEXT)Japan Society for the Promotion of ScienceGrants-in-Aid for Scientific Research (KAKENHI))</t>
  </si>
  <si>
    <t>The authors would like to thank James Anderson of Dmed for coding the content of English posts and Guy Harris DO and Hiromi Inoue of Dmed for their support with the coding. The authors declare that generative artificial intelligence was not used in any part of the manuscript writing. This work was supported by a grant (number 22FA1022) from the Ministry of Health, Labour and Welfare, Japan; by the 2022 Tochigi Prefectural Health and Nutrition Survey Analysis project; and by JSPS KAKENHI grants (JP22K02121 and JP24KJ0098) . The funding organizations had no role in the design, analysis, or writing of this paper.</t>
  </si>
  <si>
    <t>130 QUEENS QUAY East, Unit 1100, TORONTO, ON M5A 0P6, CANADA</t>
  </si>
  <si>
    <t>1439-4456</t>
  </si>
  <si>
    <t>FEB 7</t>
  </si>
  <si>
    <t>e64739</t>
  </si>
  <si>
    <t>10.2196/64739</t>
  </si>
  <si>
    <t>X4E2O</t>
  </si>
  <si>
    <t>WOS:001424895400003</t>
  </si>
  <si>
    <t>Mao, WY; Liu, SC; Liu, HY; Liu, HZ; Li, X; Hu, LT</t>
  </si>
  <si>
    <t>Mao, Wenyu; Liu, Shuchang; Liu, Haoyang; Liu, Haozhe; Li, Xiang; Hu, Lantao</t>
  </si>
  <si>
    <t>Distinguished Quantized Guidance for Diffusion-based Sequence Recommendation</t>
  </si>
  <si>
    <t>PROCEEDINGS OF THE ACM WEB CONFERENCE 2025, WWW 2025</t>
  </si>
  <si>
    <t>2025 Web Conference-WWW</t>
  </si>
  <si>
    <t>APR 28-MAY 02, 2025</t>
  </si>
  <si>
    <t>The ACM Special Interest Group on Hypertext and the Web</t>
  </si>
  <si>
    <t>Diffusion model; Recommender system; Vector quantization</t>
  </si>
  <si>
    <t>Diffusion models (DMs) have emerged as promising approaches for sequential recommendation due to their strong ability to model data distributions and generate high-quality items. Existing work typically adds noise to the next item and progressively denoises it guided by the user's interaction sequence, generating items that closely align with user interests. However, we identify two key issues in this paradigm. First, the sequences are often heterogeneous in length and content, exhibiting noise due to stochastic user behaviors. Using such sequences as guidance may hinder DMs from accurately understanding user interests. Second, DMs are prone to data bias and tend to generate only the popular items that dominate the training dataset, thus failing to meet the personalized needs of different users. To address these issues, we propose Distinguished Quantized Guidance for Diffusion-based Sequence Recommendation (DiQDiff), which aims to extract robust guidance to understand user interests and generate distinguished items for personalized user interests within DMs. To extract robust guidance, DiQDiff introduces Semantic Vector Quantization (SVQ) to quantize sequences into semantic vectors (e.g., collaborative signals and category interests) using a codebook, which can enrich the guidance to better understand user interests. To generate distinguished items, DiQDiff personalizes the generation through Contrastive Discrepancy Maximization (CDM), which maximizes the distance between denoising trajectories using contrastive loss to prevent biased generation for different users. Extensive experiments are conducted to compare DiQDiff with multiple baseline models across four widely-used datasets. The superior recommendation performance of DiQDiff against leading approaches demonstrates its effectiveness in sequential recommendation tasks.</t>
  </si>
  <si>
    <t>[Mao, Wenyu; Liu, Shuchang; Li, Xiang; Hu, Lantao] Kuaishou, Beijing, Peoples R China</t>
  </si>
  <si>
    <t>Liu, SC (corresponding author), Kuaishou, Beijing, Peoples R China.</t>
  </si>
  <si>
    <t>maowenyu@kuaishou.com; liushuchang@kuaishou.com; haoyangliu12345@gmail.com; liuhz0803@gmail.com; lixiang44@kuaishou.com; hulantao@kuaishou.com</t>
  </si>
  <si>
    <t>; Liu, Haoyang/QJX-0625-2026</t>
  </si>
  <si>
    <t>Hu, Lantao/0000-0003-0697-8985; Li, Xiang/0009-0000-6958-3388; Mao, Wenyu/0009-0003-1348-8412; Liu, Shuchang/0000-0002-1440-911X;</t>
  </si>
  <si>
    <t>979-8-4007-1274-6</t>
  </si>
  <si>
    <t>10.1145/3696410.3714955</t>
  </si>
  <si>
    <t>BY8UO</t>
  </si>
  <si>
    <t>WOS:001505285200040</t>
  </si>
  <si>
    <t>Yu, W; Chen, JP</t>
  </si>
  <si>
    <t>Luo, Q; Zhu, M</t>
  </si>
  <si>
    <t>Yu, Wei; Chen, Junpeng</t>
  </si>
  <si>
    <t>Ontology Ranking for the Semantic Web</t>
  </si>
  <si>
    <t>2009 THIRD INTERNATIONAL SYMPOSIUM ON INTELLIGENT INFORMATION TECHNOLOGY APPLICATION, VOL 1, PROCEEDINGS</t>
  </si>
  <si>
    <t>3rd International Symposium on Intelligent Information Technology Application</t>
  </si>
  <si>
    <t>NOV 21-22, 2009</t>
  </si>
  <si>
    <t>Nanchang, PEOPLES R CHINA</t>
  </si>
  <si>
    <t>IEEE Circuits &amp; Syst Soc (CAS),Intelligent Informat Technol Applicat Res Assoc,Nanchang Univ</t>
  </si>
  <si>
    <t>Structure Analysis; Ontology Ranking; Ontology Reuse; the Semantic Web</t>
  </si>
  <si>
    <t>in this poster, OS_RANK has been proposed for ranking ontologies on the Semantic Web. The novelty of the approach lies in the structure and semantic analysis of an ontology with respect to the user interest.</t>
  </si>
  <si>
    <t>[Yu, Wei] Nanjing Univ, Dept Informat Management, Nanjing 210008, Peoples R China; [Chen, Junpeng] Wuhan Univ, Comp Sch, Wuhan, Peoples R China</t>
  </si>
  <si>
    <t>Nanjing University; Wuhan University</t>
  </si>
  <si>
    <t>Yu, W (corresponding author), Nanjing Univ, Dept Informat Management, Nanjing 210008, Peoples R China.</t>
  </si>
  <si>
    <t>yu.helloyw@gmail.com; woiiiyw@gmail.com</t>
  </si>
  <si>
    <t>978-0-7695-3859-4</t>
  </si>
  <si>
    <t>10.1109/IITA.2009.279</t>
  </si>
  <si>
    <t>BNZ34</t>
  </si>
  <si>
    <t>WOS:000275934100145</t>
  </si>
  <si>
    <t>Sun, PX; Zhou, W; Gao, M; Wang, XB; Wen, JH</t>
  </si>
  <si>
    <t>Sun, Peixuan; Zhou, Wei; Gao, Min; Wang, Xibin; Wen, Junhao</t>
  </si>
  <si>
    <t>Beyond Uniform Modeling: A Dual-View MLP Framework for Trend and Diversity Disentanglement in Multibehavior Recommendation</t>
  </si>
  <si>
    <t>Market research; Noise reduction; Noise; Computational modeling; Transformers; Adaptation models; Data models; Noise measurement; Headphones; Encoding; Heterogeneous behaviors; multi-interest learning; sequential recommendation</t>
  </si>
  <si>
    <t>In real-world recommendation systems, user interactions contain behavioral information. Multibehavior sequential recommendation focuses on predicting the next item a user will interact with under a specific behavior. Incorporating behavioral information introduces diverse interaction patterns, which we treat as auxiliary signals to supplement trend interest modeling (e.g., primary interests, low-frequency interests, and noise). However, existing multibehavior recommendation methods perform unified modeling without distinguishing the interest categories reflected by different data. Capturing both interest trends and dispersed diversity inherently presents a conflicting objective. Hence, we propose a novel approach that separately models these aspects before integrating them. To realize this vision, we introduce Disentangled Interest Perspective for Multibehavior Sequential Recommendation (DIPRec), which separately captures interest tendencies and diversity before performing a unified integration. The framework begins with a mask generation module that partitions the data, employing multilayer perceptron (MLP)-based modules-specifically, the heterogeneous interest trend module (HITM) and the auxiliary behavior intent perception module (ABIP) to extract user interest tendencies from heterogeneous and auxiliary behavioral sequences. Concurrently, it leverages MLP and max-pooling layers to extract supplementary diversity signals from the separated data. Finally, the model integrates these two aspects to generate recommendations. To assess the effectiveness of our proposed DIPRec model, we conducted thorough experiments on five public datasets. The results consistently demonstrate that DIPRec surpasses current state-of-the-art approaches across a variety of standard evaluation metrics.</t>
  </si>
  <si>
    <t>[Sun, Peixuan; Zhou, Wei; Gao, Min; Wen, Junhao] Chongqing Univ, Sch Big Data &amp; Software Engn, Chongqing, Peoples R China; [Wang, Xibin] Guizhou Inst Technol, Coll Big Data, Guiyang 550025, Peoples R China</t>
  </si>
  <si>
    <t>Chongqing University; Guizhou Institute of Technology</t>
  </si>
  <si>
    <t>Zhou, W (corresponding author), Chongqing Univ, Sch Big Data &amp; Software Engn, Chongqing, Peoples R China.</t>
  </si>
  <si>
    <t>sunpeixuan@stu.cqu.edu.cn; zhouwei@cqu.edu.cn; gaomin@cqu.edu.cn; binxiwang@git.edu.cn; jhwen@cqu.edu.cn</t>
  </si>
  <si>
    <t>Wang, Xibin/0000-0003-1831-9872; Sun, Peixuan/0009-0009-5347-7631; Zhou, Wei/0000-0003-0839-8773</t>
  </si>
  <si>
    <t>National Natural Science Foundation of China [72074036, 62072060, 72161005]; Natural Science Foundation of Chongqing, China [CSTB2024NSCQ-MSX0701]</t>
  </si>
  <si>
    <t>This work was funded by the National Natural Science Foundation of China under Grant 72074036, Grant 62072060, and Grant 72161005 and supported by the Natural Science Foundation of Chongqing, China under Grant CSTB2024NSCQ-MSX0701.</t>
  </si>
  <si>
    <t>2025 DEC 15</t>
  </si>
  <si>
    <t>10.1109/TCSS.2025.3630068</t>
  </si>
  <si>
    <t>AA4WL</t>
  </si>
  <si>
    <t>WOS:001643503200001</t>
  </si>
  <si>
    <t>Liu, XX; Huang, XY; Wang, Y; Zhang, L</t>
  </si>
  <si>
    <t>Liu, Xingxin; Huang, Xingyu; Wang, Yue; Zhang, Lin</t>
  </si>
  <si>
    <t>Point-of-Interest Category Recommendation Based on Group Mobility Modeling</t>
  </si>
  <si>
    <t>PROCEEDINGS OF THE 24TH INTERNATIONAL CONFERENCE ON INTELLIGENT USER INTERFACES: COMPANION (IUI 2019)</t>
  </si>
  <si>
    <t>24th International Conference on Intelligent User Interfaces (IUI)</t>
  </si>
  <si>
    <t>MAR 17-20, 2019</t>
  </si>
  <si>
    <t>Marina Del Rey, CA</t>
  </si>
  <si>
    <t>Location-Based Social Networks; Point-of-Interest Recommendation; Hidden Markov Model; Group Mobility</t>
  </si>
  <si>
    <t>With the development of location-based social networks (LBSNs), user mobility modeling has a wide range of applications, like performance-based advertising, city-wide traffic planning and local-based recommendation. Point-of-interest (POI) plays an important role in these applications for its rich semantic behavior information. However, most studies only use user's proactive POI check-ins which are extremely sparse and just a part of user's semantic offline behavior. In this paper, we use POI category check-ins which are obtained by matching user's GPS data, and propose a framework based on Hidden Markov Model (HMM) to model group mobility and recommend the POI category of user at the next step. The category level of POI can reflect the semantic meaning of user mobility, and also reduce the recommendation space. Experiment results show that the recommendation accuracy is 11.9% higher with the group semantic offline behavior.</t>
  </si>
  <si>
    <t>[Liu, Xingxin; Huang, Xingyu; Wang, Yue; Zhang, Lin] Tsinghua Univ, Beijing, Peoples R China</t>
  </si>
  <si>
    <t>Liu, XX (corresponding author), Tsinghua Univ, Beijing, Peoples R China.</t>
  </si>
  <si>
    <t>liu-xx16@mails.tsinghua.edu.cn; huangxy14@mails.tsinghua.edu.cn; wangyue@tsinghua.edu.cn; linzhang@tsinghua.edu.cn</t>
  </si>
  <si>
    <t>978-1-4503-6673-1</t>
  </si>
  <si>
    <t>10.1145/3308557.3308670</t>
  </si>
  <si>
    <t>Computer Science, Artificial Intelligence; Computer Science, Software Engineering</t>
  </si>
  <si>
    <t>BP3BB</t>
  </si>
  <si>
    <t>WOS:000546032800020</t>
  </si>
  <si>
    <t>Yang, SH; Yan, JZ; Gao, C; Tan, GH</t>
  </si>
  <si>
    <t>Li, S; Wang, X; Okazaki, Y; Kawabe, J; Murofushi, T; Guan, L</t>
  </si>
  <si>
    <t>Yang, Suhua; Yan, Jianzhuo; Gao, Chen; Tan, Guohua</t>
  </si>
  <si>
    <t>Blogger's Interest Mining Based on Chinese Text Classification</t>
  </si>
  <si>
    <t>NONLINEAR MATHEMATICS FOR UNCERTAINTY AND ITS APPLICATIONS</t>
  </si>
  <si>
    <t>Advances in Intelligent and Soft Computing</t>
  </si>
  <si>
    <t>International Conference on Nonlinear Mathematics for Uncertainty and its Applications (NLMUA)</t>
  </si>
  <si>
    <t>SEP 07-09, 2011</t>
  </si>
  <si>
    <t>Beijing Univ Technol, Beijing, PEOPLES R CHINA</t>
  </si>
  <si>
    <t>Beijing Univ Technol</t>
  </si>
  <si>
    <t>Interest mining; Text classification; Support vector machine; Filter algorithm</t>
  </si>
  <si>
    <t>In this paper, a new blogger's interest mining module is proposed, which is based on Chinese text classification. In fact, the problem of the interest mining is transformed into the problem of Chinese text categorization. Before the Chinese text categorization, the text is pre-processed for the text representation. The Chinese text is represented in vector space model and classified by support vector machine classification, while filter algorithm which filters the unrelated interest text is proposed. After the filtering, the text can get it's interest category. Finally the new module has been made use of to carry out an interest mining experiment, and the other experiment which has not filter algorithm is also carried in order to compare with the new module. The two experimental results show that the support vector machine is a effective algorithm, and the comparing data of the two experiments shows that new module make the interest mining more effective.</t>
  </si>
  <si>
    <t>[Yang, Suhua; Yan, Jianzhuo; Gao, Chen; Tan, Guohua] Beijing Univ Technol, Coll Elect Informat &amp; Control Engn, Beijing, Peoples R China</t>
  </si>
  <si>
    <t>Yang, SH (corresponding author), Beijing Univ Technol, Coll Elect Informat &amp; Control Engn, Beijing, Peoples R China.</t>
  </si>
  <si>
    <t>yangsuhua86@126.com; yanjianzhuo@bjut.edu.cn; gaochen@emails.bjut.edu.cn; tgh@emails.bjut.edu.cn</t>
  </si>
  <si>
    <t>1867-5662</t>
  </si>
  <si>
    <t>978-3-642-22832-2</t>
  </si>
  <si>
    <t>ADV INTEL SOFT COMPU</t>
  </si>
  <si>
    <t>Computer Science, Artificial Intelligence; Mathematics, Applied</t>
  </si>
  <si>
    <t>BBJ19</t>
  </si>
  <si>
    <t>WOS:000307031600074</t>
  </si>
  <si>
    <t>Malafeev, A; Nikolaev, K</t>
  </si>
  <si>
    <t>VanDerAalst, WMP; Batagelj, V; Ignatov, DI; Khachay, M; Kuskova, V; Kutuzov, A; Kuznetsov, SO; Lomazova, IA; Loukachevitch, N; Napoli, A; Pardalos, PM; Pelillo, M; Savchenko, AV; Tutubalina, E</t>
  </si>
  <si>
    <t>Malafeev, Alexey; Nikolaev, Kirill</t>
  </si>
  <si>
    <t>A Deep Learning Method Study of User Interest Classification</t>
  </si>
  <si>
    <t>ANALYSIS OF IMAGES, SOCIAL NETWORKS AND TEXTS (AIST 2019)</t>
  </si>
  <si>
    <t>8th International Conference on Analysis of Images, Social Networks, and Texts (AIST)</t>
  </si>
  <si>
    <t>JUL 17-19, 2019</t>
  </si>
  <si>
    <t>Kazan Fed Univ, Kazan, RUSSIA</t>
  </si>
  <si>
    <t>Natl Res Univ Higher Sch Econ,Springer</t>
  </si>
  <si>
    <t>Kazan Fed Univ</t>
  </si>
  <si>
    <t>Text classification; User interests; Machine learning; Neural networks; Deep learning; Feedforward neural networks; Convolutional Neural; Networks; Long short term memory</t>
  </si>
  <si>
    <t>In this paper, a deep learningmethod study is conducted to solve a new multiclass text classification problem, identifying user interests by text messages. We used an original dataset of almost 90 thousand forum text messages, labelled for ten interests. We experimented with different modern neural network architectures: recurrent and convolutional, as well as simpler feedforward networks. Classification accuracy was evaluated for different architectures, text representations and sets of miscellaneous parameters.</t>
  </si>
  <si>
    <t>[Malafeev, Alexey; Nikolaev, Kirill] Natl Res Univ Higher Sch Econ, Nizhnii Novgorod, Russia</t>
  </si>
  <si>
    <t>HSE University (National Research University Higher School of Economics)</t>
  </si>
  <si>
    <t>Malafeev, A (corresponding author), Natl Res Univ Higher Sch Econ, Nizhnii Novgorod, Russia.</t>
  </si>
  <si>
    <t>aumalafeev@hse.ru; kinikolaev@edu.hse.ru</t>
  </si>
  <si>
    <t>Malafeev, Alexey/K-3195-2015</t>
  </si>
  <si>
    <t>Malafeev, Alexey/0000-0002-8962-7496; Nikolaev, Kirill/0000-0002-7954-2106</t>
  </si>
  <si>
    <t>National Research University Higher School of Economics (HSE University) [19-04-004]</t>
  </si>
  <si>
    <t>National Research University Higher School of Economics (HSE University)</t>
  </si>
  <si>
    <t>This research was prepared within the framework of the Academic Fund Program at the National Research University Higher School of Economics (HSE University) in 2019 (grant No. 19-04-004) and of the Russian Academic Excellence Project 5-100.</t>
  </si>
  <si>
    <t>978-3-030-39575-9; 978-3-030-39574-2</t>
  </si>
  <si>
    <t>10.1007/978-3-030-39575-9_15</t>
  </si>
  <si>
    <t>Computer Science, Artificial Intelligence; Computer Science, Information Systems; Computer Science, Theory &amp; Methods; Mathematics, Applied</t>
  </si>
  <si>
    <t>BQ9FB</t>
  </si>
  <si>
    <t>WOS:000624286300015</t>
  </si>
  <si>
    <t>Wan, JP; Lin, ST; Zhang, J</t>
  </si>
  <si>
    <t>Tu, Y; Chi, M</t>
  </si>
  <si>
    <t>Wan, Jiangping; Lin, Siting; Zhang, Jing</t>
  </si>
  <si>
    <t>Bibliometric Analysis on the Research Hotspots of Recommender Systems</t>
  </si>
  <si>
    <t>E-BUSINESS: DIGITAL EMPOWERMENT FOR AN INTELLIGENT FUTURE, PT I, WHICEB 2023</t>
  </si>
  <si>
    <t>22nd Wuhan International Conference on E-business (WHICEB)</t>
  </si>
  <si>
    <t>MAY 26-28, 2023</t>
  </si>
  <si>
    <t>Recommender System; Personalized; Implicit Need; User Profiling; Algorithm; Knowledge Graph; Bibliometric</t>
  </si>
  <si>
    <t>FACTORIZATION; ACCURACY</t>
  </si>
  <si>
    <t>Research on the hot topics and future development trends of recommender system is of great significance for improving the accuracy of recommendation results and saving users' time. A total of 867 SCI and SSCI literatures related to recommender system were selected from the Web of Science database from 2013 to July 2022. The visual knowledge graph analysis tool CiteSpace was used to analyze the temporal and spatial distribution characteristics, knowledge basis, research hotspots and frontiers of personalized recommendation technology research from five dimensions: literature growth trend, regional distribution, literature co-citation relationship, keyword co-occurrence and emergence. The participation of Chinese and American researchers are much higher than that of other countries and the exchange and cooperation between countries need to be strengthened. The research focuses on the application of algorithm in recommender system, improvement of collaborative filtering algorithm, model construction, social network and neural network. The research frontiers include feature extraction of users and projects, machine learning and attention mechanism.</t>
  </si>
  <si>
    <t>[Wan, Jiangping; Lin, Siting; Zhang, Jing] South China Univ Technol, Sch Business Adm, Guangzhou 510640, Peoples R China</t>
  </si>
  <si>
    <t>Wan, JP; Lin, ST (corresponding author), South China Univ Technol, Sch Business Adm, Guangzhou 510640, Peoples R China.</t>
  </si>
  <si>
    <t>csjpwan@scut.edu.cn; 202220131906@mail.scut.edu.cn</t>
  </si>
  <si>
    <t>JIANG, YONG/AAX-8682-2021; Liu, Yiming/HCG-9727-2022</t>
  </si>
  <si>
    <t>Xiao, Henglin/0000-0001-6441-2424</t>
  </si>
  <si>
    <t>978-3-031-32298-3; 978-3-031-32299-0</t>
  </si>
  <si>
    <t>10.1007/978-3-031-32299-0_1</t>
  </si>
  <si>
    <t>Business; Computer Science, Interdisciplinary Applications</t>
  </si>
  <si>
    <t>BX8DW</t>
  </si>
  <si>
    <t>WOS:001329869300001</t>
  </si>
  <si>
    <t>Wang, X; Zuo, ZY; Zhao, K</t>
  </si>
  <si>
    <t>Balakrishnan, P; Srivatsava, J; Fu, WT; Harabagiu, S; Wang, F</t>
  </si>
  <si>
    <t>Wang, Xi; Zuo, Zhiya; Zhao, Kang</t>
  </si>
  <si>
    <t>The Evolution and Diffusion of User Roles in Online Health Communities - A Social Support Perspective</t>
  </si>
  <si>
    <t>2015 IEEE INTERNATIONAL CONFERENCE ON HEALTHCARE INFORMATICS (ICHI 2015)</t>
  </si>
  <si>
    <t>International Conference on Healthcare Informatics (ICHI)</t>
  </si>
  <si>
    <t>OCT 21-23, 2015</t>
  </si>
  <si>
    <t>Dallas, TX</t>
  </si>
  <si>
    <t>IEEE,IEEE comp soc,UT DALLAS</t>
  </si>
  <si>
    <t>User Profiling; Role Evolution; Diffusion; Social Support; Online social network; Data mining</t>
  </si>
  <si>
    <t>CANCER</t>
  </si>
  <si>
    <t>Online Health Communities (OHCs) have become a major source of social support for people with health problems. Using a case study of an OHC among breast cancer survivors, we revealed the types of social support embedded in each post using text-mining techniques. Then we aggregated users' activities related to different types of social support and identified different roles that users play in an OHC via unsupervised machine learning techniques. By analyzing how users' roles change over time, we constructed a transition graph to illustrate the evolution of users' roles in the OHC. We also discovered that a user's reception of social support is correlated with the evolution of her role. In addition, by examining whom a user interacted with, we found evidence for role diffusion--users tend to adopt roles of her network neighbors. Our research has implications for OHC operators to manage and sustain an OHC.</t>
  </si>
  <si>
    <t>[Wang, Xi; Zuo, Zhiya] Univ Iowa, Interdisciplinary Grad Program Informat, Iowa City, IA USA; [Zhao, Kang] Univ Iowa, Tippie Coll Business, Iowa City, IA 52242 USA</t>
  </si>
  <si>
    <t>University of Iowa; University of Iowa</t>
  </si>
  <si>
    <t>Zhao, K (corresponding author), Univ Iowa, Tippie Coll Business, Iowa City, IA 52242 USA.</t>
  </si>
  <si>
    <t>xi-wang-1@uiowa.edu; zhiya-zuo@uiowa.edu; kang-zhao@uiowa.edu</t>
  </si>
  <si>
    <t>Zuo, Zhiya/Z-6130-2019; Wang, Xi/AAJ-8100-2020</t>
  </si>
  <si>
    <t>Zuo, Zhiya/0000-0002-3771-4731;</t>
  </si>
  <si>
    <t>978-1-4673-9548-9</t>
  </si>
  <si>
    <t>10.1109/ICHI.2015.12</t>
  </si>
  <si>
    <t>Computer Science, Information Systems; Medical Informatics</t>
  </si>
  <si>
    <t>BF1IC</t>
  </si>
  <si>
    <t>WOS:000380399000006</t>
  </si>
  <si>
    <t>Radosavljevic, V; Grbovic, M; Djuric, N; Bhamidipati, N; Zhang, D; Wang, J; Dang, J; Huang, H; Nagarajan, A; Chen, P</t>
  </si>
  <si>
    <t>Radosavljevic, Vladan; Grbovic, Mihajlo; Djuric, Nemanja; Bhamidipati, Narayan; Zhang, Daneo; Wang, Jack; Dang, Jiankai; Huang, Haiying; Nagarajan, Ananth; Chen, Peiji</t>
  </si>
  <si>
    <t>Smartphone App Categorization for Interest Targeting in Advertising Marketplace</t>
  </si>
  <si>
    <t>PROCEEDINGS OF THE 25TH INTERNATIONAL CONFERENCE ON WORLD WIDE WEB (WWW'16 COMPANION)</t>
  </si>
  <si>
    <t>25th International Conference on World Wide Web (WWW)</t>
  </si>
  <si>
    <t>MAY 11-15, 2016</t>
  </si>
  <si>
    <t>Assoc Comp Machinery,Int WWW Conf Comm,ACM SIGWEB,Google,Microsoft,Palais Congres Montreal,Tourisme Montreal,Yahoo Res,Baidu,Bookwitty,Cisco,YelloPages,IBM Res,UQAM</t>
  </si>
  <si>
    <t>Last decade has witnessed a tremendous expansion of mobile devices, which brought an unprecedented opportunity to reach a large number of mobile users at any point in time. This resulted in a surge of interest of mobile operators and ad publishers to understand usage patterns of mobile apps and allow more relevant content recommendations. Due to a large input space, a critical step in understanding app usage patterns is reducing sparseness by classifying apps into predefined interest taxonomies. However, besides short name and noisy description majority of apps have very limited information available, which makes classification a challenging task. We address this issue and present a novel method to classify apps into interest categories by: 1) embedding apps into low-dimensional space using a neural language model applied on smartphone logs; and 2) applying k-nearest-neighbors classification in the embedding space. To validate the method we run experiments on more than one billion device logs covering hundreds of thousands of apps. To the best of our knowledge this is the first app categorization study at this scale. Empirical results show that the proposed method outperforms the current state-of-the-art.</t>
  </si>
  <si>
    <t>[Radosavljevic, Vladan; Grbovic, Mihajlo; Djuric, Nemanja; Bhamidipati, Narayan] Yahoo Labs, Sunnyvale, CA 94089 USA; [Zhang, Daneo; Wang, Jack; Dang, Jiankai; Huang, Haiying; Nagarajan, Ananth; Chen, Peiji] Yahoo Inc, Sunnyvale, CA USA</t>
  </si>
  <si>
    <t>Radosavljevic, V (corresponding author), Yahoo Labs, Sunnyvale, CA 94089 USA.</t>
  </si>
  <si>
    <t>vladan@yahoo-inc.com; mihajlo@yahoo-inc.com; nemanja@yahoo-inc.com; narayanb@yahoo-inc.com; daneozxy@yahoo-inc.com; jackwg@yahoo-inc.com; dangj@yahoo-inc.com; hhuang@yahoo-inc.com; ananth@yahoo-inc.com; peiji@yahoo-inc.com</t>
  </si>
  <si>
    <t>978-1-4503-4144-8</t>
  </si>
  <si>
    <t>10.1145/2872518.2889411</t>
  </si>
  <si>
    <t>BS1BU</t>
  </si>
  <si>
    <t>WOS:000687202100045</t>
  </si>
  <si>
    <t>Zarei, K; Farahbakhsh, R; Crespi, N</t>
  </si>
  <si>
    <t>Zarei, Koosha; Farahbakhsh, Reza; Crespi, Noel</t>
  </si>
  <si>
    <t>Deep Dive on Politician Impersonating Accounts in Social Media</t>
  </si>
  <si>
    <t>2019 IEEE SYMPOSIUM ON COMPUTERS AND COMMUNICATIONS (ISCC)</t>
  </si>
  <si>
    <t>IEEE Symposium on Computers and Communications ISCC</t>
  </si>
  <si>
    <t>IEEE Symposium on Computers and Communications (ISCC)</t>
  </si>
  <si>
    <t>JUN 29-JUL 03, 2019</t>
  </si>
  <si>
    <t>Social Network Analysis; Instagram; Impersonation; Political Bot Detection; Fake profile; User profiling</t>
  </si>
  <si>
    <t>There is an ever-growing number of users who duplicate the social media accounts of celebrities or generally impersonate their presence on online social media as well as Instagram. Of course, this has led to an increasing interest in detecting fake profiles and investigating their behaviour. We begin this research by targeting a few famous politicians, including Donald J. Trump, Barack Obama, and Emmanuel Macron and collecting their activity for the period of 3 months using a specifically-designed crawler across Instagram. We then experimented with several profile characteristics such as username, display name, biography, and profile picture to identify impersonator among 1,5M unique users. Using publicly crawled data, our model was able to distinguish crowds of impersonators and political bots. We continued by providing an analysis of the characteristics and behaviour of these impersonators. Finally, we conclude the analysis by classifying impersonators into four different categories.</t>
  </si>
  <si>
    <t>[Zarei, Koosha; Farahbakhsh, Reza; Crespi, Noel] Telecom SudParis, Inst Mines Telecom, CNRS, Lab UMR5157, Evry, France</t>
  </si>
  <si>
    <t>Centre National de la Recherche Scientifique (CNRS); IMT - Institut Mines-Telecom; Institut Polytechnique de Paris; Telecom SudParis</t>
  </si>
  <si>
    <t>Zarei, K (corresponding author), Telecom SudParis, Inst Mines Telecom, CNRS, Lab UMR5157, Evry, France.</t>
  </si>
  <si>
    <t>Koosha.zarei@telecom-sudparis.eu; reza.farahbakhsh@telecom-sudparis.eu; noel.crespi@telecom-sudparis.eu</t>
  </si>
  <si>
    <t>Crespi, Noel/ABE-7052-2020; /AAX-4715-2021</t>
  </si>
  <si>
    <t>Crespi, Noel/0000-0003-2962-192X;</t>
  </si>
  <si>
    <t>1530-1346</t>
  </si>
  <si>
    <t>978-1-7281-2999-0</t>
  </si>
  <si>
    <t>IEEE SYMP COMP COMMU</t>
  </si>
  <si>
    <t>10.1109/iscc47284.2019.8969645</t>
  </si>
  <si>
    <t>Computer Science, Artificial Intelligence; Computer Science, Information Systems; Computer Science, Theory &amp; Methods; Telecommunications</t>
  </si>
  <si>
    <t>BP9AI</t>
  </si>
  <si>
    <t>WOS:000568621700098</t>
  </si>
  <si>
    <t>Lv, MX; Hogg, D; Grubb, T; Bassi, S; Li, M; Simpson, C; Rajagopalan, S</t>
  </si>
  <si>
    <t>Lv, Mengxi; Hogg, Drew; Grubb, Thomas; Bassi, Shashank; Li, Min; Simpson, Cayman; Rajagopalan, Senthil</t>
  </si>
  <si>
    <t>Improve the Personalization of Large-Scale Ranking Systems by Integrating User Survey Feedback</t>
  </si>
  <si>
    <t>PROCEEDINGS OF THE NINETEENTH ACM CONFERENCE ON RECOMMENDER SYSTEMS, RECSYS2025</t>
  </si>
  <si>
    <t>19th Conference on Recommender Systems-RECSYS-Annual</t>
  </si>
  <si>
    <t>SEP 22-26, 2025</t>
  </si>
  <si>
    <t>User Interests Personalization; Large-scale Recommender system; Survey Modeling</t>
  </si>
  <si>
    <t>Learning user interests is a crucial aspect of personalized recommendation, as it can create a more personal experience for users to drive their deep-engagement, satisfaction, and loyalty. In this work, we focus on improving users' interest relevance experience, making users truly feel this app knows me! and thus leading to long-term user retention. However, accurately capturing users' interest remains a significant challenge. Traditional approaches using users' historical engagements with interest clusters lack sensitivity and accuracy; because such heuristic rules on predefined clusters can easily fall into the ranking feedback loop and thus poorly align with users' true interest preferences. In this paper, we built an User True Interest Survey (UTIS) model to directly train on user survey data and predict a user's interest affinity on any given piece of content. The UTIS model is added to the main ranking system to reduce feedback bias and leads to better relevance towards users' core interests. The UTIS model demonstrates high offline accuracy and high generalization capability in online experiments. On a commercial videos platform serving billion of users, we observed significant metrics wins, including tier 0 user retention and engagements, higher quality and more trustworthy content recommendations, and higher user satisfaction in surveys. Overall, this work demonstrates that improving the relevance of a ranking system by leveraging direct user survey feedback can be a promising solution to enhance personalization of large-scale ranking system and lead to user satisfaction.</t>
  </si>
  <si>
    <t>[Lv, Mengxi; Hogg, Drew; Grubb, Thomas; Bassi, Shashank; Li, Min; Simpson, Cayman; Rajagopalan, Senthil] Meta, Menlo Pk, CA 94025 USA</t>
  </si>
  <si>
    <t>Simpson, C; Rajagopalan, S (corresponding author), Meta, Menlo Pk, CA 94025 USA.</t>
  </si>
  <si>
    <t>mengxilv@meta.com; drewhogg@meta.com; thomasgrubb@meta.com; skbassi@meta.com; minli@meta.com; cayman@meta.com; senthilkumaranr@meta.com</t>
  </si>
  <si>
    <t>Lv, Mengxi/HGA-8647-2022</t>
  </si>
  <si>
    <t>Simpson, Cayman/0009-0001-3488-5068; Rajagopalan, Senthilkumaran/0009-0000-7395-4612</t>
  </si>
  <si>
    <t>979-8-4007-1364-4</t>
  </si>
  <si>
    <t>10.1145/3705328.3748119</t>
  </si>
  <si>
    <t>BZ3WK</t>
  </si>
  <si>
    <t>WOS:001572100200121</t>
  </si>
  <si>
    <t>Noorian, Z; Ghenai, A; Moradisani, H; Zarrinkalam, F; Alavijeh, SZ</t>
  </si>
  <si>
    <t>Noorian, Zeinab; Ghenai, Amira; Moradisani, Hadiseh; Zarrinkalam, Fattane; Alavijeh, Soroush Zamani</t>
  </si>
  <si>
    <t>User-Centric Modeling of Online Hate Through the Lens of Psycholinguistic Patterns and Behaviors in Social Media</t>
  </si>
  <si>
    <t>Social networking (online); Hate speech; Behavioral sciences; Feature extraction; COVID-19; Blogs; Linguistics; Hate speech prediction; observational studies; social media analytics; user-centric analysis</t>
  </si>
  <si>
    <t>Hate speech in social media is a growing problem that reinforces racial discrimination and mistrust between people, leading to physical crimes, violence, and fragmentation in world communities. Although previous studies showed the potential of user profiling in hate speech detection in social media, there has not been a thorough analysis of users' characteristics and dispositions to understand the development of hate attitudes among users. To bridge this gap, we investigate the role of a wide range of psycholinguistic and behavioral traits in characterizing and distinguishing users prone to post hate speech on social media. Considering anti-Asian hate during the COVID-19 pandemic as a case study, we curate a dataset of 5 417 041 tweets from 3001 Twitter users prone to publish hate content (aka hateful-to-be users) and a corresponding matched set of 3001 control users. Our findings reveal significant statistical differences in most dimensions of psycholinguistic attributes and online activities of hateful-to-be users compared to control users. We further develop a classifier and demonstrate that features derived from user timelines are strong indicators for automatically predicting the onset of hateful behavior.</t>
  </si>
  <si>
    <t>[Noorian, Zeinab; Ghenai, Amira] Toronto Metropolitan Univ, Ted Rogers Sch Informat Management, Toronto, ON M5B 2K3, Canada; [Moradisani, Hadiseh; Zarrinkalam, Fattane] Univ Guelph, Sch Engn, Guelph, ON N1G 2W1, Canada; [Alavijeh, Soroush Zamani] McMaster Univ, Dept Comp &amp; Software, Hamilton, ON L8S 4L8, Canada</t>
  </si>
  <si>
    <t>Toronto Metropolitan University; University of Guelph; McMaster University</t>
  </si>
  <si>
    <t>Noorian, Z (corresponding author), Toronto Metropolitan Univ, Ted Rogers Sch Informat Management, Toronto, ON M5B 2K3, Canada.</t>
  </si>
  <si>
    <t>znoorian@torontomu.ca; aghenai@torontomu.ca; hmoradis@uoguelph.ca; fzarrink@uoguelph.ca; szchem20@gmail.com</t>
  </si>
  <si>
    <t>; Zarrinkalam, Fattane/AAI-1083-2019</t>
  </si>
  <si>
    <t>Zamani Alavijeh, Soroush/0000-0003-4749-758X; Moradisani, Hadiseh/0000-0003-2776-0184; Ghenai, Amira/0000-0001-5583-3008;</t>
  </si>
  <si>
    <t>10.1109/TCSS.2024.3359010</t>
  </si>
  <si>
    <t>FEB 2024</t>
  </si>
  <si>
    <t>UO9B8</t>
  </si>
  <si>
    <t>WOS:001177119100001</t>
  </si>
  <si>
    <t>Chao, FY; Xu, J; Lin, CW</t>
  </si>
  <si>
    <t>Chao, Fang-Yu; Xu, Jia; Lin, Chia-Wen</t>
  </si>
  <si>
    <t>Mining User Interests from Social Media by Fusing Textual and Visual Features</t>
  </si>
  <si>
    <t>2016 ASIA-PACIFIC SIGNAL AND INFORMATION PROCESSING ASSOCIATION ANNUAL SUMMIT AND CONFERENCE (APSIPA)</t>
  </si>
  <si>
    <t>Asia-Pacific Signal and Information Processing Association Annual Summit and Conference</t>
  </si>
  <si>
    <t>Asia-Pacific Signal and Information Processing Association Annual Summit and Conference (APSIPA)</t>
  </si>
  <si>
    <t>DEC 13-16, 2016</t>
  </si>
  <si>
    <t>User interests mining; social media; feature selection; topic models</t>
  </si>
  <si>
    <t>In this paper, we propose a framework that fuses textual and visual features of user generated social media data to mine the distribution of user interests. The proposed framework consists of three steps: feature extraction, model training, and user interest mining. We choose boards from popular users on Pinterest to collect training and test data. For each pin we extract the term-document matrices as textual features, bag of visual words as low-level visual features, and attributes as mid-level visual features. Representative features are then selected for training topic models using discriminative latent Dirichlet allocation (DLDA). In performance evaluation, pins collected from popular users are used to evaluate the classification accuracy and pins collected from other common users are used to evaluate the recommendation performance. Our experimental results show the efficacy of the proposed method.</t>
  </si>
  <si>
    <t>[Chao, Fang-Yu; Xu, Jia; Lin, Chia-Wen] Natl Tsing Hua Univ, Hsinchu, Taiwan</t>
  </si>
  <si>
    <t>National Tsing Hua University</t>
  </si>
  <si>
    <t>Lin, CW (corresponding author), Natl Tsing Hua Univ, Hsinchu, Taiwan.</t>
  </si>
  <si>
    <t>cwlin@ee.nthu.edu.tw</t>
  </si>
  <si>
    <t>Lin, Chia-Wen/M-4571-2013</t>
  </si>
  <si>
    <t>Lin, Chia-Wen/0000-0002-9097-2318</t>
  </si>
  <si>
    <t>2309-9402</t>
  </si>
  <si>
    <t>978-988-14768-2-1</t>
  </si>
  <si>
    <t>ASIAPAC SIGN INFO PR</t>
  </si>
  <si>
    <t>BG9QE</t>
  </si>
  <si>
    <t>WOS:000393591800041</t>
  </si>
  <si>
    <t>Tang, XN; Zhang, M; Yang, CC</t>
  </si>
  <si>
    <t>Tang, Xuning; Zhang, Mi; Yang, Christopher C.</t>
  </si>
  <si>
    <t>User Interest and Topic Detection for Personalized Recommendation</t>
  </si>
  <si>
    <t>graphical model; personalized recommendation; user interest; reranking method</t>
  </si>
  <si>
    <t>Recommender system provides users with personalized suggestions of product or information. Typically, recommender systems rely on a bipartite graph model to capture user interest. As an extension, some boosted methods analyze content information to further improve the quality of personalized recommendation. However, due to the prevalence of short and sparse messages in online social media, traditional content-boosted methods do not guarantee to capture user preference accurately especially for web contents. In this paper, we propose a novel graphical model to extract hidden topics from web contents, cluster web contents, and detect users' interests on each cluster. In addition, we introduce two reranking models which utilize the detected user interest to further boost the quality of personalized recommendation. Experiment results on a public dataset demonstrated the limitation of a traditional content-boosted approach, and also showed the validity of our proposed techniques.</t>
  </si>
  <si>
    <t>[Tang, Xuning; Zhang, Mi; Yang, Christopher C.] Drexel Univ, Coll Informat Sci &amp; Technol, Philadelphia, PA 19104 USA</t>
  </si>
  <si>
    <t>Drexel University</t>
  </si>
  <si>
    <t>Tang, XN (corresponding author), Drexel Univ, Coll Informat Sci &amp; Technol, Philadelphia, PA 19104 USA.</t>
  </si>
  <si>
    <t>xt24@drexel.edu; mi.zhang@drexel.edu; chris.yang@drexel.edu</t>
  </si>
  <si>
    <t>10.1109/WI-IAT.2012.62</t>
  </si>
  <si>
    <t>WOS:000423016400064</t>
  </si>
  <si>
    <t>Al-Qurishi, M; Alhuzami, S; AlRubaian, M; Hossain, MS; Alamri, A; Rahman, MA</t>
  </si>
  <si>
    <t>Al-Qurishi, Muhammad; Alhuzami, Saad; AlRubaian, Majed; Hossain, M. Shamim; Alamri, Atif; Rahman, Md. Abdur</t>
  </si>
  <si>
    <t>User profiling for big social media data using standing ovation model</t>
  </si>
  <si>
    <t>Data processing; Big data mining; Analysis of textual content; Twitter</t>
  </si>
  <si>
    <t>QUALITY; TWITTER; SYSTEM</t>
  </si>
  <si>
    <t>Online Social Networks (OSNs) have recently been the subject of numerous studies that have attempted to develop effective methods for classifying and analyzing big content. Some of the key contributions of these studies to current scientific understanding include the identification of underlying topics within content (posts and messages), determination of each user's influence and contributions, c) measurement of content quality, and extraction and analysis of users' motives and preferences. We aimed to develop an integrative solution entailing a combination of these methodological advances within a single framework that could facilitate attribution and differentiate OSN members. Specifically, we examined peer effects within Twitter and assessed the propensity of members to alter their views on commonly discussed matters based on their exposure to alternative views expressed by respected and influential members. We availed of abundant available resources and tracked historical interactions of selected users to create a workable model that captured differences in opinions. The resulting solution enables peer influence within the online environment to be quantified and the level of investment of identified social media users in particular topics to be assessed.</t>
  </si>
  <si>
    <t>[Al-Qurishi, Muhammad; Alhuzami, Saad; AlRubaian, Majed; Hossain, M. Shamim; Alamri, Atif] King Saud Univ, Collage Comp &amp; Informat Sci, Chair Pervas &amp; Mobile Comp, Riyadh 11543, Saudi Arabia; [Hossain, M. Shamim; Alamri, Atif] King Saud Univ, Dept Software Engn, Coll Comp &amp; Informat Sci, Riyadh 11543, Saudi Arabia; [Rahman, Md. Abdur] Univ Prince Muqrin, Dept Comp Sci, Al Munawarrah, Saudi Arabia</t>
  </si>
  <si>
    <t>King Saud University; King Saud University; University of Prince Mugrin</t>
  </si>
  <si>
    <t>Hossain, MS (corresponding author), King Saud Univ, Collage Comp &amp; Informat Sci, Chair Pervas &amp; Mobile Comp, Riyadh 11543, Saudi Arabia.;Hossain, MS (corresponding author), King Saud Univ, Dept Software Engn, Coll Comp &amp; Informat Sci, Riyadh 11543, Saudi Arabia.</t>
  </si>
  <si>
    <t>qurishi@ksu.edu.sa; saad4q@gmail.com; malrubaian.c@ksu.edu.sa; mshossain@ksu.edu.sa; atif@ksu.edu.sa</t>
  </si>
  <si>
    <t>Abdur Rahman/AAG-9302-2019; AL-Qurishi, Muhammad/F-4147-2018; Hossain, M. Shamim/K-1362-2014; Alamri, Atif/KFQ-0028-2024</t>
  </si>
  <si>
    <t>Abdur Rahman/0000-0002-4105-0368; Hossain, M. Shamim/0000-0001-5906-9422;</t>
  </si>
  <si>
    <t>10.1007/s11042-017-5402-6</t>
  </si>
  <si>
    <t>GF3XA</t>
  </si>
  <si>
    <t>WOS:000431889900045</t>
  </si>
  <si>
    <t>López, MB; Alor-Hernández, G; Sánchez-Cervantes, JL; Salas-Zárate, MD; Paredes-Valverde, MA</t>
  </si>
  <si>
    <t>Bustos Lopez, Maritza; Alor-Hernandez, Giner; Luis Sanchez-Cervantes, Jose; del Pilar Salas-Zarate, Maria; Andres Paredes-Valverde, Mario</t>
  </si>
  <si>
    <t>EduRP: an Educational Resources Platform based on Opinion Mining and Semantic Web</t>
  </si>
  <si>
    <t>Machine Learning; Natural language processing; Opinion mining; Sentiment Analysis</t>
  </si>
  <si>
    <t>SENTIMENT ANALYSIS; SYSTEM; ONTOLOGY</t>
  </si>
  <si>
    <t>Educational platforms have become important tools for e-learning; nonetheless, finding the appropriate educational resources to use often represents a tedious task for learners. Opinions in the educational domain are important information for decision making; they allow teachers to improve the teaching process and enable students to decide on the best educational resources. The large amount of data that is daily generated on the Web makes it difficult, however, to analyze opinions manually. Multiple opinion mining approaches are being proposed as a solution to this problem; this research work introduces EduRP, an education platform that integrates opinion mining techniques and ontology-based user profiling techniques. We specifically propose an opinion mining approach for Spanish text which consists of three main steps: 1) collect opinions from the EduRP platform, 2) process the opinions to normalize the text, and 3) obtain the polarity of the opinions using a machine learning approach. We also propose a profile customization approach that uses Semantic Web technologies, specifically ontologies, to integrate socio-demographic data from different social networks and from the platform itself Finally, we assess the performance of our system under precision, recall, and F-measure metrics, obtaining average values of 81.85%, 81.80% and 81.54, respectively.</t>
  </si>
  <si>
    <t>[Bustos Lopez, Maritza; Alor-Hernandez, Giner; del Pilar Salas-Zarate, Maria; Andres Paredes-Valverde, Mario] Tecnol Nacl Mexico, IT Orizaba, Av Oriente 9,852, Orizaba 94320, Veracruz, Mexico; [Luis Sanchez-Cervantes, Jose] Tecnol Nacl Mexico, IT Orizaba, CONACYT, Av Oriente 9,852, Orizaba 94320, Veracruz, Mexico</t>
  </si>
  <si>
    <t>Consejo Nacional de Ciencia y Tecnologia (CONACyT)</t>
  </si>
  <si>
    <t>López, MB (corresponding author), Tecnol Nacl Mexico, IT Orizaba, Av Oriente 9,852, Orizaba 94320, Veracruz, Mexico.</t>
  </si>
  <si>
    <t>maritbustos@gmail.com; galor@itorizaba.edu.mx; jlsanchez@conacyt.mx; pilarsalasz12@gmail.com; mapv1015@hotmail.com</t>
  </si>
  <si>
    <t>Alor-Hernández, Giner/U-9203-2017; Sánchez-Cervantes, José Luis/M-3453-2019; PAREDES'VALVERDE, MARIO'ANDRES/LWI-9683-2024; /N-5583-2017</t>
  </si>
  <si>
    <t>Alor-Hernández, Giner/0000-0003-3296-0981; Sánchez-Cervantes, José Luis/0000-0001-5194-1263;</t>
  </si>
  <si>
    <t>National Technological Institute of Mexico (Tecnologico Nacional de Mexico, TecNM); Mexico's National Council of Science and Technology (CONACYT); Secretariat of Public Education (SEP) through the PRODEP program</t>
  </si>
  <si>
    <t>National Technological Institute of Mexico (Tecnologico Nacional de Mexico, TecNM); Mexico's National Council of Science and Technology (CONACYT)(Consejo Nacional de Ciencia y Tecnologia (CONACyT)); Secretariat of Public Education (SEP) through the PRODEP program</t>
  </si>
  <si>
    <t>The authors are grateful to the National Technological Institute of Mexico (Tecnologico Nacional de Mexico, TecNM) for supporting this work. The research was also sponsored by Mexico's National Council of Science and Technology (CONACYT) and the Secretariat of Public Education (SEP) through the PRODEP program.</t>
  </si>
  <si>
    <t>0948-6968</t>
  </si>
  <si>
    <t>HG5QC</t>
  </si>
  <si>
    <t>WOS:000455032500003</t>
  </si>
  <si>
    <t>Sung, YT; Hsiao, MT</t>
  </si>
  <si>
    <t>Sung, Yao-Ting; Hsiao, Meng-Ting</t>
  </si>
  <si>
    <t>Constructing the hierarchical career-interests assessment (HCIA) for educational tracking</t>
  </si>
  <si>
    <t>CURRENT PSYCHOLOGY</t>
  </si>
  <si>
    <t>Career-interests assessment; Structure of interests; Senior high school students; Hierarchical structure; Tracking</t>
  </si>
  <si>
    <t>HIGH-SCHOOL-STUDENTS; VOCATIONAL INTERESTS; INTEREST CONGRUENCE; PERFORMANCE; HOLLAND; MODELS</t>
  </si>
  <si>
    <t>This study aimed to develop a computerized hierarchical career-interest assessment (HCIA) for senior high school students and to examine psychometric evidence for its proposed hierarchical measurement structure. The assessment framework comprised 9 interest categories and 36 subcategories developed through a content-mapping process that integrated Taiwanese academic-field classifications, ISCED-F, occupational-content information, and vocational-interest theory. A pilot study and a formal evaluation of the psychometric properties of the HCIA yielded 1,550 and 3,140 valid response records from senior high school students, respectively. Reliability coefficients ranged from 0.73 to 0.98. A testlet-adjusted second-order confirmatory factor analysis supported the hypothesized hierarchical structure of the HCIA, in which 144 items represented 36 differentiated interest subcategories organized under 9 broad interest categories. These findings provide initial psychometric support for the proposed HCIA measurement structure and support its application in educational guidance and academic-field exploration among senior high school students. Implications for educational counseling and directions for future research are discussed.</t>
  </si>
  <si>
    <t>[Sung, Yao-Ting; Hsiao, Meng-Ting] Natl Taiwan Normal Univ, Dept Educ Psychol &amp; Counseling, Taipei City, Taiwan</t>
  </si>
  <si>
    <t>National Taiwan Normal University</t>
  </si>
  <si>
    <t>Hsiao, MT (corresponding author), Natl Taiwan Normal Univ, Dept Educ Psychol &amp; Counseling, Taipei City, Taiwan.</t>
  </si>
  <si>
    <t>seraohina@rcpet.ntnu.edu.tw</t>
  </si>
  <si>
    <t>1046-1310</t>
  </si>
  <si>
    <t>1936-4733</t>
  </si>
  <si>
    <t>CURR PSYCHOL</t>
  </si>
  <si>
    <t>Curr. Psychol.</t>
  </si>
  <si>
    <t>SEP 14</t>
  </si>
  <si>
    <t>10.1007/s12144-026-09871-3</t>
  </si>
  <si>
    <t>SEP 2026</t>
  </si>
  <si>
    <t>OC5LS</t>
  </si>
  <si>
    <t>WOS:001874301000001</t>
  </si>
  <si>
    <t>Li, WF; Wang, XJ; Hu, RL; Tian, JL</t>
  </si>
  <si>
    <t>Li, Wenfeng; Wang, Xiaojie; Hu, Rile; Tian, Jilei</t>
  </si>
  <si>
    <t>USER INTEREST MODELING BY LABELED LDA WITH TOPIC FEATURES</t>
  </si>
  <si>
    <t>2011 IEEE INTERNATIONAL CONFERENCE ON CLOUD COMPUTING AND INTELLIGENCE SYSTEMS</t>
  </si>
  <si>
    <t>International Conference on Cloud Computing and Intelligence Systems</t>
  </si>
  <si>
    <t>IEEE International Conference on Cloud Computing and Intelligence Systems (CCIS20111)</t>
  </si>
  <si>
    <t>IEEE Beijing Sect,Chinese Assoc Artificial Intelligence,Beijing Univ Posts &amp; Telecommun,Hosei Univ,Chinese Univ Hong Kong,Arizona State Univ,Nat Sci Fdn China,Inst Engn &amp; Technol,China Commun Magazine Co Ltd</t>
  </si>
  <si>
    <t>Labeled Latent Dirichlet Allocation with topic Feature (LLDA-TF); browsing history; topic model; user interest model; topic feature</t>
  </si>
  <si>
    <t>As well known, the user interest is carried in the user's web browsing history that can be mined out. This paper presents an innovative method to extract user's interests from his/her web browsing history. We first apply an efficient algorithm to extract useful texts from the web pages in user's browsed URL sequence. We then proposed a Labeled Latent Dirichlet Allocation with.Topic Feature (LLDA-TF) to mine user's interests from the texts. Unlike other works that need a lot of training data to train a model to adopt supervised information, we directly introduce the raw supervised information to the procedure of LLDA-TF. As shown in the experimental results, results given by LLDA-TF fit predefined categories well. Furthermore, LLDA-TF model can name the user interests by category words as well as a keyword list for each category.</t>
  </si>
  <si>
    <t>[Li, Wenfeng; Wang, Xiaojie] Beijing Univ Posts &amp; Telecommun, Ctr Intelligent Sci &amp; Technol, Beijing, Peoples R China; [Hu, Rile; Tian, Jilei] Nokia Res Ctr, Beijing, Peoples R China</t>
  </si>
  <si>
    <t>Beijing University of Posts &amp; Telecommunications; Nokia Corporation; Nokia China</t>
  </si>
  <si>
    <t>Li, WF (corresponding author), Beijing Univ Posts &amp; Telecommun, Ctr Intelligent Sci &amp; Technol, Beijing, Peoples R China.</t>
  </si>
  <si>
    <t>lwfeng115@gmail.com; xjwang@bupt.edu.cn; rile.hu@nokia.com; jilei.tian@nokia.com</t>
  </si>
  <si>
    <t>2376-5933</t>
  </si>
  <si>
    <t>978-1-61284-201-1</t>
  </si>
  <si>
    <t>INT CONF CLOUD COMPU</t>
  </si>
  <si>
    <t>BH0EF</t>
  </si>
  <si>
    <t>WOS:000394721300002</t>
  </si>
  <si>
    <t>Jun, L; Peng, Z</t>
  </si>
  <si>
    <t>Shi, Y; Xi, Y; Wolcott, P; Tian, Y; Li, J; Berg, D; Chen, Z; HerreraViedma, E; Kou, G; Lee, H; Peng, Y; Yu, L</t>
  </si>
  <si>
    <t>Jun, Li; Peng, Zhang</t>
  </si>
  <si>
    <t>Mining Explainable User Interests from Scalable User Behavior Data</t>
  </si>
  <si>
    <t>FIRST INTERNATIONAL CONFERENCE ON INFORMATION TECHNOLOGY AND QUANTITATIVE MANAGEMENT</t>
  </si>
  <si>
    <t>1st International Conference on Information Technology and Quantitative Management (ITQM)</t>
  </si>
  <si>
    <t>MAY 16-18, 2013</t>
  </si>
  <si>
    <t>Int Acad Informat Technol &amp; Quantitat Management,Chinese Acad Sci Res Ctr Fictitious Econ &amp; Data Sci,Univ Chinese Acad Sci, Sch Management,China Singapore Suzhou Ind Pk,China Data Technol (Suzhou) Co Ltd,Xian Jiaotong Liverpool Univ,Chinese Acad Sci, Inst Policy &amp; Management,Univ Nebraska Omaha,Chinese Soc Management Modernizat,Natl Nat Sci Fdn China,China Financial Futures Exchange,Yihaodian Com,Wintek Corp,Footdisc Inc,Emerald</t>
  </si>
  <si>
    <t>Behavior Targeting Probabilistic Latent Semantic Analysis; User Category</t>
  </si>
  <si>
    <t>Capturing user interests from big user behavior data is critical for online advertising. Based on the user interests, advertisers can significantly reduce their advertising cost by delivering the most relevant ads for the user. The state-of-the-art user Behavior Targeting (BT) models treat user behaviors as documents, and thus use topic models to extract their interests. A limitation of these methods is that user behaviors are usually described as unexplainable hidden topics, which cannot be directly used to guide online advertising. To this end, we propose in this paper a systematic User Interest Distribution Mining (UIDM for short) Framework to extract explainable user interests from big user behavior data. In the solution, we first use the Probabilistic Latent Semantic Analysis (PLSA) to discover the relationship between users and their behaviors, which can be described as hidden topics. Then, we construct a mapping matrix between the hidden topics and user interests by manually labeling a feature entity matrix. Experiments on real-world data sets demonstrate the performance of the proposed method. (C) 2013 The Authors. Published by Elsevier B.V.</t>
  </si>
  <si>
    <t>[Jun, Li] State Grid Energy Res Inst, Beijing 100052, Peoples R China; [Peng, Zhang] Chinese Acad Sci, Inst Informat Engn, Beijing 100093, Peoples R China</t>
  </si>
  <si>
    <t>State Grid Corporation of China; Chinese Academy of Sciences; Institute of Information Engineering, CAS</t>
  </si>
  <si>
    <t>Jun, L (corresponding author), State Grid Energy Res Inst, Beijing 100052, Peoples R China.</t>
  </si>
  <si>
    <t>lijun@software.ict.ac.cn</t>
  </si>
  <si>
    <t>10.1016/j.procs.2013.05.101</t>
  </si>
  <si>
    <t>BA9BG</t>
  </si>
  <si>
    <t>WOS:000339094400101</t>
  </si>
  <si>
    <t>Senthilkumar, NC; Reddy, CP</t>
  </si>
  <si>
    <t>Senthilkumar, N. C.; Reddy, Pradeep Ch</t>
  </si>
  <si>
    <t>Prediction of user interest fluctuation using fuzzy neural networks in web search</t>
  </si>
  <si>
    <t>INTERNATIONAL JOURNAL OF INTELLIGENT UNMANNED SYSTEMS</t>
  </si>
  <si>
    <t>Neural network; User interest; Prediction; Web search; User browser</t>
  </si>
  <si>
    <t>Purpose The user interest in content searching in the web will be changed over by time. Design/methodology/approach The system is in need to find the content of user over the temporal aspects. Findings So, predicting the user interest over the time by analyzing the fluctuations of their search keyword is important. Research limitations/implications So, predicting the user interest over the time by analyzing the fluctuations of their search keyword is important. Practical implications In this work, fuzzy neural network techniques are used to predict the user interest fluctuation in different times in different scenarios. Social implications In this proposed work, both the long-term and short-term interest are evaluated using the specialized user interface designed to retrieve the user interest based on the user searching activities. Originality/value This work also categorizes the future needs of users using this proposed system.</t>
  </si>
  <si>
    <t>[Senthilkumar, N. C.] Vellore Inst Technol, Sch Informat Technol &amp; Engn, Vellore, Tamil Nadu, India; [Reddy, Pradeep Ch] VIT Univ AP, Sch Comp Sci &amp; Engn, Amaravati, Andhra Pradesh, India</t>
  </si>
  <si>
    <t>Senthilkumar, NC (corresponding author), Vellore Inst Technol, Sch Informat Technol &amp; Engn, Vellore, Tamil Nadu, India.</t>
  </si>
  <si>
    <t>ncsenthilkumar@vit.ac.in; pradeep.ch@vitap.ac.in</t>
  </si>
  <si>
    <t>, Senthilkumar N C/E-4352-2019; CH, Pradeep Reddy/AFM-8766-2022</t>
  </si>
  <si>
    <t>, Senthilkumar N C/0000-0002-2050-1297; CH, Pradeep Reddy/0000-0002-6446-0298</t>
  </si>
  <si>
    <t>2049-6427</t>
  </si>
  <si>
    <t>2049-6435</t>
  </si>
  <si>
    <t>INT J INTELL UNMANNE</t>
  </si>
  <si>
    <t>Int. J. Intell. Unmanned Syst.</t>
  </si>
  <si>
    <t>OCT 12</t>
  </si>
  <si>
    <t>10.1108/IJIUS-02-2019-0013</t>
  </si>
  <si>
    <t>Robotics</t>
  </si>
  <si>
    <t>OR7LH</t>
  </si>
  <si>
    <t>WOS:000541635100001</t>
  </si>
  <si>
    <t>Gutiérrez, MD; Froment, F</t>
  </si>
  <si>
    <t>Gutierrez, Manuel de Besa; Froment, Facundo</t>
  </si>
  <si>
    <t>The Effect of Instructor Credibility on Student Interest: Academic satisfaction as a mediating variable</t>
  </si>
  <si>
    <t>EDUCAR</t>
  </si>
  <si>
    <t>Spanish</t>
  </si>
  <si>
    <t>university lecturers; instructor credibility; interest; satisfaction; university students</t>
  </si>
  <si>
    <t>ENGAGEMENT; COMMUNICATION; ASSOCIATIONS; ADAPTATION; MOTIVATION; MANAGEMENT; VALIDITY; TEACHER</t>
  </si>
  <si>
    <t>Students' assessments of lecturer credibility represent a fundamental factor that generates positive learning results. However, no studies have been carried out in Spanish universities that examine the effect of instructor credibility on student interest and academic satisfaction. Therefore, the objective of this research was to measure the effect of lecturer credibility on student interest and the mediating role of academic satisfaction. A sample of 625 students from the universities of Cadiz and Extremadura taking Bachelor's degrees in Early Childhood and Primary Education participated in the study. Scales of credibility of university lecturers, academic satisfaction and interest in university students were applied. A research model was proposed and evaluated through the PLS-SEM technique. The findings establish positive relationships between lecturer credibility and satisfaction and interest; between satisfaction and interest; and that satisfaction mediates the association between lecturer credibility and student interest. Furthermore, the model presents a medium predictive power on student interest. Various actions are suggested for university lecturers to establish their credibility in the classroom, thus generating favourable learning results.</t>
  </si>
  <si>
    <t>[Gutierrez, Manuel de Besa] Univ Cadiz, Cadiz, Spain; [Froment, Facundo] Univ Extremadura, Badajoz, Spain</t>
  </si>
  <si>
    <t>Universidad de Cadiz; Universidad de Extremadura</t>
  </si>
  <si>
    <t>Gutiérrez, MD (corresponding author), Univ Cadiz, Cadiz, Spain.</t>
  </si>
  <si>
    <t>manuel.debesa@uca.es; facundofroment@unex.es</t>
  </si>
  <si>
    <t>Froment, Facundo/AAB-1388-2021; De-Besa-Gutiérrez, Manuel/U-2686-2019</t>
  </si>
  <si>
    <t>CERDANYOLA DEL VALLES</t>
  </si>
  <si>
    <t>Edifici A, CERDANYOLA DEL VALLES, BARCELONA 08193, SPAIN</t>
  </si>
  <si>
    <t>0211-819X</t>
  </si>
  <si>
    <t>2014-8801</t>
  </si>
  <si>
    <t>Educar</t>
  </si>
  <si>
    <t>JUL-DEC</t>
  </si>
  <si>
    <t>10.5565/rev/educar.2452</t>
  </si>
  <si>
    <t>LK0RT</t>
  </si>
  <si>
    <t>Green Accepted, gold</t>
  </si>
  <si>
    <t>WOS:001826451700006</t>
  </si>
  <si>
    <t>Duan, YW; Chen, Y; Sun, Q; Chen, JL; Zhang, JJ; Yun, B; Cai, TT; Yuan, CR</t>
  </si>
  <si>
    <t>Duan, Yiwen; Chen, Yi; Sun, Qi; Chen, Jialin; Zhang, Jiaojiao; Yun, Bei; Cai, Tingting; Yuan, Changrong</t>
  </si>
  <si>
    <t>Characterizing authoritative oncology-related key opinion leaders on Weibo: A social media profiling study</t>
  </si>
  <si>
    <t>ASIA-PACIFIC JOURNAL OF ONCOLOGY NURSING</t>
  </si>
  <si>
    <t>Key opinion leaders; User profiling; Online health communities; Social media; Sentiment analysis; Clustering analysis</t>
  </si>
  <si>
    <t>INFORMATION NEEDS; CANCER-PATIENTS; SUPPORT; WOMEN; CARE</t>
  </si>
  <si>
    <t>Objective: This study aimed to explore the heterogeneity of authoritative oncology-related key opinion leaders (AOKOLs) on Weibo and to develop their user profiles that support precise health information dissemination and personalized online patient support. Methods: Using Python-based web scraping, data were collected from Weibo (Nov 2023-Nov 2024) based on six oncology-related keywords. AOKOLs were profiled using K-means clustering across 12 indicators in four dimensions: content output, interaction, professional background, and social network features. Sentiment analysis of representative user comments was conducted to assess audience emotional responses. Results: A total of 143 AOKOLs were included through clustering analysis, with 89,118 posts and 837,602 comments collected from their Weibo accounts. These AOKOLs were categorized into four distinct digital influence profiles: 31 expert knowledge communicators, 47 science information sharers, 47 emotional support providers, and 18 social engagement facilitators. These groups differed in content focus, engagement patterns, and audience interaction. Sentiment analysis of 62,154 comments from 37 representative AOKOLs revealed varying emotional responses across profiles, highlighting their differential impacts on audience well-being and digital health communication. Conclusions: This study reveals distinct user profiles of AOKOLs on Weibo, highlighting the diverse communication strategies, engagement styles, and emotional influences within digital health ecosystems. Findings offer insights into how digital influencers can support patient-centered care and enhance quality of life through intelligent health communication.</t>
  </si>
  <si>
    <t>[Duan, Yiwen; Chen, Yi; Sun, Qi; Chen, Jialin; Zhang, Jiaojiao; Yun, Bei; Cai, Tingting; Yuan, Changrong] Fudan Univ, Sch Nursing, Shanghai, Peoples R China; [Sun, Qi] Fudan Univ, Zhongshan Hosp, Shanghai, Peoples R China</t>
  </si>
  <si>
    <t>Cai, TT; Yuan, CR (corresponding author), Fudan Univ, Sch Nursing, Shanghai, Peoples R China.</t>
  </si>
  <si>
    <t>caitingtingguo@163.com; yuancr@fudan.edu.cn</t>
  </si>
  <si>
    <t>Duan, Yiwen/ONI-9703-2025</t>
  </si>
  <si>
    <t>Duan, Yiwen/0009-0004-3792-0318; Cai, Tingting/0000-0002-3473-8412; Chen, Yi/0000-0002-3901-4800; Zhang, Jiaojiao/0009-0001-5718-2461</t>
  </si>
  <si>
    <t>National Natural Science Foundation of China [72374048]; Ministry of Education of the People's Republic of China Humanities and Social Sciences Youth Foundation, China [23YJC630002]</t>
  </si>
  <si>
    <t>National Natural Science Foundation of China(National Natural Science Foundation of China (NSFC)); Ministry of Education of the People's Republic of China Humanities and Social Sciences Youth Foundation, China</t>
  </si>
  <si>
    <t>This study was supported by the National Natural Science Foundation of China (Grant No. 72374048) and the Ministry of Education of the People's Republic of China Humanities and Social Sciences Youth Foundation, China (Grant No. 23YJC630002) . The funders had no role in considering the study design or in the collection, analysis, interpretation of data, writing of the report, or decision to submit the article for publication.</t>
  </si>
  <si>
    <t>2347-5625</t>
  </si>
  <si>
    <t>2349-6673</t>
  </si>
  <si>
    <t>ASIA-PAC J ONCOL NUR</t>
  </si>
  <si>
    <t>Asia-Pac. J. Oncol. Nurs.</t>
  </si>
  <si>
    <t>10.1016/j.apjon.2025.100742</t>
  </si>
  <si>
    <t>Nursing</t>
  </si>
  <si>
    <t>6JA4X</t>
  </si>
  <si>
    <t>WOS:001554525100001</t>
  </si>
  <si>
    <t>Wang, J; Li, ZW; Yao, JY; Sun, ZQ; Li, MJ; Ma, WY</t>
  </si>
  <si>
    <t>Zhou, XF; Li, J; Shen, HT; Kitsuregawa, M; Zhang, Y</t>
  </si>
  <si>
    <t>Adaptive user profile model and collaborative filtering for personalized news</t>
  </si>
  <si>
    <t>FRONTIERS OF WWW RESEARCH AND DEVELOPMENT - APWEB 2006, PROCEEDINGS</t>
  </si>
  <si>
    <t>8th Asia-Pacific Web Conference and Workshops (APWeb 2006)</t>
  </si>
  <si>
    <t>JAN 16-18, 2006</t>
  </si>
  <si>
    <t>Natl Nat Sci Fdn China,Australian Res Council Res Network EII,Harbin Inst Technol,Heilongjiang Univ,Hohai Univ,Yellow River Conservat Commiss</t>
  </si>
  <si>
    <t>In recent years, personalized news recommendation has received increasing attention in IR community. The core problem of personalized recommendation is to model and track users' interests and their changes. To address this problem, both content-based filtering (CBF) and collaborative filtering (CF) have been explored. User interests involve interests on fixed categories and dynamic events, yet in current CBF approaches, there is a lack of ability to model user's interests at the event level. In this paper, we propose a novel approach to user profile modeling. In this model, user's interests are modeled by a multi-layer tree with a dynamically changeable structure, the top layers of which are used to model user interests on fixed categories, and the bottom layers are for dynamic events. Thus, this model can track the user's reading behaviors on both fixed categories and dynamic events, and consequently capture the interest changes. A modified CF algorithm based on the hierarchically structured profile model is also proposed. Experimental results indicate the advantages of our approach.</t>
  </si>
  <si>
    <t>Tsinghua Univ, State Key Lab Intelligent Technol &amp; Syst, Beijing 100080, Peoples R China; Microsoft Res Asia, Beijing 100080, Peoples R China</t>
  </si>
  <si>
    <t>Tsinghua University; Microsoft; Microsoft Research Asia; Microsoft China</t>
  </si>
  <si>
    <t>Wang, J (corresponding author), Tsinghua Univ, State Key Lab Intelligent Technol &amp; Syst, Beijing 100080, Peoples R China.</t>
  </si>
  <si>
    <t>wangyuanhao99@mails.tsinghua.edu.cn; zli@microsoft.com; jinyi.yao@microsoft.com; szq-dcs@mail.tsinghua.edu.cn; mjli@microsoft.com; wyma@microsoft.com</t>
  </si>
  <si>
    <t>Ma, Wei-Ying/0000-0002-7384-0735</t>
  </si>
  <si>
    <t>3-540-31142-4</t>
  </si>
  <si>
    <t>BDV60</t>
  </si>
  <si>
    <t>WOS:000235658000042</t>
  </si>
  <si>
    <t>Zeng, Y; Zhong, N; Wang, Y; Qin, YL; Huang, ZS; Zhou, HY; Yao, YY; van Harmelen, F</t>
  </si>
  <si>
    <t>Zeng, Yi; Zhong, Ning; Wang, Yan; Qin, Yulin; Huang, Zhisheng; Zhou, Haiyan; Yao, Yiyu; van Harmelen, Frank</t>
  </si>
  <si>
    <t>User-centric query refinement and processing using granularity-based strategies</t>
  </si>
  <si>
    <t>User interests retention; Unifying search and reasoning; Granularity; Starting point; Multi-level completeness; Multi-level specificity; Multiple perspectives</t>
  </si>
  <si>
    <t>SEARCH; LOGIC</t>
  </si>
  <si>
    <t>Under the context of large-scale scientific literatures, this paper provides a user-centric approach for refining and processing incomplete or vague query based on cognitive- and granularity-based strategies. From the viewpoints of user interests retention and granular information processing, we examine various strategies for user-centric unification of search and reasoning. Inspired by the basic level for human problem-solving in cognitive science, we refine a query based on retained user interests. We bring the multi-level, multi-perspective strategies from human problem-solving to large-scale search and reasoning. The power/exponential law-based interests retention modeling, network statistics-based data selection, and ontology-supervised hierarchical reasoning are developed to implement these strategies. As an illustration, we investigate some case studies based on a large-scale scientific literature dataset, DBLP. The experimental results show that the proposed strategies are potentially effective.</t>
  </si>
  <si>
    <t>[Zeng, Yi; Zhong, Ning; Wang, Yan; Qin, Yulin; Zhou, Haiyan; Yao, Yiyu] Beijing Univ Technol, Int WIC Inst, Beijing 100124, Peoples R China; [Zhong, Ning] Maebashi Inst Technol, Dept Life Sci &amp; Informat, Maebashi, Gunma 3710816, Japan; [Qin, Yulin] Carnegie Mellon Univ, Dept Psychol, Pittsburgh, PA 15213 USA; [Huang, Zhisheng; van Harmelen, Frank] Vrije Univ Amsterdam, Dept Comp Sci, NL-1081 HV Amsterdam, Netherlands; [Yao, Yiyu] Univ Regina, Dept Comp Sci, Regina, SK S4S 0A2, Canada</t>
  </si>
  <si>
    <t>Beijing University of Technology; Carnegie Mellon University; Vrije Universiteit Amsterdam; University of Regina</t>
  </si>
  <si>
    <t>Zhong, N (corresponding author), Beijing Univ Technol, Int WIC Inst, Beijing 100124, Peoples R China.</t>
  </si>
  <si>
    <t>zhongn@bjut.edu.cn</t>
  </si>
  <si>
    <t>Zhou, Haiyan/E-7661-2011; Yao, Yiyu/B-2926-2008; Zeng, Yi/KFS-5661-2024</t>
  </si>
  <si>
    <t>van Harmelen, Frank/0000-0002-7913-0048; Yao, Yiyu/0000-0001-6502-6226; Zeng, Yi/0000-0002-9595-9091</t>
  </si>
  <si>
    <t>European Commission [FP7-215535]</t>
  </si>
  <si>
    <t>European Commission(European Union (EU)European Commission Joint Research Centre)</t>
  </si>
  <si>
    <t>This study is partially supported by the European Commission through the Large-Scale Integrating Project LarKC (Large Knowledge Collider, FP7-215535) under the 7th framework programme.</t>
  </si>
  <si>
    <t>10.1007/s10115-010-0298-8</t>
  </si>
  <si>
    <t>763VY</t>
  </si>
  <si>
    <t>WOS:000290589000005</t>
  </si>
  <si>
    <t>Guo, FP; Lu, QB</t>
  </si>
  <si>
    <t>Guo, Feipeng; Lu, Qibei</t>
  </si>
  <si>
    <t>Contextual Collaborative Filtering Recommendation Model Integrated with Drift Characteristics of User Interest</t>
  </si>
  <si>
    <t>Contextual Recommendation; Maslow's Hierarchy of Needs; User Activity; Interest Drift; Collaborative Filtering Algorithm; Hidden Markov</t>
  </si>
  <si>
    <t>INFORMATION; SYSTEMS</t>
  </si>
  <si>
    <t>User interest will drift with the change of context, cognitive psychology, and so on, which leads to inaccurate recommendation. In order to address this issue and the traditional recommendation problems such as cold start and data sparsity, this study proposed a novel contextual collaborative filtering recommendation model. First, the reasons for drift of user interest from the perspective of motivation were analyzed, and this study designed a mechanism based on Maslow's hierarchy of needs to analyze the information category and information behavior corresponding to the hierarchy of users' needs. Then, a novel user interest determination algorithm was proposed based on ontology and hidden Markov. Second, this study introduced the concept of user activity and proposed a user activity computational method integrated with context to solve the cold start and data sparsity problems. Finally, the research proposed a dynamic collaborative filtering recommendation algorithm integrated with user activity to diversify the content of candidate recommendation selectively. By monitoring users' feedback and the learning rules of interest drift, this method can discover drift of user interest and make some adaptation actively. The experimental results showed that this model, which integrates with the drift characteristics of user interest, can effectively improve the adaptability to the drift of user interest, and that it has higher accuracy compared with other recommendation methods.</t>
  </si>
  <si>
    <t>[Guo, Feipeng] Zhejiang Gongshang Univ, Modern Business Res Ctr, Hangzhou, Peoples R China; [Guo, Feipeng] Zhejiang Gongshang Univ, Sch Management &amp; Business, Hangzhou, Peoples R China; [Lu, Qibei] Zhejiang Int Studies Univ, Sch Cross Border E Commerce, Hangzhou, Peoples R China; [Lu, Qibei] Zhejiang Int Studies Univ, Sch Sci &amp; Technol, Hangzhou, Peoples R China</t>
  </si>
  <si>
    <t>Zhejiang Gongshang University; Zhejiang Gongshang University; Zhejiang International Studies University; Zhejiang International Studies University</t>
  </si>
  <si>
    <t>Lu, QB (corresponding author), Zhejiang Int Studies Univ, Sch Cross Border E Commerce, Hangzhou, Peoples R China.;Lu, QB (corresponding author), Zhejiang Int Studies Univ, Sch Sci &amp; Technol, Hangzhou, Peoples R China.</t>
  </si>
  <si>
    <t>luqibei@zisu.edu.cn</t>
  </si>
  <si>
    <t>Philosophy and Social Science Planning Project of Zhejiang Province, China [21NDJC017Z]; National Natural Science Foundation of China [71802180]; Humanity and Social Science Project of Ministry of Education of China [18YJC870007]; Basic and Public Welfare Research Project of Zhejiang Province, China [LGJ21G010001, LGF19G020002]; National Key R&amp;D Program of China [2018YFF0213102]; Key R&amp;D Project in Zhejiang Province of China [2021C03143, BD2019B1]</t>
  </si>
  <si>
    <t>Philosophy and Social Science Planning Project of Zhejiang Province, China; National Natural Science Foundation of China(National Natural Science Foundation of China (NSFC)); Humanity and Social Science Project of Ministry of Education of China; Basic and Public Welfare Research Project of Zhejiang Province, China; National Key R&amp;D Program of China(National Key Research &amp; Development Program of China); Key R&amp;D Project in Zhejiang Province of China</t>
  </si>
  <si>
    <t>This work was supported by the Philosophy and Social Science Planning Project of Zhejiang Province, China (No. 21NDJC017Z); the National Natural Science Foundation of China (No. 71802180); the Humanity and Social Science Project of Ministry of Education of China (No. 18YJC870007); the Basic and Public Welfare Research Project of Zhejiang Province, China (No. LGJ21G010001, LGF19G020002); the National Key R&amp;D Program of China (No. 2018YFF0213102); Key R&amp;D Project in Zhejiang Province of China (No. 2021C03143); and the 2019 special plan for improving the scientific research of BoDa young teachers (No. BD2019B1).</t>
  </si>
  <si>
    <t>FEB 26</t>
  </si>
  <si>
    <t>10.22967/HCIS.2021.11.008</t>
  </si>
  <si>
    <t>TB7IL</t>
  </si>
  <si>
    <t>WOS:000668118300001</t>
  </si>
  <si>
    <t>Li, MD; Gao, WT; Chen, Y</t>
  </si>
  <si>
    <t>Li, Mingda; Gao, Weiting; Chen, Yi</t>
  </si>
  <si>
    <t>A Topic and Concept Integrated Model for Thread Recommendation in Online Health Communities</t>
  </si>
  <si>
    <t>recommender systems; online health community; discussion forum; thread recommendation; neural network; Latent Dirichlet Allocation</t>
  </si>
  <si>
    <t>DOCUMENT CONTEXT</t>
  </si>
  <si>
    <t>Online health communities (OHCs) provide a popular channel for users to seek information, suggestions and support during their medical treatment and recovery processes. To help users find relevant information easily, we present CLIR, an effective system for recommending relevant discussion threads to users in OHCs. We identify that thread content and user interests can be categorized in two dimensions: topics and concepts. CLIR leverages Latent Dirichlet Allocation model to summarize the topic dimension and uses Convolutional Neural Network to encode the concept dimension. It then builds a thread neural network to capture thread characteristics and builds a user neural network to capture user interests by integrating these two dimensions and their interactions. Finally, it matches the target thread's characteristics with candidate users' interests to make recommendations. Experimental evaluation with multiple OHC datasets demonstrates the performance advantage of CLIR over the state-of-the-art recommender systems on various evaluation metrics.</t>
  </si>
  <si>
    <t>[Li, Mingda] New Jersey Inst Technol, Dept Comp Sci, Newark, NJ 07102 USA; [Gao, Weiting] New Jersey Inst Technol, Martin Tuchman Sch Management, Newark, NJ 07102 USA; [Chen, Yi] New Jersey Inst Technol, Leir Res Inst, Martin Tuchman Sch Management, Newark, NJ 07102 USA</t>
  </si>
  <si>
    <t>New Jersey Institute of Technology; New Jersey Institute of Technology; New Jersey Institute of Technology</t>
  </si>
  <si>
    <t>Li, MD (corresponding author), New Jersey Inst Technol, Dept Comp Sci, Newark, NJ 07102 USA.</t>
  </si>
  <si>
    <t>ml456@njit.edu; wg97@njit.edu; yi.chen@njit.edu</t>
  </si>
  <si>
    <t>Chen, Yi/0000-0003-3669-1643</t>
  </si>
  <si>
    <t>Leir Foundation; National Institutes of Health [UL1TR003017]; Google Faculty Research Award</t>
  </si>
  <si>
    <t>Leir Foundation; National Institutes of Health(United States Department of Health &amp; Human ServicesNational Institutes of Health (NIH) - USA); Google Faculty Research Award(Google Incorporated)</t>
  </si>
  <si>
    <t>This material is based on work partially supported by the Leir Foundation, a grant from the National Institutes of Health (UL1TR003017) and a Google Faculty Research Award.</t>
  </si>
  <si>
    <t>10.1145/3340531.3411933</t>
  </si>
  <si>
    <t>WOS:000749561300079</t>
  </si>
  <si>
    <t>Shan, SY; Feng, CY; Zhang, TK; Liu, YL</t>
  </si>
  <si>
    <t>Shan, Siyang; Feng, Chunyan; Zhang, Tiankui; Liu, Yinlong</t>
  </si>
  <si>
    <t>A User Interest Preferences Based On-path Caching Strategy in Named Data Networking</t>
  </si>
  <si>
    <t>2017 IEEE/CIC INTERNATIONAL CONFERENCE ON COMMUNICATIONS IN CHINA (ICCC)</t>
  </si>
  <si>
    <t>IEEE International Conference on Communications in China</t>
  </si>
  <si>
    <t>IEEE/CIC International Conference on Communications in China (ICCC)</t>
  </si>
  <si>
    <t>OCT 22-24, 2017</t>
  </si>
  <si>
    <t>IEEE,CIC</t>
  </si>
  <si>
    <t>Caching; NDN; cache placement strategy; user interest preferences</t>
  </si>
  <si>
    <t>In Named Data Networking (NDN), the massive contents make the existing caching strategies inefficient for content delivering with limited cache space. Since users have different interest preferences in different content categories, consideration of inner differences between users can improve the content delivering efficiency. A user interest preferences based on-path caching strategy is proposed for NDN. In the proposed strategy, user interest preferences for different content categories are obtained by analyzing and modeling the user behaviors. Then the caching decisions are made according to user interest preferences, content popularity and cache size of nodes. Simulations show that the modified content request scheme achieves better content variety and user preference diversity, and the proposed scheme outperforms other well-known caching placement strategies in local cache hit ratio, average hop count and caching evictions.</t>
  </si>
  <si>
    <t>[Shan, Siyang; Feng, Chunyan; Zhang, Tiankui] Beijing Univ Posts &amp; Telecommun, Sch Informat &amp; Commun Engn, Beijing Lab Adv Informat Networks, Beijing Key Lab Network Syst Architecture &amp; Conve, Beijing 100876, Peoples R China; [Liu, Yinlong] Inst Informat Engn CA, Beijing, Peoples R China</t>
  </si>
  <si>
    <t>Shan, SY (corresponding author), Beijing Univ Posts &amp; Telecommun, Sch Informat &amp; Commun Engn, Beijing Lab Adv Informat Networks, Beijing Key Lab Network Syst Architecture &amp; Conve, Beijing 100876, Peoples R China.</t>
  </si>
  <si>
    <t>Zhang, Tiankui/AAC-9833-2019</t>
  </si>
  <si>
    <t>National Natural Science Foundations of China [61502046]; 111 project [17007]; Director Funds of Beijing Key Laboratory of Network System Architecture and Convergence [201.7BKL-NSAC-Zj-07]</t>
  </si>
  <si>
    <t>National Natural Science Foundations of China(National Natural Science Foundation of China (NSFC)); 111 project(Ministry of Education, China - 111 Project); Director Funds of Beijing Key Laboratory of Network System Architecture and Convergence</t>
  </si>
  <si>
    <t>This work is supported by the National Natural Science Foundations of China (No. 61502046), the 111 project (No. B 17007), and Director Funds of Beijing Key Laboratory of Network System Architecture and Convergence (201.7BKL-NSAC-Zj-07).</t>
  </si>
  <si>
    <t>2377-8644</t>
  </si>
  <si>
    <t>978-1-5386-4502-4</t>
  </si>
  <si>
    <t>IEEE INT CONF COMMUN</t>
  </si>
  <si>
    <t>BS3CJ</t>
  </si>
  <si>
    <t>WOS:000709551200211</t>
  </si>
  <si>
    <t>Vivacqua, AS; de Mello, CER; de Souza, DK; Menezes, JAD; Marques, LC; Ferreira, MS; de Souza, JM</t>
  </si>
  <si>
    <t>Shen, W; Yong, J; Yang, Y; Barthes, JPA; Luo, J</t>
  </si>
  <si>
    <t>Vivacqua, Adriana S.; de Mello, Carlos Eduardo R.; de Souza, Diogo K.; de Avellar Menezes, Joao A.; Marques, Leandro C.; Ferreira, Marcos S.; de Souza, Jano M.</t>
  </si>
  <si>
    <t>Temporal Profiling for Opportunistic Partnership Recommendation</t>
  </si>
  <si>
    <t>COMPUTER SUPPORTED COOPERATIVE WORK IN DESIGN IV</t>
  </si>
  <si>
    <t>11th International Conference on Computer Supported Cooperative Work in Design</t>
  </si>
  <si>
    <t>APR 26-28, 2007</t>
  </si>
  <si>
    <t>Swinburne Univ Technol,IEEE,IEEE, Victoria Sect,CSCWD,Int Working Grp CSCW Design</t>
  </si>
  <si>
    <t>P2P systems; recommendation systems; CSCW; opportunistic collaboration; user profiling</t>
  </si>
  <si>
    <t>Locating experts or work partners in large Communities can sometimes be hard. The most common way of accomplishing this task is through recommendations from known acquaintances. This networked search for others who fit required profiles is a form of social navigation. However, needs, interests and expertise change rapidly, so time is an important factor in this type of situation, and recommendations need to be time-sensitive. This paper presents a peer-to-peer system for social network navigation, which builds user profiles through a temporal analysis of ongoing activities and matches these to Find opportunities for collaboration.</t>
  </si>
  <si>
    <t>[Vivacqua, Adriana S.; de Mello, Carlos Eduardo R.; de Souza, Diogo K.; de Avellar Menezes, Joao A.; Marques, Leandro C.; Ferreira, Marcos S.; de Souza, Jano M.] Univ Fed Rio de Janeiro, COPPE UFRJ, Grad Sch Engn, BR-21941 Rio De Janeiro, Brazil</t>
  </si>
  <si>
    <t>Universidade Federal do Rio de Janeiro</t>
  </si>
  <si>
    <t>Vivacqua, AS (corresponding author), Univ Fed Rio de Janeiro, COPPE UFRJ, Grad Sch Engn, BR-21941 Rio De Janeiro, Brazil.</t>
  </si>
  <si>
    <t>avivacqua@cos.ufrj.br; carlosmello@cos.ufrj.br; diogokrejci@yahoo.com.br; jmenezes@cos.ufrj.br; leandrom@cos.ufrj.br; marcos@cos.ufrj.br; jano@cos.ufrj.br</t>
  </si>
  <si>
    <t>Vivacqua, Aiana/OSI-2672-2025; Moreira de Souza, Jano/AAG-9116-2019</t>
  </si>
  <si>
    <t>Vivacqua, Aiana/0000-0001-6830-5730; Moreira de Souza, Jano/0000-0001-5080-1955; Ribeiro de Mello, Carlos Eduardo/0000-0002-3632-4002</t>
  </si>
  <si>
    <t>978-3-540-92718-1</t>
  </si>
  <si>
    <t>Computer Science, Information Systems; Computer Science, Theory &amp; Methods; Telecommunications</t>
  </si>
  <si>
    <t>BIY86</t>
  </si>
  <si>
    <t>WOS:000263827900004</t>
  </si>
  <si>
    <t>Vivacqua, AS; de Mello, CER; de Souza, DK; Menezes, JADA; Marques, LC; Ferreira, MS; de Souza, JM</t>
  </si>
  <si>
    <t>Shen, W; Hawryszhiewycz, I; Maher, ML; Yang, Y; Lin, Z; Hao, Q</t>
  </si>
  <si>
    <t>Vivacqua, Adriana S.; de Mello, Carlos Eduardo R.; de Souza, Diogo K.; Menezes, Joao A. de Avellar; Marques, Leandro C.; Ferreira, Marcos S.; de Souza, Jano M.</t>
  </si>
  <si>
    <t>Time based activity profiles to recommend partnership in a P2P network</t>
  </si>
  <si>
    <t>PROCEEDINGS OF THE 2007 11TH INTERNATIONAL CONFERENCE ON COMPUTER SUPPORTED COOPERATIVE WORK IN DESIGN, VOLS 1 AND 2</t>
  </si>
  <si>
    <t>International Conference on Computer Supported Cooperative Work in Design</t>
  </si>
  <si>
    <t>In large communities, finding experts or partners can sometimes be hard. Normally, to find new partners one asks for recommendations from known acquaintances. This is a form of social navigation, whereby one searches for others in the network, who mightfit required profiles. Time is an importantfactor in this type of situation, as needs, interests and expertise levels change rapidly. This paper presents a peer-to-peer system to assist social network navigation and search. It builds user profiles through an analysis of ongoing activities that takes time into account, and matches these to find opportunitiesfor collaboration.</t>
  </si>
  <si>
    <t>[Vivacqua, Adriana S.; de Mello, Carlos Eduardo R.; de Souza, Diogo K.; Menezes, Joao A. de Avellar; Marques, Leandro C.; Ferreira, Marcos S.; de Souza, Jano M.] Univ Fed Rio de Janeiro, Grad Sch Engn, COPPE, BR-21941 Rio De Janeiro, Brazil; [de Souza, Jano M.] Fed Univ, Inst Math 1, DCC IM, Dept Comp Sci, Rio De Janeiro, Brazil</t>
  </si>
  <si>
    <t>Vivacqua, AS (corresponding author), Univ Fed Rio de Janeiro, Grad Sch Engn, COPPE, BR-21941 Rio De Janeiro, Brazil.</t>
  </si>
  <si>
    <t>avivacqua@cos.ufrj.br; carlosmello@cos.ufrj.br; diogokrejci@yahoo.com.br; jmenezes@cos.ufrj.br; leandrom@cos.ufrj.br; marcos@cos.ufrj.br; marcosJano@cos.ufrj.br</t>
  </si>
  <si>
    <t>Menezes-Filho, José/ABE-5797-2021; Moreira de Souza, Jano/AAG-9116-2019; Vivacqua, Aiana/OSI-2672-2025</t>
  </si>
  <si>
    <t>Moreira de Souza, Jano/0000-0001-5080-1955; Ribeiro de Mello, Carlos Eduardo/0000-0002-3632-4002; Vivacqua, Aiana/0000-0001-6830-5730</t>
  </si>
  <si>
    <t>CAPES; CNPq</t>
  </si>
  <si>
    <t>CAPES(Coordenacao de Aperfeicoamento de Pessoal de Nivel Superior (CAPES)); CNPq(Conselho Nacional de Desenvolvimento Cientifico e Tecnologico (CNPQ))</t>
  </si>
  <si>
    <t>This research was partially supported by CAPES and CNPq grants.</t>
  </si>
  <si>
    <t>978-1-4244-0962-4</t>
  </si>
  <si>
    <t>INT C COMP SUPP COOP</t>
  </si>
  <si>
    <t>BGT34</t>
  </si>
  <si>
    <t>WOS:000250405600102</t>
  </si>
  <si>
    <t>Sultana, M; Paul, PP; Gavrilova, ML</t>
  </si>
  <si>
    <t>Sultana, Madeena; Paul, Padma Polash; Gavrilova, Marina L.</t>
  </si>
  <si>
    <t>Social Behavioral Information Fusion in Multimodal Biometrics</t>
  </si>
  <si>
    <t>Multimodal biometric; score fusion; social behavioral biometric (SBB); social context; user profiling</t>
  </si>
  <si>
    <t>FACE-RECOGNITION; DECISION FUSION; NEURAL SYSTEMS; IDENTIFICATION; ROBUST; EAR</t>
  </si>
  <si>
    <t>The goal of a biometric recognition system is to make a human-like decisions on individual's identity by recognizing their physiological and/or behavioral traits. Nevertheless, the decision-making process by either a human or a biometric recognition system can be highly complicated due to low quality of data or an uncertain environment. Human brain has an advantage over computer system due to its ability to perform a massive parallel processing of auxiliary information, such as visual cues, cognitive and social interactions, contextual, and spatio-temporal data. Similarly to a human brain, social behavioral cues can aid the reliable decision-making of an automated biometric system. In this paper, a novel person recognition approach is presented, that relies on the knowledge of individuals' social behavior to enhance the performance of a traditional biometric system. The social behavioral information of individuals' has been mined from an online social network and fused with traditional face and ear biometrics. Experimental results on individual's and semi-real databases demonstrate significant performance gain in the proposed method over traditional biometric system.</t>
  </si>
  <si>
    <t>[Sultana, Madeena; Gavrilova, Marina L.] Univ Calgary, Dept Comp Sci, Calgary, AB T2N 1N, Canada; [Paul, Padma Polash] Univ Oxford, OxCNL, Oxford 0X1 3PA, England</t>
  </si>
  <si>
    <t>University of Calgary; University of Oxford</t>
  </si>
  <si>
    <t>Sultana, M (corresponding author), Univ Calgary, Dept Comp Sci, Calgary, AB T2N 1N, Canada.</t>
  </si>
  <si>
    <t>msdeena@ucalgary.ca; padmapolash@gmail.com; mgavrilo@ucalgary.ca</t>
  </si>
  <si>
    <t>NSERC DISCOVERY Program [RT731064]; URGC; NSERC ENGAGE; NSERC Vanier CGS; Alberta Ingenuity</t>
  </si>
  <si>
    <t>NSERC DISCOVERY Program(Natural Sciences and Engineering Research Council of Canada (NSERC)); URGC; NSERC ENGAGE(Natural Sciences and Engineering Research Council of Canada (NSERC)); NSERC Vanier CGS(Natural Sciences and Engineering Research Council of Canada (NSERC)); Alberta Ingenuity</t>
  </si>
  <si>
    <t>This work was supported in part by the NSERC DISCOVERY Program under Grant RT731064, in part by URGC, in part by the NSERC ENGAGE, in part by the NSERC Vanier CGS, and in part by the Alberta Ingenuity.</t>
  </si>
  <si>
    <t>10.1109/TSMC.2017.2690321</t>
  </si>
  <si>
    <t>HA9JJ</t>
  </si>
  <si>
    <t>WOS:000450617000014</t>
  </si>
  <si>
    <t>Diep, NN; Tien, NV; Anh, NH; Phuong, TM</t>
  </si>
  <si>
    <t>Bao, VNQ; Quang, PM; Hoa, HV</t>
  </si>
  <si>
    <t>Nguyen Ngoc Diep; Nguyen Van Tien; Nguyen Hoang Anh; Tu Minh Phuong</t>
  </si>
  <si>
    <t>An Unsupervised Method for Web User Interest Analysis</t>
  </si>
  <si>
    <t>PROCEEDINGS OF 2019 6TH NATIONAL FOUNDATION FOR SCIENCE AND TECHNOLOGY DEVELOPMENT (NAFOSTED) CONFERENCE ON INFORMATION AND COMPUTER SCIENCE (NICS)</t>
  </si>
  <si>
    <t>6th National-Foundation-for Science-and-Technology-Development (NAFOSTED) Conference on Information and Computer Science (NICS)</t>
  </si>
  <si>
    <t>DEC 12-13, 2019</t>
  </si>
  <si>
    <t>Posts &amp; Telecommunicat Inst Technol Hanoi, Hanoi, VIETNAM</t>
  </si>
  <si>
    <t>Natl Fdn Sci &amp; Technol Dev,IEEE,IEEE Vietnam Sect,IEEE Commun Soc, Vietnam Chapter,Minist Informat &amp; Commun S R,Vintech City,VNPT Technol,VINA OFC,VKX Co Ltd,POSTEF</t>
  </si>
  <si>
    <t>Posts &amp; Telecommunicat Inst Technol Hanoi</t>
  </si>
  <si>
    <t>user interests analysis; hierarchical graph clustering; topic modeling; web log analysis</t>
  </si>
  <si>
    <t>In this paper, we propose an unsupervised method to determine dominating user interests from browsing behavior data. This method identifies group of users with similar interests by partitioning a similarity graph, in which nodes are users and edges represent the similarities in browsing behavior between the users. Two users are considered similar if they have viewed the same content. We consider and compare several types of similarity measures, which are calculated at different granularity levels of content: at web page level, page category level, and topic level as identified by topic modeling techniques. A hierarchical graph clustering algorithm is used to perform partitioning process to capture the natural hierarchy of user clusters and producing intuitive features for understanding the content linked to each cluster. For evaluation, we perform an experiment on a browsing behavior dataset from a university's Web portal. Our system can discover interesting information like web user interests, who is interested in which content.</t>
  </si>
  <si>
    <t>[Nguyen Ngoc Diep; Nguyen Van Tien; Nguyen Hoang Anh; Tu Minh Phuong] Posts &amp; Telecommun Inst Technol, Dept Comp Sci, Machine Learning &amp; Applicat Lab, Hanoi, Vietnam</t>
  </si>
  <si>
    <t>Diep, NN (corresponding author), Posts &amp; Telecommun Inst Technol, Dept Comp Sci, Machine Learning &amp; Applicat Lab, Hanoi, Vietnam.</t>
  </si>
  <si>
    <t>diepnguyenngoc@ptit.edu.vn; tiennv@ptit.edu.vn; anhnh@ptit.edu.vn; phuongtm@ptit.edu.vn</t>
  </si>
  <si>
    <t>Minh Phuong, Tu/Q-4204-2019; Nguyen, Tien/JXL-6717-2024</t>
  </si>
  <si>
    <t>Minh Phuong, Tu/0000-0001-6415-228X;</t>
  </si>
  <si>
    <t>Ministry of Science and Technology, Vietnam [KC.01.23/16-20]</t>
  </si>
  <si>
    <t>Ministry of Science and Technology, Vietnam</t>
  </si>
  <si>
    <t>This work has been funded by the Ministry of Science and Technology, Vietnam, grant number KC.01.23/16-20.</t>
  </si>
  <si>
    <t>978-1-7281-5163-2</t>
  </si>
  <si>
    <t>10.1109/nics48868.2019.9023842</t>
  </si>
  <si>
    <t>BP4XC</t>
  </si>
  <si>
    <t>WOS:000554858300006</t>
  </si>
  <si>
    <t>Krishnan, GS; Kamath, SS</t>
  </si>
  <si>
    <t>Krishnan, Gokul S.; Kamath, Sowmya S.</t>
  </si>
  <si>
    <t>DYNAMIC AND TEMPORAL USER PROFILING FOR PERSONALIZED RECOMMENDERS USING HETEROGENEOUS DATA SOURCES</t>
  </si>
  <si>
    <t>2017 8TH INTERNATIONAL CONFERENCE ON COMPUTING, COMMUNICATION AND NETWORKING TECHNOLOGIES (ICCCNT)</t>
  </si>
  <si>
    <t>International Conference on Computing Communication and Network Technologies</t>
  </si>
  <si>
    <t>8th International Conference on Computing, Communication and Networking Technologies (ICCCNT)</t>
  </si>
  <si>
    <t>JUL 03-05, 2017</t>
  </si>
  <si>
    <t>Delhi, INDIA</t>
  </si>
  <si>
    <t>IEEE,IEEE SSCS,Indian Inst Technol Delhi,Bannari Amman Inst Technol,Kongu Engn Coll</t>
  </si>
  <si>
    <t>Dynamic user profile; Temporal profiling; Personalization; Recommender Systems; Semantic Web</t>
  </si>
  <si>
    <t>SYSTEM</t>
  </si>
  <si>
    <t>In modern Web applications, the process of user-profiling provides a way to capture user-specific information, which then serves as a source for designing personalized user experiences. Currently, such information about a particular user is available from multiple online sources/services, like social media applications, professional/social networking sites, location based service providers or even from simple Web pages. The nature of this data being truly heterogeneous, high in volume and also highly dynamic over time, the problem of collecting these data artifacts from disparate sources, to enable complete user-profiling can be challenging. In this paper, we present an approach to dynamically build a structured user profile, that emphasizes the temporal nature to capture dynamic user behavior. The user profile is compiled from multiple, heterogeneous data sources which capture dynamic user actions over time, to capture changing preferences accurately. Natural language processing techniques, machine learning and concepts of the semantic Web were used for capturing relevant user data and implement the proposed 3D User Profile. Our technique also supports the representation of the generated user profiles as structured data so that other personalized recommendation systems and Semantic Web/Linked Open Data applications can consume them for providing intelligent, personalized services.</t>
  </si>
  <si>
    <t>[Krishnan, Gokul S.; Kamath, Sowmya S.] Natl Inst Technol Karnataka, Dept Informat Technol, Mangalore 575025, India</t>
  </si>
  <si>
    <t>Krishnan, GS (corresponding author), Natl Inst Technol Karnataka, Dept Informat Technol, Mangalore 575025, India.</t>
  </si>
  <si>
    <t>gsk.itl6f03@nitk.edu.in; sowmyakamath@nitk.edu.in</t>
  </si>
  <si>
    <t>S Krishnan, Gokul/V-9743-2019; /U-9379-2019</t>
  </si>
  <si>
    <t>S Krishnan, Gokul/0000-0002-1344-4722;</t>
  </si>
  <si>
    <t>2162-7665</t>
  </si>
  <si>
    <t>978-1-5090-3038-5</t>
  </si>
  <si>
    <t>INT CONF COMPUT</t>
  </si>
  <si>
    <t>Computer Science, Hardware &amp; Architecture; Telecommunications</t>
  </si>
  <si>
    <t>BJ5JW</t>
  </si>
  <si>
    <t>WOS:000425956500065</t>
  </si>
  <si>
    <t>Shao, ZY; Yin, Y; Lyu, HG; Sun, S; Soares, CG</t>
  </si>
  <si>
    <t>Santos, TA; Soares, CG</t>
  </si>
  <si>
    <t>Shao, Z. Y.; Yin, Y.; Lyu, H. G.; Sun, S.; Guedes Soares, C.</t>
  </si>
  <si>
    <t>Assessing deep learning methods for sea-surface multi object tracking from visible light video</t>
  </si>
  <si>
    <t>ADVANCES IN MARITIME TECHNOLOGY AND ENGINEERING, MARTECH 2024, VOL 1</t>
  </si>
  <si>
    <t>2024 International Conference on Maritime Technology and Engineering-MARTECH</t>
  </si>
  <si>
    <t>MAY 14-16, 2024</t>
  </si>
  <si>
    <t>Lisbon, PORTUGAL</t>
  </si>
  <si>
    <t>This study assesses the effectiveness of several deep learning approaches for multi-object tracking on the sea surface, employing visible light videos captured by electro-optical sensors on unmanned surface vehicles. Utilizing the Jary Maritime Tracking Dataset, six leading deep learning methods including SORT, Deep-SORT, DeepMOT, UAVMOT, ByteTrack and BoT-SORT are quantitatively compared. Focusing on seven types of common of sea-surface objects as main interest categories for navigation, performance is quantified by calculating the cardinality of true and false positives and negatives as well as ID Switches (IDs) in the test set. Employing Multiple Object Tracking Accuracy (MOTA), Identity F1 (IDF1) score, IDs and Frames Per Second (FPS) as performance metrics, noticeable differences are found that substantial variations in the efficacy of diverse multi-object tracking methods. The results identify BoT-SORT as the most effective method regarding accuracy and stability for sea-surface object tracking, highlighting the need for refined association strategies in visual tracking to enhance maritime navigation.</t>
  </si>
  <si>
    <t>[Shao, Z. Y.; Yin, Y.; Lyu, H. G.; Sun, S.] Dalian Maritime Univ, Nav Coll, Dalian, Peoples R China; [Shao, Z. Y.; Guedes Soares, C.] Univ Lisbon, Inst Super Tecn, Ctr Marine Technol &amp; Ocean Engn CENTEC, Lisbon, Portugal</t>
  </si>
  <si>
    <t>Dalian Maritime University; Universidade de Lisboa</t>
  </si>
  <si>
    <t>Shao, ZY (corresponding author), Dalian Maritime Univ, Nav Coll, Dalian, Peoples R China.;Shao, ZY (corresponding author), Univ Lisbon, Inst Super Tecn, Ctr Marine Technol &amp; Ocean Engn CENTEC, Lisbon, Portugal.</t>
  </si>
  <si>
    <t>Shao, Zeyuan/GPK-0130-2022; Lyu, Hongguang/T-2555-2019; Soares, Carlos/AAW-7684-2020</t>
  </si>
  <si>
    <t>Shao, Zeyuan/0000-0003-2637-8004;</t>
  </si>
  <si>
    <t>National Key R&amp;D Program of China [2022YFB4300803, 2022YFB4301402]; National Natural Science Foundation of China [52071049]; Liaoning Provincial Science and Technology Plan (Key) project [2022JH1/10800096]; international cooperation training program for innovative talents of Chinese Scholarships Council [CSC [2022] 2260]; Portuguese Foundation for Science and Technology (Fundacao para a Ciencia e Tecnologia -FCT) [UIDB/UIDP/00134/2020]</t>
  </si>
  <si>
    <t>National Key R&amp;D Program of China(National Key Research &amp; Development Program of China); National Natural Science Foundation of China(National Natural Science Foundation of China (NSFC)); Liaoning Provincial Science and Technology Plan (Key) project; international cooperation training program for innovative talents of Chinese Scholarships Council; Portuguese Foundation for Science and Technology (Fundacao para a Ciencia e Tecnologia -FCT)(Fundacao para a Ciencia e a Tecnologia (FCT))</t>
  </si>
  <si>
    <t>This work was supported by the National Key R&amp;D Program of China (2022YFB4300803, 2022YFB4301402); in part by the National Natural Science Foundation of China (No. 52071049); in part by the Liaoning Provincial Science and Technology Plan (Key) project (No. 2022JH1/10800096); in part by the international cooperation training program for innovative talents of Chinese Scholarships Council (Grant No. CSC [2022] 2260). The authors acknowledge Jiangsu Automation Research Institute for the dataset. This work contributes to the Strategic Research Plan of the Centre for Marine Technology and Ocean Engineering (CENTEC), which is financed by the Portuguese Foundation for Science and Technology (Fundacao para a Ciencia e Tecnologia -FCT) under contract UIDB/UIDP/00134/2020.</t>
  </si>
  <si>
    <t>CRC PRESS-BALKEMA</t>
  </si>
  <si>
    <t>LEIDEN</t>
  </si>
  <si>
    <t>PO BOX 11320, LEIDEN, South Holland, NETHERLANDS</t>
  </si>
  <si>
    <t>978-1-032-83310-1; 978-1-003-50876-2; 978-1-032-83099-5</t>
  </si>
  <si>
    <t>10.1201/9781003508762-19</t>
  </si>
  <si>
    <t>Engineering, Marine; Engineering, Civil; Engineering, Ocean</t>
  </si>
  <si>
    <t>BZ0DV</t>
  </si>
  <si>
    <t>WOS:001524169800019</t>
  </si>
  <si>
    <t>Orlandi, F; Kapanipathi, P; Sheth, A; Passant, A</t>
  </si>
  <si>
    <t>Orlandi, Fabrizio; Kapanipathi, Pavan; Sheth, Amit; Passant, Alexandre</t>
  </si>
  <si>
    <t>Characterising concepts of interest leveraging Linked Data and the Social Web</t>
  </si>
  <si>
    <t>Extracting and representing user interests on the Social Web is becoming an essential part of the Web for personalisation and recommendations. Such personalisation is required in order to provide an adaptive Web to users, where content fits their preferences, background and current interests, making the Web more social and relevant. Current techniques analyse user activities on social media systems and collect structured or unstructured sets of entities representing users' interests. These sets of entities, or user profiles of interest, are often missing the semantics of the entities in terms of: (i) popularity and temporal dynamics of the interests on the Social Web and (ii) abstractness of the entities in the real world. State of the art techniques to compute these values are using specific knowledge bases or taxonomies and need to analyse the dynamics of the entities over a period of time. Hence, we propose a real-time, computationally inexpensive, domain independent model for concepts of interest composed of: popularity, temporal dynamics and specificity. We describe and evaluate a novel algorithm for computing specificity leveraging the semantics of Linked Data and evaluate the impact of our model on user profiles of interests.</t>
  </si>
  <si>
    <t>[Orlandi, Fabrizio] NUI Galway, DERI, Galway, Ireland; [Kapanipathi, Pavan; Sheth, Amit] Wright State Univ, Knoesis Ctr, Dayton, OH 4543 USA; [Passant, Alexandre] MDG Web Itd, Seevl Net, Dublin, Ireland</t>
  </si>
  <si>
    <t>Ollscoil na Gaillimhe-University of Galway; University System of Ohio; Wright State University Dayton</t>
  </si>
  <si>
    <t>Orlandi, F (corresponding author), NUI Galway, DERI, Galway, Ireland.</t>
  </si>
  <si>
    <t>fabrizio.orlandi@deri.org; pavan@knoesis.org; amit@knoesis.org; alex@seevl.net</t>
  </si>
  <si>
    <t>; Sheth, Amit/ABC-4600-2020</t>
  </si>
  <si>
    <t>Orlandi, Fabrizio/0000-0001-9561-4635;</t>
  </si>
  <si>
    <t>Science Foundation Ireland [SFI/08/CE/I1380]; IRCSET scholarship</t>
  </si>
  <si>
    <t>Science Foundation Ireland(Science Foundation Ireland (SFI)); IRCSET scholarship</t>
  </si>
  <si>
    <t>The work presented in this paper is funded by Science Foundation Ireland under grant number SFI/08/CE/I1380 (Lion 2), and by an IRCSET scholarship.</t>
  </si>
  <si>
    <t>10.1109/WI-IAT.2013.73</t>
  </si>
  <si>
    <t>WOS:000331265000075</t>
  </si>
  <si>
    <t>Xu, B; Tadesse, MM; Fei, P; Lin, HF</t>
  </si>
  <si>
    <t>Zhang, Q; Liao, X; Ren, Z</t>
  </si>
  <si>
    <t>Xu, Bo; Tadesse, Michael M.; Fei, Peng; Lin, Hongfei</t>
  </si>
  <si>
    <t>Multi-granularity Convolutional Neural Network with Feature Fusion and Refinement for User Profiling</t>
  </si>
  <si>
    <t>INFORMATION RETRIEVAL (CCIR 2019)</t>
  </si>
  <si>
    <t>25th China Conference on Information Retrieval (CCIR)</t>
  </si>
  <si>
    <t>SEP 20-22, 2019</t>
  </si>
  <si>
    <t>Chinese Informat Proc Soc China,Chinese Comp Federat</t>
  </si>
  <si>
    <t>User profiling; Feature fusion; Multi-granularity convolutional neural network; Feature refinement</t>
  </si>
  <si>
    <t>User profiling is an important research topic in social media analysis, which has great value in research and industries. Existing research on user profiling has mostly focused on manually handcrafted features for user attribute prediction. However, the research has partly overlooked the social relation of users. To address the problem, we propose a multi-granularity convolutional neural network model with feature fusion and refinement. Our model leverages the convolution mechanism to automatically extract user latent semantic features with respect to their attributes from social texts. We also combine different machine learning methods using the stacking mechanism for feature refinement. The proposed model can capture the social relation of users by combining semantic context and social network information, and improve the performance of attribute classification. We evaluate our model based on the dataset from SMP CUP 2016 competition. The experimental results demonstrate that the proposed model is effective in automatic user attribute classification with a particular focus on fine-grained user information.</t>
  </si>
  <si>
    <t>[Xu, Bo; Tadesse, Michael M.; Fei, Peng; Lin, Hongfei] Dalian Univ Technol, Dalian, Peoples R China; [Xu, Bo] iFLYTEK, State Key Lab Cognit Intelligence, Hefei, Peoples R China</t>
  </si>
  <si>
    <t>hflin@dlut.edu.cn</t>
  </si>
  <si>
    <t>Xu, Bo/N-2077-2019</t>
  </si>
  <si>
    <t>Foundation of State Key Laboratory of Cognitive Intelligence, iFLYTEK, P.R. China [COGOS-20190001]; Natural Science Foundation of China [61632011, 61572102, 61702080]; Fundamental Research Funds for the Central Universities [DUT18ZD102]; Postdoctoral Science Foundation of China [2018M641691]; Ministry of Education Humanities and Social Science Project [19YJCZH199]</t>
  </si>
  <si>
    <t>Foundation of State Key Laboratory of Cognitive Intelligence, iFLYTEK, P.R. China; Natural Science Foundation of China(National Natural Science Foundation of China (NSFC)); Fundamental Research Funds for the Central Universities(Fundamental Research Funds for the Central Universities); Postdoctoral Science Foundation of China(China Postdoctoral Science Foundation); Ministry of Education Humanities and Social Science Project</t>
  </si>
  <si>
    <t>This work is partially supported by a grant from the Foundation of State Key Laboratory of Cognitive Intelligence, iFLYTEK, P.R. China (COGOS-20190001, Intelligent Medical Question Answering based on User Profiling and Knowledge Graph), the Natural Science Foundation of China (No. 61632011, 61572102,61702080) and the Fundamental Research Funds for the Central Universities (No. DUT18ZD102), Postdoctoral Science Foundation of China (2018M641691), the Ministry of Education Humanities and Social Science Project (No. 19YJCZH199).</t>
  </si>
  <si>
    <t>978-3-030-31624-2; 978-3-030-31623-5</t>
  </si>
  <si>
    <t>10.1007/978-3-030-31624-2_13</t>
  </si>
  <si>
    <t>BQ6OH</t>
  </si>
  <si>
    <t>WOS:000612910100013</t>
  </si>
  <si>
    <t>Zhou, T; Lim, EP; Lee, RKW; Zhu, FD; Cao, JX</t>
  </si>
  <si>
    <t>Lauw, HW; Wong, RCW; Ntoulas, A; Lim, EP; Ng, SK; Pan, SJ</t>
  </si>
  <si>
    <t>Zhou, Tao; Lim, Ee-Peng; Lee, Roy Ka-Wei; Zhu, Feida; Cao, Jiuxin</t>
  </si>
  <si>
    <t>Retrofitting Embeddings for Unsupervised User Identity Linkage</t>
  </si>
  <si>
    <t>ADVANCES IN KNOWLEDGE DISCOVERY AND DATA MINING, PAKDD 2020, PT I</t>
  </si>
  <si>
    <t>24th Pacific-Asia Conference on Knowledge Discovery and Data Mining (PAKDD)</t>
  </si>
  <si>
    <t>MAY 11-14, 2020</t>
  </si>
  <si>
    <t>Singapore Tourism Board</t>
  </si>
  <si>
    <t>User identity linkage; Retrofitting embedding; Discriminative features</t>
  </si>
  <si>
    <t>User Identity Linkage (UIL) is the problem of matching user identities across multiple online social networks (OSNs) which belong to the same person. The solutions to UIL problem facilitate cross-platform research on OSN users and enable many useful applications such as user profiling and recommendation. As the UIL labeled data are often lacking and costly to obtain, learning user embeddings for matching user identities using an unsupervised approach is therefore highly desired. In this paper, we propose a novel unsupervised UIL framework for enhancing existing user embedding-based UIL methods. Our proposed framework incorporates two key ideas, user-discriminative features and retrofitting embedding. The user-discriminative features enable us to differentiate a specific user identity from other users in its OSN. From the user-discriminative features, we derive pairs of similar user identities across OSNs for retrofitting the base user embeddings of existing UIL methods. Through extensive experiments on three real-world OSN datasets, we show that our framework can leverage user-discriminative features to improve the accuracy of different user embedding-based UIL methods significantly. The quantum of improvement can also be surprisingly good even for existing UIL methods with very poor matching accuracy.</t>
  </si>
  <si>
    <t>[Zhou, Tao] Southeast Univ, Sch Comp Sci &amp; Engn, Nanjing, Peoples R China; [Lim, Ee-Peng; Zhu, Feida] Singapore Management Univ, Sch Informat Syst, Singapore, Singapore; [Lee, Roy Ka-Wei] Univ Saskatchewan, Dept Comp Sci, Saskatoon, SK, Canada; [Cao, Jiuxin] Southeast Univ, Sch Cyber Sci &amp; Engn, Jiangsu Prov Key Lab Comp Networking Technol, Nanjing, Peoples R China</t>
  </si>
  <si>
    <t>Southeast University - China; Singapore Management University; University of Saskatchewan; Southeast University - China</t>
  </si>
  <si>
    <t>Zhou, T (corresponding author), Southeast Univ, Sch Comp Sci &amp; Engn, Nanjing, Peoples R China.</t>
  </si>
  <si>
    <t>zhoutao@seu.edu.cn; eplim@smu.edu.sg; roylee@cs.usask.ca; fdzhu@smu.edu.sg; jx.cao@seu.edu.cn</t>
  </si>
  <si>
    <t>Lee, Roy Ka-Wei/LFG-0170-2024; Zhu, Feida/E-8579-2012; Lim, Ee-Peng/E-8562-2012; zhou, tao/AAH-9986-2020</t>
  </si>
  <si>
    <t>Lee, Roy Ka-Wei/0000-0002-1986-7750; Zhu, Feida/0000-0001-6077-4356; Lim, Ee-Peng/0000-0003-0065-8665;</t>
  </si>
  <si>
    <t>National Research Foundation, Prime Minister's Office, Singapore under its International Research Centres in Singapore Funding Initiative; National Natural Science Foundation of China [61772133, 61972087]; National Social Science Foundation of China [19@ZH014]; Jiangsu Provincial Key Project [BE2018706]; Natural Science Foundation of Jiangsu province [SBK2019022870]; Jiangsu Provincial Key Laboratory of Computer Networking Technology; Jiangsu Provincial Key Laboratory of Network and Information Security [BM2003201]; Key Laboratory of Computer Network and Information Integration of Ministry of Education of China [93K-9]; China Scholarship Council</t>
  </si>
  <si>
    <t>National Research Foundation, Prime Minister's Office, Singapore under its International Research Centres in Singapore Funding Initiative(National Research Foundation, Singapore); National Natural Science Foundation of China(National Natural Science Foundation of China (NSFC)); National Social Science Foundation of China(National Office of Philosophy and Social Sciences); Jiangsu Provincial Key Project; Natural Science Foundation of Jiangsu province(Natural Science Foundation of Jiangsu Province); Jiangsu Provincial Key Laboratory of Computer Networking Technology; Jiangsu Provincial Key Laboratory of Network and Information Security; Key Laboratory of Computer Network and Information Integration of Ministry of Education of China; China Scholarship Council(China Scholarship Council)</t>
  </si>
  <si>
    <t>This research was supported by the National Research Foundation, Prime Minister's Office, Singapore under its International Research Centres in Singapore Funding Initiative. This work is also supported by National Natural Science Foundation of China under Grants No.61772133, No.61972087, National Social Science Foundation of China under Grants No. 19@ZH014, Jiangsu Provincial Key Project under Grants No.BE2018706, Natural Science Foundation of Jiangsu province under Grants No.SBK2019022870, Jiangsu Provincial Key Laboratory of Computer Networking Technology, Jiangsu Provincial Key Laboratory of Network and Information Security under Grants No. BM2003201, Key Laboratory of Computer Network and Information Integration of Ministry of Education of China under Grants No. 93K-9, and China Scholarship Council.</t>
  </si>
  <si>
    <t>978-3-030-47426-3; 978-3-030-47425-6</t>
  </si>
  <si>
    <t>10.1007/978-3-030-47426-3_30</t>
  </si>
  <si>
    <t>BS3YZ</t>
  </si>
  <si>
    <t>WOS:000716986400030</t>
  </si>
  <si>
    <t>Bae, J; Lee, K</t>
  </si>
  <si>
    <t>Banissi, E; Sarfraz, M; Zhang, JW; Ursyn, A; Jeng, WC; Bannatyne, MWM; Zhang, JJ; San, LH; Huang, ML</t>
  </si>
  <si>
    <t>Bae, Joohee; Lee, Kyungwon</t>
  </si>
  <si>
    <t>TagReel: A Visualization of Tag Relations among User Interests in the Social Tagging System</t>
  </si>
  <si>
    <t>PROCEEDINGS OF THE 2009 SIXTH INTERNATIONAL CONFERENCE ON COMPUTER GRAPHICS, IMAGING AND VISUALIZATION</t>
  </si>
  <si>
    <t>International Conference on Computer Graphics Imaging and Visualization</t>
  </si>
  <si>
    <t>6th International Conference on Computer Graphics, Imaging and Visualization (CGIV 2009)</t>
  </si>
  <si>
    <t>AUG 11-14, 2009</t>
  </si>
  <si>
    <t>visualization; social tagging; tag; resource; user; social bookmarking</t>
  </si>
  <si>
    <t>Social tagging systems provide users with the ability to share information and extend their field of knowledge. The purpose of this paper is to explore the tag relations of user interest in these systems and examine the semantic relations of tag usage in terms of user interests. To do this, a classifying method was used to characterize words into seven classes. Experiments were limited to the five areas of interests: music, photography, games, books and videos. Samples were taken from 50 Engtish-language web pages in the social bookmarking service Delicious. The top 7 tags were extracted from each web page that was tagged as music, photography, games, books and videos. Via the results of the tag analysis of this study, relationship between tags and user interests were demonstrated. TagReel employed a radial visualization method, which has the advantage of giving an overview of the whole cluster of connection among tags. TagReel can represent the semantic concept of connection between tags and between interests. It can contribute to raising the cognitive power and awareness of tag usage in various categories and show the relative weight of tags.</t>
  </si>
  <si>
    <t>[Bae, Joohee] Ajou Univ, Grad Sch, Dept Media, Integrated Design Lab, Suwon 441749, South Korea; [Lee, Kyungwon] Ajou Univ, Div Digital Media, Suwon 441749, South Korea</t>
  </si>
  <si>
    <t>Ajou University; Ajou University</t>
  </si>
  <si>
    <t>Bae, J (corresponding author), Ajou Univ, Grad Sch, Dept Media, Integrated Design Lab, Suwon 441749, South Korea.</t>
  </si>
  <si>
    <t>jooaya0211@ajou.ac.kr; kwlee@ajou.ac.kr</t>
  </si>
  <si>
    <t>Lee, Kyungwon/0000-0003-3756-3985</t>
  </si>
  <si>
    <t>978-0-7695-3789-4</t>
  </si>
  <si>
    <t>I C COMP GRAPH IM VI</t>
  </si>
  <si>
    <t>10.1109/CGIV.2009.69</t>
  </si>
  <si>
    <t>Computer Science, Artificial Intelligence; Computer Science, Software Engineering; Imaging Science &amp; Photographic Technology</t>
  </si>
  <si>
    <t>BNO36</t>
  </si>
  <si>
    <t>WOS:000275127400073</t>
  </si>
  <si>
    <t>Madaan, N; Ahad, MA; Sastry, SM</t>
  </si>
  <si>
    <t>Madaan, Nishtha; Ahad, Mohd Abdul; Sastry, Sunil M.</t>
  </si>
  <si>
    <t>Data integration in IoT ecosystem: Information linkage as a privacy threat</t>
  </si>
  <si>
    <t>COMPUTER LAW &amp; SECURITY REVIEW</t>
  </si>
  <si>
    <t>Internet of things; Data integration; Information linkage; Privacy; Heterogeneous IoT ecosystem</t>
  </si>
  <si>
    <t>BIG DATA PRIVACY; LEGAL-ASPECTS; INTERNET; ANALYTICS</t>
  </si>
  <si>
    <t>Internet of things (IoT) is changing the way data is collected and processed. The scale and variety of devices, communication networks, and protocols involved in data collection present critical challenges for data processing and analyses. Newer and more sophisticated methods for data integration and aggregation are required to enhance the value of real-time and historical IoT data. Moreover, the pervasive nature of IoT data presents a number of privacy threats because of intermediate data processing steps, including data acquisition, data aggregation, fusion and integration. User profiling and record linkage are well studied topics in online social networks (OSNs); however, these have become more critical in IoT applications where different systems share and integrate data and information. The proposed study aims to discuss the privacy threat of information linkage, technical and legal approaches to address it in a heterogeneous IoT ecosystem. The paper illustrates and explains information linkage during the process of data integration in a smart neighbourhood scenario. Through this work, the authors aim to enable a technical and legal framework to ensure stakeholders awareness and protection of subjects about privacy breaches due to information linkage. (C) 2017 Nishtha Madaan, Mohd Abdul Ahad, Sunil M. Sastry. Published by Elsevier Ltd. All rights reserved.</t>
  </si>
  <si>
    <t>[Madaan, Nishtha; Ahad, Mohd Abdul] Jamia Hamdard, Fac Engn &amp; Technol, New Delhi 110062, India; [Sastry, Sunil M.] Sastry &amp; Co, Bangalore, Karnataka, India</t>
  </si>
  <si>
    <t>Jamia Hamdard University</t>
  </si>
  <si>
    <t>Madaan, N (corresponding author), Jamia Hamdard, Fac Engn &amp; Technol, New Delhi 110062, India.</t>
  </si>
  <si>
    <t>madaan.nishtha@gmail.com</t>
  </si>
  <si>
    <t>2212-473X</t>
  </si>
  <si>
    <t>2212-4748</t>
  </si>
  <si>
    <t>COMPUT LAW SECUR REV</t>
  </si>
  <si>
    <t>Comput. Law Secur. Rev.</t>
  </si>
  <si>
    <t>10.1016/j.clsr.2017.06.007</t>
  </si>
  <si>
    <t>Law</t>
  </si>
  <si>
    <t>Government &amp; Law</t>
  </si>
  <si>
    <t>FW8JJ</t>
  </si>
  <si>
    <t>WOS:000425577700009</t>
  </si>
  <si>
    <t>Yang, DQ; Xiao, YH; Tong, HH; Zhang, JJ; Wang, AW</t>
  </si>
  <si>
    <t>Renz, M; Shahabi, C; Zhou, X; Cheema, MA</t>
  </si>
  <si>
    <t>Yang, Deqing; Xiao, Yanghua; Tong, Hanghang; Zhang, Junjun; Wang, Andwei</t>
  </si>
  <si>
    <t>An Integrated Tag Recommendation Algorithm Towards Weibo User Profiling</t>
  </si>
  <si>
    <t>DATABASE SYSTEMS FOR ADVANCED APPLICATIONS, PT1</t>
  </si>
  <si>
    <t>Tag recommendation; User profiling; Tag propagation; Chinese knowledge graph</t>
  </si>
  <si>
    <t>In this paper, we propose a tag recommendation algorithm for profiling the users in Sina Weibo. Sina Weibo has become the largest and most popular Chinese microblogging system upon which many real applications are deployed such as personalized recommendation, precise marketing, customer relationship management and etc. Although closely related, tagging users bears subtle difference from traditional tagging Web objects due to the complexity and diversity of human characteristics. To this end, we design an integrated recommendation algorithm whose unique feature lies in its comprehensiveness by collectively exploring the social relationships among users, the co-occurrence relationships and semantic relationships between tags. Thanks to deep comprehensiveness, our algorithm works particularly well against the two challenging problems of traditional recommender systems, i.e., data sparsity and semantic redundancy. The extensive evaluation experiments validate our algorithm's superiority over the state-of-the-art methods in terms of matching performance of the recommended tags. Moreover, our algorithm brings a broader perspective for accurately inferring missing characteristics of user profiles in social networks.</t>
  </si>
  <si>
    <t>[Yang, Deqing; Xiao, Yanghua; Zhang, Junjun; Wang, Andwei] Fudan Univ, Sch Comp Sci, Shanghai Key Lab Data Sci, Shanghai 200433, Peoples R China; [Tong, Hanghang] Arizona State Univ, Tempe, AZ USA</t>
  </si>
  <si>
    <t>Fudan University; Arizona State University; Arizona State University-Tempe</t>
  </si>
  <si>
    <t>Xiao, YH (corresponding author), Fudan Univ, Sch Comp Sci, Shanghai Key Lab Data Sci, Shanghai 200433, Peoples R China.</t>
  </si>
  <si>
    <t>yangdeqing@fudan.edu.cn; shawyh@fudan.edu.cn; hanghang.tong@gmail.com; zhangjunjun@fudan.edu.cn; weiwang1@fudan.edu.cn</t>
  </si>
  <si>
    <t>Tong, Hanghang/0000-0003-4405-3887</t>
  </si>
  <si>
    <t>978-3-319-18120-2; 978-3-319-18119-6</t>
  </si>
  <si>
    <t>10.1007/978-3-319-18120-2_21</t>
  </si>
  <si>
    <t>BD5PI</t>
  </si>
  <si>
    <t>WOS:000361697600021</t>
  </si>
  <si>
    <t>Gong, ZP; Yang, YH; Wang, S; Wu, HB</t>
  </si>
  <si>
    <t>Atlantis Press</t>
  </si>
  <si>
    <t>Gong Zhiping; Yang Yanhong; Wang Shuo; Wu Huibo</t>
  </si>
  <si>
    <t>Researches on Creation and Application of User Interest Model on Basis of Needs for Personalized Knowledge Service</t>
  </si>
  <si>
    <t>2012 INTERNATIONAL CONFERENCE ON INTELLIGENCE SCIENCE AND INFORMATION ENGINEERING</t>
  </si>
  <si>
    <t>International Conference on Intelligence Science and Information Engineering (ISIE 2012)</t>
  </si>
  <si>
    <t>AUG 25-26, 2012</t>
  </si>
  <si>
    <t>Lushan, PEOPLES R CHINA</t>
  </si>
  <si>
    <t>Wuhan Univ,Wuhan Polytechn Univ</t>
  </si>
  <si>
    <t>personalized knowledge service; user interest model; creation and application; research</t>
  </si>
  <si>
    <t>Personalized Knowledge Service attaches great importance to the pertinence, proactivity and interactivity focuses on analysis and studies on information, in order to produce knowledge products needed by users to help them in making decisions and solving problems. Acquisition and presentation of users' interest are the keys to current personalized knowledge service system, and whether or not the user interest model created can precisely reflect the needs of users will have direct influence on the effect of personalized knowledge service system. This paper introduces the concept of domain ontology into personalized knowledge service system and come up with a method of Interest Concept Tree, which is used to describe the user interest model and store user interest in the database. The key in the researches covered by this paper lies in the creation of user interest model on basis of established domain ontology.</t>
  </si>
  <si>
    <t>978-90-78677-53-6</t>
  </si>
  <si>
    <t>BCK72</t>
  </si>
  <si>
    <t>WOS:000310490100025</t>
  </si>
  <si>
    <t>Liang, HZ</t>
  </si>
  <si>
    <t>Liang, Huizhi</t>
  </si>
  <si>
    <t>DRprofiling: Deep Reinforcement User Profiling for Recommendations in Heterogenous Information Networks</t>
  </si>
  <si>
    <t>Recommender systems; Reinforcement learning; Decision making; Social networking (online); Task analysis; Training; Complexity theory; Reinforcement learning; recommender systems; user profiling</t>
  </si>
  <si>
    <t>Recommender systems are popular for personalization in online communities. Users, items, and other affiliated information such as tags, item genres, and user friends of an online community form a heterogenous information network. User profiling is the foundation of personalized recommender systems. It provides the basis to discover knowledge about an individual user's interests to items. Typically, users are profiled with their direct explicit or implicit ratings, which ignored the inter-connections among users, items, and other entity nodes of the information network. This paper proposes a deep reinforcement user profiling approach for recommender systems. The user profiling process is framed as a sequential decision making problem which can be solved with a Reinforcement Learning (RL) agent. The RL agent interacts with the external heterogenous information network environment and learns a decision making policy network to decide whether there is an interest or preference path between a user and an unobserved item. To effectively train the RL agent, this paper proposes a multi-iteration training process to combine both expert and data-specific knowledge to profile users, generate meta-paths, and make recommendations. The effectiveness of the proposed approaches is demonstrated in experiments conducted on three datasets.</t>
  </si>
  <si>
    <t>[Liang, Huizhi] Univ Reading, Comp Sci, Reading RG6 6AH, Berks, England</t>
  </si>
  <si>
    <t>University of Reading</t>
  </si>
  <si>
    <t>Liang, HZ (corresponding author), Univ Reading, Comp Sci, Reading RG6 6AH, Berks, England.</t>
  </si>
  <si>
    <t>huizhi.liang@reading.ac.uk</t>
  </si>
  <si>
    <t>Liang, Huizhi/0000-0003-4408-4528</t>
  </si>
  <si>
    <t>10.1109/TKDE.2020.2998695</t>
  </si>
  <si>
    <t>ZP7TV</t>
  </si>
  <si>
    <t>WOS:000766623600016</t>
  </si>
  <si>
    <t>Symeonidis, I; Biczók, G; Shirazi, F; Pérez-Solà, C; Schroers, J; Preneel, B</t>
  </si>
  <si>
    <t>Symeonidis, Iraklis; Biczok, Gergely; Shirazi, Fatemeh; Perez-Sola, Cristina; Schroers, Jessica; Preneel, Bart</t>
  </si>
  <si>
    <t>Collateral damage of Facebook third-party applications: a comprehensive study</t>
  </si>
  <si>
    <t>Interdependent privacy; Facebook; Applications; Application providers; Transparency enhancing technologies (TETs)</t>
  </si>
  <si>
    <t>SOCIAL NETWORKS; ACCESS-CONTROL; PRIVACY; AWARENESS</t>
  </si>
  <si>
    <t>Third-party applications on Facebook can collect personal data of the users who install them, but also of their friends. This raises serious privacy issues as these friends are not notified by the applications nor by Facebook and they have not given consent. This paper presents a detailed multi-faceted study on the collateral information collection of the applications on Facebook. To investigate the views of the users, we designed a questionnaire and collected the responses of 114 participants. The results show that participants are concerned about the collateral information collection and in.particular about the lack of notification and of mechanisms to control the data collection. Based on real data, we compute the likelihood of collateral information collection affecting users: we show that the probability is significant and greater than 80% for popular applications such as TripAdvisor. We also demonstrate that a substantial amount of profile data can be collected by applications, which enables application providers to profile users. To investigate whether collateral information collection is an issue to users' privacy we analysed the legal framework in light of the General Data Protection Regulation. We provide a detailed analysis of the entities involved and investigate which entity is accountable for the collateral information collettion. To provide countermeasures, we propose a privacy dashboard extension that implements privacy scoring computations to enhance transparency toward collateral information collection. Furthermore, we discuss alternative solutions highlighting other countermeasures such as notification and access control mechanisms, cryptographic solutions and application auditing. To the best of our knowledge this is the first work that provides a detailed multi-faceted study of this problem and that analyses the threat of user profiling by application providers. (C) 2018 Elsevier Ltd. All rights reserved.</t>
  </si>
  <si>
    <t>[Symeonidis, Iraklis; Shirazi, Fatemeh; Preneel, Bart] Katholieke Univ Leuven, IMEC, COSIC, Leuven, Belgium; [Biczok, Gergely] Budapest Univ Technol &amp; Econ, Dept Networked Syst &amp; Serv, CrySyS Lab, Budapest, Hungary; [Perez-Sola, Cristina] Univ Autonoma Barcelona, DEIC, Barcelona, Spain; [Schroers, Jessica] Katholieke Univ Leuven, Ctr IT &amp; IP Law, Leuven, Belgium; [Schroers, Jessica] Katholieke Univ Leuven, IMEC, Leuven, Belgium</t>
  </si>
  <si>
    <t>Interuniversity Microelectronics Centre; KU Leuven; Budapest University of Technology &amp; Economics; Autonomous University of Barcelona; KU Leuven; KU Leuven; Interuniversity Microelectronics Centre</t>
  </si>
  <si>
    <t>Symeonidis, I (corresponding author), Katholieke Univ Leuven, IMEC, COSIC, Leuven, Belgium.</t>
  </si>
  <si>
    <t>iraklis.symeonidis@esat.kuleuven.be</t>
  </si>
  <si>
    <t>; Symeonidis, Iraklis/AAE-8315-2021; Pérez-Solà, Cristina/AAC-6445-2019; Preneel, Bart/O-3798-2016</t>
  </si>
  <si>
    <t>Biczók, Gergely/0000-0002-3891-3855; Symeonidis, Iraklis/0000-0003-4494-6685; Schroers, Jessica/0000-0002-3741-8123; Pérez-Solà, Cristina/0000-0001-7534-1326; Preneel, Bart/0000-0003-2005-9651</t>
  </si>
  <si>
    <t>Research Council KU Leuven [C16/15/058]; Spanish Government [TIN2014-55243-P, FPU-AP2010-0078]; Catalan Government [AGAUR 2014SGR-691]; Microsoft Research; Hungarian Academy of Sciences</t>
  </si>
  <si>
    <t>Research Council KU Leuven(KU Leuven); Spanish Government(Spanish Government); Catalan Government; Microsoft Research(Microsoft); Hungarian Academy of Sciences(Hungarian Academy of Sciences)</t>
  </si>
  <si>
    <t>We notably want to thank Markus Huber and SBA Research Center for providing us with the necessary material for our study. We also want to express our gratitude to Faruk Gologlu for providing us feedback for the mathematical model and Seda Gurses for giving us valuable input to our questionnaire study. Moreover, we would like to thank all the anonymous reviewers who helped for better shaping the idea and the quality of this text. This work was supported in part by the Research Council KU Leuven (C16/15/058), the Spanish Government (TIN2014-55243-P and FPU-AP2010-0078), the Catalan Government (AGAUR 2014SGR-691) and by Microsoft Research through its PhD Scholarship Programme. G. Biczok has been supported by the Janos Bolyai Research Scholarship of the Hungarian Academy of Sciences.</t>
  </si>
  <si>
    <t>10.1016/j.cose.2018.03.015</t>
  </si>
  <si>
    <t>GW9WT</t>
  </si>
  <si>
    <t>WOS:000447358600012</t>
  </si>
  <si>
    <t>Peng, LY; Chen, L; Wu, MH; Chen, GC</t>
  </si>
  <si>
    <t>Peng, Liangying; Chen, Ling; Wu, Menghan; Chen, Gencai</t>
  </si>
  <si>
    <t>Complex Activity Recognition Using Acceleration, Vital Sign, and Location Data</t>
  </si>
  <si>
    <t>Complex activity recognition; topic model; matrix factorization; location</t>
  </si>
  <si>
    <t>Complex activity recognition is a valuable issue in mobile and wearable computing. Since complex activities are strongly relevant to user's locations, location data can be used in complex activity recognition. Current activity recognition methods utilizing location data either do not make the most of location data or have a cold-start problem. In this paper, we propose CAROLINA (omplex activity recognition using acceleration, vital sign, and location data) to recognize complex activities from wearable sensors. CAROLINA divides a map into grid cells and builds a grid cell-activity matrix by integrating check-in and ATUS (American Time Use Survey) datasets. Since some grid cells do not have check-in records, there are some null entries in the matrix, and all the entries are reconstructed by matrix factorization. Meanwhile, a POI (point of interest) category dataset is exploited to build a grid cell-grid cell similarity matrix, which is used to reduce the loss of matrix factorization. The results of experiments show that CAROLINA can effectively utilize location data to improve complex activity recognition performance.</t>
  </si>
  <si>
    <t>[Peng, Liangying; Chen, Ling; Wu, Menghan; Chen, Gencai] Zhejiang Univ, Coll Comp Sci &amp; Technol, Hangzhou 310027, Zhejiang, Peoples R China; [Peng, Liangying; Chen, Ling; Wu, Menghan; Chen, Gencai] Alibaba Zhejiang Univ Joint Inst Frontier Technol, Hangzhou 310027, Zhejiang, Peoples R China</t>
  </si>
  <si>
    <t>Zhejiang University</t>
  </si>
  <si>
    <t>Chen, L (corresponding author), Zhejiang Univ, Coll Comp Sci &amp; Technol, Hangzhou 310027, Zhejiang, Peoples R China.;Chen, L (corresponding author), Alibaba Zhejiang Univ Joint Inst Frontier Technol, Hangzhou 310027, Zhejiang, Peoples R China.</t>
  </si>
  <si>
    <t>lyoare@zju.edu.cn; lingchen@zju.edu.cn; mfive@zju.edu.cn; chengc@zju.edu.cn</t>
  </si>
  <si>
    <t>Chen, Ling/AAY-3744-2020</t>
  </si>
  <si>
    <t>China Knowledge Centre for Engineering Sciences and Technology [CKCEST-2014-1-5]; National Natural Science Foundation of China [61332017]; Science and Technology Department of Zhejiang Province [2015C33002]; Chengwei Yao in the Experiment Center of the College of Computer Science and Technology, Zhejiang University</t>
  </si>
  <si>
    <t>China Knowledge Centre for Engineering Sciences and Technology; National Natural Science Foundation of China(National Natural Science Foundation of China (NSFC)); Science and Technology Department of Zhejiang Province; Chengwei Yao in the Experiment Center of the College of Computer Science and Technology, Zhejiang University</t>
  </si>
  <si>
    <t>This work was supported by the China Knowledge Centre for Engineering Sciences and Technology (No. CKCEST-2014-1-5), the National Natural Science Foundation of China (No. 61332017), and the Science and Technology Department of Zhejiang Province (No. 2015C33002). The experiment was supported by Chengwei Yao in the Experiment Center of the College of Computer Science and Technology, Zhejiang University.</t>
  </si>
  <si>
    <t>10.1109/TMC.2018.2863292</t>
  </si>
  <si>
    <t>IC5YB</t>
  </si>
  <si>
    <t>WOS:000471044300002</t>
  </si>
  <si>
    <t>Tiwari, S; Pangtey, MS; Kumar, S</t>
  </si>
  <si>
    <t>Gervasi, O; Murgante, B; Misra, S; Stankova, E; Torre, CM; Rocha, AMAC; Taniar, D; Apduhan, BO; Tarantino, E; Ryu, Y</t>
  </si>
  <si>
    <t>Tiwari, Sunita; Pangtey, Manjeet Singh; Kumar, Sushil</t>
  </si>
  <si>
    <t>Location Aware Personalized News Recommender System Based on Twitter Popularity</t>
  </si>
  <si>
    <t>COMPUTATIONAL SCIENCE AND ITS APPLICATIONS - ICCSA 2018, PT IV</t>
  </si>
  <si>
    <t>18th International Conference on Computational Science and Its Applications (ICCSA)</t>
  </si>
  <si>
    <t>JUL 02-05, 2018</t>
  </si>
  <si>
    <t>Monash Univ, Caulfield Campus, Melbourne, AUSTRALIA</t>
  </si>
  <si>
    <t>Univ Perugia,Kyushu Sangyo Univ,Univ Basilicata,Univ Minho,Springer Int Publishing AG</t>
  </si>
  <si>
    <t>Monash Univ, Caulfield Campus</t>
  </si>
  <si>
    <t>Fuzzy clustering; User profiling; Social network; Information filtering; Recommender systems</t>
  </si>
  <si>
    <t>The mobile and handheld devices have become an indispensable part of life in this era of technological advancement. Further, the ubiquity of location acquisition technologies like global positioning system (GPS) has opened the new avenues for location aware applications for mobile devices. Reading online news is becoming increasingly popular way to gather information from news sources around the globe. Users can search and read the news of their preference wherever they want. The news preferences of individuals are influenced by several factors including the geographical contexts and the recent trends on social media. In this work we propose an approach to recommend the personalized news to the users based on their individual preferences. The model for user preferences are learned implicitly for individual users. Also, the popularity of trending articles floating around the twitter are exploited to provide news interesting recommendations to the user. We believe that the interest of the user, popularity of article and other attributes of news are implicitly fuzzy in nature and therefore we propose to exploit this for generating the recommendation score for articles to be recommended. The prototype is developed for testing and evaluation of proposed approach and the results of the evaluation are motivating.</t>
  </si>
  <si>
    <t>[Tiwari, Sunita; Pangtey, Manjeet Singh; Kumar, Sushil] GB Pant Govt Engn Coll, Delhi, India</t>
  </si>
  <si>
    <t>Tiwari, Sunita/GXF-6638-2022; Kumar, Sushil/AAK-4325-2021</t>
  </si>
  <si>
    <t>Tiwari, Sunita/0000-0003-1875-7928; Kumar, Sushil/0000-0003-1819-3712</t>
  </si>
  <si>
    <t>978-3-319-95171-3; 978-3-319-95170-6</t>
  </si>
  <si>
    <t>IV</t>
  </si>
  <si>
    <t>10.1007/978-3-319-95171-3_51</t>
  </si>
  <si>
    <t>BM1UK</t>
  </si>
  <si>
    <t>WOS:000460578500051</t>
  </si>
  <si>
    <t>Darabi, M; Tabrizi, N</t>
  </si>
  <si>
    <t>Arabnia, HR; Deligiannidis, L; Yang, M</t>
  </si>
  <si>
    <t>Darabi, Majid; Tabrizi, Nasseh</t>
  </si>
  <si>
    <t>An Ontology-Based Framework to Model User Interests</t>
  </si>
  <si>
    <t>2016 INTERNATIONAL CONFERENCE ON COMPUTATIONAL SCIENCE &amp; COMPUTATIONAL INTELLIGENCE (CSCI)</t>
  </si>
  <si>
    <t>International Conference on Computational Science and Computational Intelligence (CSIC)</t>
  </si>
  <si>
    <t>DEC 15-17, 2016</t>
  </si>
  <si>
    <t>Las Vegas, NV</t>
  </si>
  <si>
    <t>Amer Council Sci &amp; Educ</t>
  </si>
  <si>
    <t>User interests; Ontology; Recommender</t>
  </si>
  <si>
    <t>With the proliferation of documents on the Internet, it has become increasingly difficult for users to search and retrieve the information they want: information that is relevant and interesting. To address this problem, researchers have adopted personalized services and filtering systems that rely on user preferences. In this paper, we present a novel method to model user interests automatically and generate a ranked list of preferences for each user in real time. Our experiment shows significant improvement over a state-of-the-art method.</t>
  </si>
  <si>
    <t>[Darabi, Majid; Tabrizi, Nasseh] East Carolina Univ, Dept Comp Sci, Greenville, NC 27858 USA</t>
  </si>
  <si>
    <t>East Carolina University; University of North Carolina; East Carolina University</t>
  </si>
  <si>
    <t>Darabi, M (corresponding author), East Carolina Univ, Dept Comp Sci, Greenville, NC 27858 USA.</t>
  </si>
  <si>
    <t>darabim@ecu.edu; tabrizim@ecu.edu</t>
  </si>
  <si>
    <t>978-1-5090-5510-4</t>
  </si>
  <si>
    <t>10.1109/CSCI.2016.81</t>
  </si>
  <si>
    <t>BI1DD</t>
  </si>
  <si>
    <t>WOS:000405582400074</t>
  </si>
  <si>
    <t>Ding, HL; Fu, ZW; Zhang, R; Huang, L; Luo, X; Gao, Q</t>
  </si>
  <si>
    <t>Ding, Haolun; Fu, Zhengwen; Zhang, Rong; Huang, Li; Luo, Xuan; Gao, Qiang</t>
  </si>
  <si>
    <t>Probabilistic Bayesian learning with long-tail awareness for trajectory-user linking</t>
  </si>
  <si>
    <t>NEURAL NETWORKS</t>
  </si>
  <si>
    <t>Trajectory-user linking; Human mobility; Check-in data; Probabilistic learning; Long tail</t>
  </si>
  <si>
    <t>Recent location-based social networks (LBSN) provide us with a wealth of user check-in trajectories, offering researchers more prominent opportunities to develop effective practices for understanding the mobility patterns of different groups. In particular, the task of Trajectory-User Linking (TUL), which aims to accurately associate unlabeled check-in trajectories with the users who generated them, has received significant attention in the GeoAI community. Prior investigations have shown that the sparsity of check-ins hinders the capture of diverse user interests, requiring massive efforts to handle this concern. However, the diversity and individual preferences inevitably lead to a more thorny issue regarding the imbalanced collection of historical check-ins by various users, commonly referred to as the long tail phenomenon. In particular, the disparity in check-ins among various users intensifies the inference preferences towards the head users while overlooking those who contribute less often (i.e., tail users). That is, such an imbalance eventually leads to the mislabeling of unlinked trajectories as the head users, diminishing the likelihood of correctly classifying the tail users. In this study, we propose a novel probabilistic Bayesian learning solution, called LongTUL, primarily addressing the concern of the long tail behind the TUL task. In LongTUL, we build a Check-in Engagement Compromise (CEC) mechanism to harmonize the participation levels of various users before the training phase. Then, we are motivated by recent variational Bayes and develop a Probabilistic Trajectory Learning (PTL) procedure to encode each trajectory into a latent space. In contrast to the prior arts, we involve the Laplacian approximation regarding the latent representations to address the amortization errors as well as alleviate the effects of long-tail characteristics. Furthermore, we develop a reweighted classifier designed to ensure equitable inference between head users and tail users. Finally, our experiments conducted on three real-world check-in datasets demonstrate the superiority of LongTUL against representative TUL solutions, especially in addressing the long-tail issue.</t>
  </si>
  <si>
    <t>[Ding, Haolun; Huang, Li; Gao, Qiang] Southwestern Univ Finance &amp; Econ, Engn Res Ctr Intelligent Finance, Minist Educ, Chengdu, Peoples R China; [Fu, Zhengwen; Zhang, Rong; Huang, Li; Luo, Xuan; Gao, Qiang] Southwestern Univ Finance &amp; Econ, Sch Comp &amp; Artificial Intelligence, Chengdu, Peoples R China; [Gao, Qiang] Artificial Intelligence &amp; Digital Finance Key Lab, Chengdu, Peoples R China</t>
  </si>
  <si>
    <t>Southwestern University of Finance &amp; Economics - China; Southwestern University of Finance &amp; Economics - China</t>
  </si>
  <si>
    <t>Gao, Q (corresponding author), Southwestern Univ Finance &amp; Econ, Engn Res Ctr Intelligent Finance, Minist Educ, Chengdu, Peoples R China.;Gao, Q (corresponding author), Southwestern Univ Finance &amp; Econ, Sch Comp &amp; Artificial Intelligence, Chengdu, Peoples R China.;Gao, Q (corresponding author), Artificial Intelligence &amp; Digital Finance Key Lab, Chengdu, Peoples R China.</t>
  </si>
  <si>
    <t>dinghaolun@swufe.edu.cn; 222081202003@smail.swufe.edu.cn; 223081200022@smail.swufe.edu.cn; lihuang@swufe.edu.cn; 224081200030@smail.swufe.edu.cn; qianggao@swufe.edu.cn</t>
  </si>
  <si>
    <t>; Gao, Qiang/AFF-4116-2022; Fu, Zheng-wen/I-5880-2016</t>
  </si>
  <si>
    <t>ding, haolun/0000-0002-4823-4653; 傅, 正文/0009-0004-9906-8730; Gao, Qiang/0000-0002-9621-5414;</t>
  </si>
  <si>
    <t>0893-6080</t>
  </si>
  <si>
    <t>1879-2782</t>
  </si>
  <si>
    <t>Neural Netw.</t>
  </si>
  <si>
    <t>10.1016/j.neunet.2025.108258</t>
  </si>
  <si>
    <t>9UE8E</t>
  </si>
  <si>
    <t>WOS:001615125100001</t>
  </si>
  <si>
    <t>Gong, JB; Zhang, XH; Li, Q; Wang, C; Song, YX; Zhao, ZY; Wang, SL</t>
  </si>
  <si>
    <t>Gong, Jibing; Zhang, Xinghao; Li, Qing; Wang, Cheng; Song, Yaxi; Zhao, Zhiyong; Wang, Shuli</t>
  </si>
  <si>
    <t>A Top-N Movie Recommendation Framework Based on Deep Neural Network with Heterogeneous Modeling</t>
  </si>
  <si>
    <t>deep neural network; matrix factorization; top-N recommendation; implicit feedback information; meta-path bias</t>
  </si>
  <si>
    <t>ALGORITHM</t>
  </si>
  <si>
    <t>To provide more accurate and stable recommendations, it is necessary to combine display information with implicit information and to dig out potential information. Existing methods only consider explicit feedback information or implicit feedback information unilaterally and ignore the potential information of explicit feedback information and implicit feedback information, which is also crucial to the accuracy of the recommendation system. However, the traditional Heterogeneous Information Networks (HIN) recommendation ignores the attribute information in the meta-path and the interaction between the user and the item and, instead, only considers the linear characteristics of the user-object often ignoring its non-linear characteristics. Aiming at the potential information acquisition problem from assorted feedback, we propose a new top-N recommendation method MFDNN for Heterogeneous Information Networks (HINs). First, we consider explicit and implicit feedback information to determine the potential preferences of users and the potential features of the product. Then, matrix factorization (MF) and a deep neural network (DNN) are fused to learn independent feature embeddings through MF and DNN, and fully considering the linear and non-linear characteristics of the user-object. MFDNN was tested on several real data sets, such as Movie-Lens, and compared with benchmark experiments. MFDNN significantly improved the hit ratio (HR) and normalized discounted cumulative gain (NDCG). Further research showed that the meta-path bias had an excellent effect on the gain of potential information mining and the fusion of explicit and implicit information in the accuracy and stability of user interest classification.</t>
  </si>
  <si>
    <t>[Gong, Jibing; Zhang, Xinghao; Li, Qing; Wang, Cheng; Song, Yaxi; Zhao, Zhiyong] Yanshan Univ, Sch Informat Sci &amp; Engn, Qinhuangdao 066004, Hebei, Peoples R China; [Gong, Jibing; Zhang, Xinghao; Li, Qing; Wang, Cheng; Song, Yaxi; Zhao, Zhiyong; Wang, Shuli] Yanshan Univ, Key Lab Comp Virtual Technol &amp; Syst Integrat Hebe, Qinhuangdao 066004, Hebei, Peoples R China; [Gong, Jibing; Wang, Shuli] Yanshan Univ, Key Lab Software Engn Hebei Prov, Qinhuangdao 066004, Hebei, Peoples R China; [Wang, Shuli] Yanshan Univ, Sch Sci, Qinhuangdao 066004, Hebei, Peoples R China</t>
  </si>
  <si>
    <t>Yanshan University; Yanshan University; Yanshan University; Yanshan University</t>
  </si>
  <si>
    <t>Gong, JB; Zhang, XH (corresponding author), Yanshan Univ, Sch Informat Sci &amp; Engn, Qinhuangdao 066004, Hebei, Peoples R China.;Gong, JB; Zhang, XH (corresponding author), Yanshan Univ, Key Lab Comp Virtual Technol &amp; Syst Integrat Hebe, Qinhuangdao 066004, Hebei, Peoples R China.;Gong, JB (corresponding author), Yanshan Univ, Key Lab Software Engn Hebei Prov, Qinhuangdao 066004, Hebei, Peoples R China.</t>
  </si>
  <si>
    <t>gongjibing@ysu.edu.cn; 201922040145@stumail.ysu.edu.cn; liqing1@stumail.ysu.edu.cn; wangcheng_ysu@163.com; 13293151871@163.com; ys_zhaozhiyong@163.com; wangshuli@ysu.edu.cn</t>
  </si>
  <si>
    <t>; cheng, wang/AEZ-6856-2022</t>
  </si>
  <si>
    <t>qing, li/0000-0002-9354-2452; zhang, xinghao/0000-0002-5472-3891; cheng, wang/0000-0001-9902-0180; 智永, 赵/0000-0002-1439-1298</t>
  </si>
  <si>
    <t>10.3390/app11167418</t>
  </si>
  <si>
    <t>UF6DL</t>
  </si>
  <si>
    <t>WOS:000688662200001</t>
  </si>
  <si>
    <t>Deryakulu, D; Olkun, S</t>
  </si>
  <si>
    <t>Chova, LG; Belenguer, DM; Torres, IC</t>
  </si>
  <si>
    <t>Deryakulu, Deniz; Olkun, Sinan</t>
  </si>
  <si>
    <t>PRE-SERVICE ICT TEACHERS' LEARNING STYLES, ABILITIES, INTERESTS AND CURRENT CAREER ASPIRATIONS</t>
  </si>
  <si>
    <t>EDULEARN10: INTERNATIONAL CONFERENCE ON EDUCATION AND NEW LEARNING TECHNOLOGIES</t>
  </si>
  <si>
    <t>2nd International Conference on Education and New Learning Technologies (EDULEARN)</t>
  </si>
  <si>
    <t>JUL 05-07, 2010</t>
  </si>
  <si>
    <t>Ability; career aspiration; interest; learning styles; pre-service ICT teachers</t>
  </si>
  <si>
    <t>The purpose of this descriptive study was to examine the Turkish pre-service Information and Communication Technologies (ICT) teachers' learning styles, abilities, interests and current career aspirations. Participants were 115 pre-service ICT teachers from large public university in Ankara. Participants were asked to fill out an open-ended information sheet; Kolb's learning styles inventory-Turkish version; and the ability and interest sub-scales of Kuzgun's Self-Evaluation Inventory. Results showed that the most common learning style among pre-service ICT teachers was Converging. In terms of ability scores, the participants obtained the highest scores on Numerical Ability and Verbal Ability categories. In terms of interest scores, the participants obtained the highest scores on Job Detail and Persuasion categories. The first three careers which emerged from the analysis of pre-service ICT teachers' responses to the current career aspiration question were computer engineering, ICT teaching, and doctor of medicine. ANOVA results showed that the only statistically significant relationship among the pre-service ICT teachers' learning styles, ability and interest scores was on the Mechanical interest category. According to post hoc analysis, Convergers have higher interest scores on Mechanical interest category than Accommodators. Implications are discussed.</t>
  </si>
  <si>
    <t>[Deryakulu, Deniz] Ankara Univ, Fac Educ Sci, Dept Comp &amp; Instruct Technol Educ, TR-06100 Ankara, Turkey</t>
  </si>
  <si>
    <t>Ankara University</t>
  </si>
  <si>
    <t>deryakul@education.ankara.edu.tr; sinanolkun@gmail.com</t>
  </si>
  <si>
    <t>/D-5133-2012; Olkun, Sinan/B-3600-2008</t>
  </si>
  <si>
    <t>978-84-613-9386-2</t>
  </si>
  <si>
    <t>BEY96</t>
  </si>
  <si>
    <t>WOS:000318781703087</t>
  </si>
  <si>
    <t>Kobayashi, K; Sumi, Y; Mase, K</t>
  </si>
  <si>
    <t>Jain, LC</t>
  </si>
  <si>
    <t>Information presentation based on individual user interests</t>
  </si>
  <si>
    <t>1998 SECOND INTERNATIONAL CONFERENCE ON KNOWLEDGE-BASED INTELLIGENT ELECTRONIC SYSTEMS, KES'98 PROCEEDINGS, VOL 1</t>
  </si>
  <si>
    <t>2nd International Conference on Knowledge-Based Intelligent Electronic Systems (KES 98)</t>
  </si>
  <si>
    <t>APR 21-23, 1998</t>
  </si>
  <si>
    <t>ADELAIDE, AUSTRALIA</t>
  </si>
  <si>
    <t>personalized presentation and recommendation; user interests; human curiosity; question-answer interaction; personal conceptual space; control knowledge</t>
  </si>
  <si>
    <t>In this paper, we propose a method for presenting information based on individual user interests and knowledge. In previous work on recommending information, such as through WWW pages, the user could not always get his/her needed information, since the user's interests were represented only in keywords or key categories, and the contents of the presented information were previously formed by the information presenter; consequently, this information did not necessarily match the user's interests and knowledge. In the proposed method, the system acquires the user's implicit and/or explicit interests and knowledge from a question-and-answer interaction and presents the user with focus-of-interest information based on them. For personalizing the presentation and recommendation of information, the system provides each user with a information retriever using the user's operation records, a personal conceptual space, and control knowledge.</t>
  </si>
  <si>
    <t>ATR Media Integrat &amp; Commun Res Labs, Seika, Kyoto 6190288, Japan</t>
  </si>
  <si>
    <t>Kobayashi, K (corresponding author), ATR Media Integrat &amp; Commun Res Labs, Seika, Kyoto 6190288, Japan.</t>
  </si>
  <si>
    <t>0-7803-4316-6</t>
  </si>
  <si>
    <t>BL76J</t>
  </si>
  <si>
    <t>WOS:000076648800052</t>
  </si>
  <si>
    <t>Zhao, Z; Yan, D; Ng, W; Gao, S</t>
  </si>
  <si>
    <t>Zhao, Zhou; Yan, Da; Ng, Wilfred; Gao, Shi</t>
  </si>
  <si>
    <t>A Transfer Learning Based Framework of Crowd-Selection on Twitter</t>
  </si>
  <si>
    <t>Crowdsourcing; Microblogs</t>
  </si>
  <si>
    <t>Crowd selection is essential to crowd sourcing- applications, Hnce choosing the nen workers with particular expertise to carry out crowdsoureed tasks is extremely important. The central problein is simple but tricks given a CIOWdsolirced task, who are the most knowledgable users to ask? In this demo, we show (Mn framework that tackles the problem of crowdsourcecl task assignment on Twitter according to the social activities of its users. Since user profiles on Twitter do not reveal user interests and skills, we transfer the knowledge from categorized Yahoo ! Answers datasets for learning user expertise. Then, we select the right crowd for certain tasks based on user expertise. We study the effectiveness of our system using extensive user evaluation, Mre further engage the attendees to participate a gaine called Whom to Ask on Twitter. This helps understand our ideas in an interactive manner. Our crowd selection can In accessed by the following url http://webproject2.cse.ust.ht:8034/tcrowd/.</t>
  </si>
  <si>
    <t>[Zhao, Zhou; Yan, Da; Ng, Wilfred; Gao, Shi] Hong Kong Univ Sci &amp; Technol, Dept Comp Sci &amp; Engn, Hong Kong, Peoples R China</t>
  </si>
  <si>
    <t>Hong Kong University of Science &amp; Technology</t>
  </si>
  <si>
    <t>Zhao, Z (corresponding author), Hong Kong Univ Sci &amp; Technol, Dept Comp Sci &amp; Engn, Hong Kong, Peoples R China.</t>
  </si>
  <si>
    <t>zhaozhou@cse.ust.hk; yanda@cse.ust.hk; wilfred@cse.ust.hk; gaoshi@cse.ust.hk</t>
  </si>
  <si>
    <t>Ng, Wilfred Siu Hung/0000-0001-6639-0521</t>
  </si>
  <si>
    <t>RGC GRF [HKUST 617610, 618509]</t>
  </si>
  <si>
    <t>RGC GRF(Hong Kong Research Grants Council)</t>
  </si>
  <si>
    <t>We thank the help from the UROP project students Xinyu Wang, Weikeng Chen and Zhijun Zhang at HKUST for helping the experiments. This work is partially supported by RGC GRF under grant number HKUST 617610 and 618509.</t>
  </si>
  <si>
    <t>WOS:000502730600189</t>
  </si>
  <si>
    <t>Asakura, T; Terai, A</t>
  </si>
  <si>
    <t>Asakura, Tomoya; Terai, Asuka</t>
  </si>
  <si>
    <t>Effect of Humor on User Interest in a Recommendation Chatbot</t>
  </si>
  <si>
    <t>2022 JOINT 12TH INTERNATIONAL CONFERENCE ON SOFT COMPUTING AND INTELLIGENT SYSTEMS AND 23RD INTERNATIONAL SYMPOSIUM ON ADVANCED INTELLIGENT SYSTEMS (SCIS&amp;ISIS)</t>
  </si>
  <si>
    <t>Joint International Conference on Soft Computing and Intelligent Systems SCIS and International Symposium on Advanced Intelligent Systems ISIS</t>
  </si>
  <si>
    <t>Joint 12th International Conference on Soft Computing and Intelligent Systems / 23rd International Symposium on Advanced Intelligent Systems (SCIS and ISIS)</t>
  </si>
  <si>
    <t>NOV 29-DEC 02, 2022</t>
  </si>
  <si>
    <t>Ise, JAPAN</t>
  </si>
  <si>
    <t>humor; chatbot; recommend; human-computer interaction; persuade</t>
  </si>
  <si>
    <t>This study investigated the effects from including humor stimuli in an interaction with a recommendation chatbot on user interest in a recommended item. Three types of chatbots were developed with different frequencies of humor stimuli. A psychological experiment was conducted to investigate the differences in user interest in the recommended item. As a result, no significant direct effect on user interest was observed depending on the frequency of the humor stimuli. Nevertheless, the sense of humor, trust, and humanity had effects on the user interest. Moreover, the results suggested that humor stimuli had a positive effect on sense of humor and negative effect on trust.</t>
  </si>
  <si>
    <t>[Asakura, Tomoya] Future Univ Hakodate, Grad Sch Syst Informat Sci, Hakodate, Hokkaido, Japan; [Terai, Asuka] Future Univ Hakodate, Dept Complex &amp; Intelligent Syst, Hakodate, Hokkaido, Japan</t>
  </si>
  <si>
    <t>Future University Hakodate; Future University Hakodate</t>
  </si>
  <si>
    <t>Asakura, T (corresponding author), Future Univ Hakodate, Grad Sch Syst Informat Sci, Hakodate, Hokkaido, Japan.</t>
  </si>
  <si>
    <t>g2121002@fun.ac.jp; aterai@fun.ac.jp</t>
  </si>
  <si>
    <t>2377-6870</t>
  </si>
  <si>
    <t>978-1-6654-9924-8</t>
  </si>
  <si>
    <t>JOINT INT CONF SOFT</t>
  </si>
  <si>
    <t>10.1109/SCISISIS55246.2022.10002120</t>
  </si>
  <si>
    <t>Automation &amp; Control Systems; Computer Science, Artificial Intelligence; Robotics</t>
  </si>
  <si>
    <t>Automation &amp; Control Systems; Computer Science; Robotics</t>
  </si>
  <si>
    <t>BU6ZH</t>
  </si>
  <si>
    <t>WOS:000932791900194</t>
  </si>
  <si>
    <t>Kazai, G; Yusof, I; Clarke, D</t>
  </si>
  <si>
    <t>Kazai, Gabriella; Yusof, Iskander; Clarke, Daoud</t>
  </si>
  <si>
    <t>Personalised News and Blog Recommendations based on User Location, Facebook and Twitter User Profiling</t>
  </si>
  <si>
    <t>Lumi News; recommender system; mobile app</t>
  </si>
  <si>
    <t>This demo presents a prototype mobile app that provides out-of-the-box personalised content recommendations to its users by leveraging and combining the user's location, their Facebook and/or Twitter feed and their in-app actions to automatically infer their interests. We build individual models for each user and each location. At retrieval time we construct the user's personalised feed by mixing different sources of content-based recommendations with content directly from their Facebook/Twitter feeds, locally trending articles and content propagated through their in-app social network. Both explicit and implicit feedback signals from the users' interactions with their recommendations are used to update their interests models and to learn their preferences over the different content sources.</t>
  </si>
  <si>
    <t>[Kazai, Gabriella; Yusof, Iskander; Clarke, Daoud] Lumi News, London, England</t>
  </si>
  <si>
    <t>Kazai, G (corresponding author), Lumi News, London, England.</t>
  </si>
  <si>
    <t>gabs@lumi.news; iskander@lumi.news; daoud@lumi.news</t>
  </si>
  <si>
    <t>10.1145/2911451.2911464</t>
  </si>
  <si>
    <t>WOS:000455100800192</t>
  </si>
  <si>
    <t>Saito, J; Yukawa, T</t>
  </si>
  <si>
    <t>Saito, Junki; Yukawa, Takashi</t>
  </si>
  <si>
    <t>Extracting User Interest for User Recommendation Based on Folksonomy</t>
  </si>
  <si>
    <t>user profiling; folksonomy; social bookmarking; SNS; Twitter</t>
  </si>
  <si>
    <t>In the present paper, a method for extracting user interest by constructing a hierarchy of words from social bookmarking (SBM) tags and emphasizing nouns based on the hierarchical structure (folksonomy) is proposed. Co-occurrence of the SBM tags basically have a semantic relationship. As a result of an experimental evaluation using the user profiles on Twitter, the authors discovered that the SBM tags and their word hierarchy have a rich vocabulary for extracting user interest.</t>
  </si>
  <si>
    <t>[Saito, Junki; Yukawa, Takashi] Nagaoka Univ Technol, Dept Elect Engn, Nagaoka, Niigata 9402188, Japan</t>
  </si>
  <si>
    <t>Nagaoka University of Technology</t>
  </si>
  <si>
    <t>Saito, J (corresponding author), Nagaoka Univ Technol, Dept Elect Engn, Nagaoka, Niigata 9402188, Japan.</t>
  </si>
  <si>
    <t>junkis@stn.nagaokaut.ac.jp; yukawa@vos.nagaokaut.ac.jp</t>
  </si>
  <si>
    <t>IEICE-INST ELECTRONICS INFORMATION COMMUNICATIONS ENG</t>
  </si>
  <si>
    <t>KIKAI-SHINKO-KAIKAN BLDG MINATO-KU SHIBAKOEN 3 CHOME, TOKYO, 105, JAPAN</t>
  </si>
  <si>
    <t>E94D</t>
  </si>
  <si>
    <t>10.1587/transinf.E94.D.1329</t>
  </si>
  <si>
    <t>788YQ</t>
  </si>
  <si>
    <t>WOS:000292480800028</t>
  </si>
  <si>
    <t>Jeon, H</t>
  </si>
  <si>
    <t>Jeon, Hocheol</t>
  </si>
  <si>
    <t>Personalized Information Gathering in a Multiple Personal Device Environment</t>
  </si>
  <si>
    <t>JOURNAL OF INTERNET TECHNOLOGY</t>
  </si>
  <si>
    <t>Personalized information gathering; Adaptive user profiling; Implicit user feedback; Multiple device environment</t>
  </si>
  <si>
    <t>RECOMMENDATION; SYSTEM</t>
  </si>
  <si>
    <t>We propose a personalized information gathering system PerIGS that exploits implicit user feedback in a multiple personal device environment. PerIGS extracts imposing words that induce user's choice from recommended news articles, and constructs user preference profile based on observed user behaviors. A user profile is shared by multiple personal devices, and PerIGS gathers, filters, and recommends news articles according to this shared profile. We organize the user profile in a hierarchical category structure to deal with the uncertainty of user interests. This structure also enables the system to track and recognize the changes of user interests for each domain more effectively. The results of a series of experiments measuring user satisfaction for recommended news articles indicated that PerIGS can effectively utilize user profiles for news filtering and recommendation.</t>
  </si>
  <si>
    <t>[Jeon, Hocheol] Minist Natl Def, Agcy Def Dev, Seoul, South Korea</t>
  </si>
  <si>
    <t>Agency of Defense Development (ADD), Republic of Korea</t>
  </si>
  <si>
    <t>Jeon, H (corresponding author), Minist Natl Def, Agcy Def Dev, Seoul, South Korea.</t>
  </si>
  <si>
    <t>hcjeon71@gmail.com</t>
  </si>
  <si>
    <t>/J-1962-2014</t>
  </si>
  <si>
    <t>LIBRARY &amp; INFORMATION CENTER, NAT DONG HWA UNIV</t>
  </si>
  <si>
    <t>HUALIEN</t>
  </si>
  <si>
    <t>LIBRARY &amp; INFORMATION CENTER, NAT DONG HWA UNIV, HUALIEN, 00000, TAIWAN</t>
  </si>
  <si>
    <t>1607-9264</t>
  </si>
  <si>
    <t>2079-4029</t>
  </si>
  <si>
    <t>J INTERNET TECHNOL</t>
  </si>
  <si>
    <t>J. Internet Technol.</t>
  </si>
  <si>
    <t>10.6138/JIT.2017.18.2.20140907</t>
  </si>
  <si>
    <t>ES4RP</t>
  </si>
  <si>
    <t>WOS:000399522700003</t>
  </si>
  <si>
    <t>MURPHY, LO; ROSS, SM</t>
  </si>
  <si>
    <t>PROTAGONIST GENDER AS A DESIGN VARIABLE IN ADAPTING MATHEMATICS STORY PROBLEMS TO LEARNER INTERESTS</t>
  </si>
  <si>
    <t>SEX-DIFFERENCES; INSTRUCTIONAL-MATERIALS; VERBAL PROBLEMS; HIGH-SCHOOL; PERSPECTIVE; INTEGRATION; CHARACTER; CHILDREN; CONTEXT; IMPACT</t>
  </si>
  <si>
    <t>UNIV TENNESSEE, BOLING CTR DEV DISABIL, COLL MED, HLTH SCI CTR, MEMPHIS, TN 38105 USA; MEMPHIS STATE UNIV, COLL EDUC, DEPT FDN EDUC, MEMPHIS, TN 38152 USA</t>
  </si>
  <si>
    <t>University of Tennessee Health Science Center; University of Tennessee System; University of Tennessee Health Science Center; University of Memphis</t>
  </si>
  <si>
    <t>10.1007/BF02298179</t>
  </si>
  <si>
    <t>FE301</t>
  </si>
  <si>
    <t>WOS:A1990FE30100003</t>
  </si>
  <si>
    <t>Froment, F; Gutiérrez, MD</t>
  </si>
  <si>
    <t>Froment, Facundo; Gutierrez, Manuel de-Besa</t>
  </si>
  <si>
    <t>Instructor Clarity and Student Interest: The Mediating Role of Students' Academic Satisfaction and State Motivation in Spanish Higher Education</t>
  </si>
  <si>
    <t>instructional communication; higher education; instructor clarity; academic satisfaction; state motivation; student interest; PLS-SEM; sustainable development goals; educational sustainability; quality education</t>
  </si>
  <si>
    <t>TEACHER CLARITY; NONVERBAL IMMEDIACY; ENGAGEMENT; ADAPTATION; VALIDATION; COMMUNICATION; INDICATORS; BEHAVIORS; CLASSROOM; VALIDITY</t>
  </si>
  <si>
    <t>Instructor clarity is a central component of instructional communication and has been consistently associated with positive academic outcomes; however, less evidence exists regarding the mechanisms through which it influences student interest in higher education contexts. From a sustainability perspective, understanding these mechanisms is essential for promoting inclusive, equitable, and high-quality learning environments in line with global educational goals. This study fills a gap in the literature by examining, through multivariate models, the relationship between instructor clarity and student interest as mediated by academic satisfaction and state motivation, within the framework of the Rhetorical/Relational Goals Theory in the Spanish higher education context. A quantitative, cross-sectional, ex post facto research design was employed using a survey method. A non-probabilistic convenience sampling approach was used. A total of 258 undergraduate students from the University of Extremadura enrolled in the Bachelor's Degree in Early Childhood Education and the Bachelor's Degree in Primary Education participated in the study. Data were analyzed using Partial Least Squares Structural Equation Modeling (PLS-SEM), including an assessment of the model's predictive capability. The results indicated that instructor clarity was positively associated with academic satisfaction, state motivation, and student interest, with the first two variables acting as complementary mediators in these relationships. Among the predictors, state motivation emerged as the strongest determinant of student interest, whereas the direct effect of instructor clarity was comparatively weaker, highlighting the relevance of indirect pathways. The model demonstrated high predictive power and strong predictive validity with respect to student interest. Overall, the findings indicate that instructor clarity influences student interest primarily through its indirect effects on academic satisfaction and state motivation, emphasizing the importance of fostering motivational processes as key mechanisms linking teaching practices with students' learning outcomes in higher education. Finally, it should be noted that the findings are directly aligned with Sustainable Development Goal (SDG) 4, contributing to Target 4.3 by enhancing the effectiveness and equity of teaching in higher education, as well as supporting the development of sustainable learning environments that foster long-term student engagement and academic persistence.</t>
  </si>
  <si>
    <t>[Froment, Facundo] Univ Extremadura, Fac Educ &amp; Psychol, Dept Educ Sci, Badajoz 06006, Spain; [Gutierrez, Manuel de-Besa] Univ Cadiz, Fac Educ Sci, Dept Didact, Puerto Real 11510, Spain</t>
  </si>
  <si>
    <t>Universidad de Extremadura; Universidad de Cadiz</t>
  </si>
  <si>
    <t>Froment, F (corresponding author), Univ Extremadura, Fac Educ &amp; Psychol, Dept Educ Sci, Badajoz 06006, Spain.</t>
  </si>
  <si>
    <t>facundofroment@unex.es; manuel.debesa@uca.es</t>
  </si>
  <si>
    <t>APR 22</t>
  </si>
  <si>
    <t>10.3390/su18094152</t>
  </si>
  <si>
    <t>HW0BA</t>
  </si>
  <si>
    <t>WOS:001764011500001</t>
  </si>
  <si>
    <t>Tawalbeh, AK</t>
  </si>
  <si>
    <t>Tawalbeh, Ali K.</t>
  </si>
  <si>
    <t>Influence of AI on marketing strategies for university libraries</t>
  </si>
  <si>
    <t>INTERNATIONAL JOURNAL OF ADVANCED AND APPLIED SCIENCES</t>
  </si>
  <si>
    <t>Artificial intelligence; Digital libraries; Marketing strategies; Image recognition; User engagement</t>
  </si>
  <si>
    <t>This study investigates the impact of Artificial Intelligence (AI) applications, Personalized Recommendations, Predictive Analytics, Chatbots and Virtual Assistants, Natural Language Processing (NLP), and Image Recognition, on supporting marketing strategies in university libraries. Using a quantitative approach, primary data were collected through a self-administered questionnaire completed by 121 directors and department heads from governmental, private, special law, regional universities, and university colleges. The data were analyzed using SPSS. Findings support the hypothesis that AI enhances marketing strategies for digital libraries, with Image Recognition showing the highest influence among the studied variables. All AI applications contributed to improving user engagement and service delivery, demonstrating the transformative potential of advanced technologies in library operations. Specifically, Image Recognition facilitates content search through visual identification and categorization, leading to increased user interest and satisfaction. The study recommends further integration of AI features, such as voice recognition, sentiment analysis, and predictive analytics in chatbots, to provide more personalized and proactive support. These insights highlight the critical role of AI in optimizing marketing strategies and advancing digital library services. (c) 2025 The Authors. Published by IASE. This is an open access article under the CC BY-NC-ND license (http://creativecommons.org/licenses/by-nc-nd/4.0/).</t>
  </si>
  <si>
    <t>[Tawalbeh, Ali K.] Al Balqa Appl Univ, Princess Alia Univ Coll, Dept Lib &amp; Informat, Salt, Al Balqa, Jordan</t>
  </si>
  <si>
    <t>Al-Balqa Applied University</t>
  </si>
  <si>
    <t>Tawalbeh, AK (corresponding author), Al Balqa Appl Univ, Princess Alia Univ Coll, Dept Lib &amp; Informat, Salt, Al Balqa, Jordan.</t>
  </si>
  <si>
    <t>dr.alitawalbeh@bau.edu.jo</t>
  </si>
  <si>
    <t>INST ADVANCED SCIENCE EXTENSION</t>
  </si>
  <si>
    <t>TAIPEI</t>
  </si>
  <si>
    <t>PO BOX 23-31,, TAIPEI, 00000, TAIWAN</t>
  </si>
  <si>
    <t>2313-626X</t>
  </si>
  <si>
    <t>2313-3724</t>
  </si>
  <si>
    <t>INT J ADV APPL SCI</t>
  </si>
  <si>
    <t>Int. J. Adv. Appl. Sci.</t>
  </si>
  <si>
    <t>10.21833/ijaas.2025.08.018</t>
  </si>
  <si>
    <t>6JH8L</t>
  </si>
  <si>
    <t>WOS:001554717800018</t>
  </si>
  <si>
    <t>Girau, R; Cossu, R; Farina, M; Pilloni, V; Atzori, L</t>
  </si>
  <si>
    <t>Girau, Roberto; Cossu, Raimondo; Farina, Massimo; Pilloni, Virginia; Atzori, Luigi</t>
  </si>
  <si>
    <t>Virtual User in the IoT: Definition, Technologies and Experiments</t>
  </si>
  <si>
    <t>virtual user; virtual object; edge computing; QoE</t>
  </si>
  <si>
    <t>Virtualization technologies are characterizing major advancements in the Internet of Things (IoT) arena, as they allow for achieving a cyber-physical world where everything can be found, activated, probed, interconnected, and updated at both the virtual and the physical levels. We believe these technologies should apply to human users other than things, bringing us the concept of the Virtual User (VU). This should represent the virtual counterpart of the IoT users with the ultimate goal of: (i) avoiding the user from having the burden of following the tedious processes of setting, configuring and updating IoT services the user is involved in; (ii) acting on behalf of the user when basic operations are required; (iii) exploiting to the best of its ability the IoT potentialities, always taking always account the user profile and interests. Accordingly, the VU is a complex representation of the user and acts as a proxy in between the virtual objects and IoT services and application; to this, it includes the following major functionalities: user profiling, authorization management, quality of experience modeling and management, social networking and context management. In this respect, the major contributions of this paper are to: provide the definition of VU, present the major functionalities, discuss the legal issues related to its introduction, provide some implementation details, and analyze key performance aspects in terms of the capability of the VU to correctly identify the user profile and context.</t>
  </si>
  <si>
    <t>[Girau, Roberto; Pilloni, Virginia] Univ Cagliari, DIEE, I-09123 Cagliari, Italy; Natl Interuniv Consortium Telecommun CNIT, Res Unit Cagliari, I-09123 Cagliari, Italy</t>
  </si>
  <si>
    <t>University of Cagliari</t>
  </si>
  <si>
    <t>Girau, R; Pilloni, V (corresponding author), Univ Cagliari, DIEE, I-09123 Cagliari, Italy.</t>
  </si>
  <si>
    <t>rai.cossu@gmail.com; roberto.girau@diee.unica.it; m.farina@diee.unica.it; virginia.pilloni@diee.unica.it; l.atzori@diee.unica.it</t>
  </si>
  <si>
    <t>Girau, Roberto/AAB-9653-2020; Pilloni, Virginia/P-7379-2015; Atzori, Luigi/HSD-8732-2023</t>
  </si>
  <si>
    <t>Girau, Roberto/0000-0002-1298-7960; Pilloni, Virginia/0000-0002-6141-3031; FARINA, MASSIMO/0000-0002-5370-2693</t>
  </si>
  <si>
    <t>Italian Ministry of University and Research (MIUR), within the Smart Cities framework (Project Netergit) [PON04a200490]; Italian Ministry of University and Research (MIUR), within the Smart Cities framework (Project Cagliari2020) [PON04a200381]; INSIEME MiSE project, HORIZON 2020 [PON 2014/2020 POS. 395]</t>
  </si>
  <si>
    <t>Italian Ministry of University and Research (MIUR), within the Smart Cities framework (Project Netergit)(Ministry of Education, Universities and Research (MIUR)); Italian Ministry of University and Research (MIUR), within the Smart Cities framework (Project Cagliari2020)(Ministry of Education, Universities and Research (MIUR)); INSIEME MiSE project, HORIZON 2020</t>
  </si>
  <si>
    <t>This work was supported in part by the Italian Ministry of University and Research (MIUR), within the Smart Cities framework (Project Netergit, ID: PON04a200490 and Project Cagliari2020, ID: PON04a200381) and by the INSIEME MiSE project, HORIZON 2020, PON 2014/2020 POS. 395.</t>
  </si>
  <si>
    <t>10.3390/s19204489</t>
  </si>
  <si>
    <t>JO8ZP</t>
  </si>
  <si>
    <t>WOS:000497864700137</t>
  </si>
  <si>
    <t>Shao, JY</t>
  </si>
  <si>
    <t>Shao, Jinyi</t>
  </si>
  <si>
    <t>Enhancing learning outcomes in violin music education: a systematic review</t>
  </si>
  <si>
    <t>learning outcome; music education; pedagogy; student interest; violin</t>
  </si>
  <si>
    <t>COGNITIVE LOAD; STUDENTS; AUTONOMY</t>
  </si>
  <si>
    <t>The violin has long been a prominent instrument in music education, but challenges remain in sustaining student interest and optimizing learning efficacy. This systematic review explores effective educational strategies that can enhance student interest and performance in violin learning. After searching relevant databases, 19 articles were identified, of which 9 met the study's inclusion criteria. This review identifies several gaps in current violin teaching practices, including the predominance of traditional teacher-centered instruction and the limited effectiveness of learning outcomes. To address these gaps, the studies included in this review highlight a range of innovative strategies, such as teaching-equipment innovations, personalized learning methods, and motivational techniques. Findings suggest that combining traditional and modern teaching methods can significantly improve learning outcomes. This review summarizes recommendations for educators to enhance their teaching methods and foster a more engaging and effective learning model for violin learners.Systematic review registration https://osf.io/8eahv.</t>
  </si>
  <si>
    <t>[Shao, Jinyi] Cardiff Univ, Cardiff, Wales</t>
  </si>
  <si>
    <t>Shao, JY (corresponding author), Cardiff Univ, Cardiff, Wales.</t>
  </si>
  <si>
    <t>shaojy2025@outlook.com</t>
  </si>
  <si>
    <t>JAN 14</t>
  </si>
  <si>
    <t>10.3389/feduc.2025.1683580</t>
  </si>
  <si>
    <t>CR7TS</t>
  </si>
  <si>
    <t>WOS:001672879300001</t>
  </si>
  <si>
    <t>Harmon, LW</t>
  </si>
  <si>
    <t>Lost in space: A response</t>
  </si>
  <si>
    <t>JOURNAL OF VOCATIONAL BEHAVIOR</t>
  </si>
  <si>
    <t>COMPROMISE</t>
  </si>
  <si>
    <t>Tracey and Rounds' paper (this issue) on the spherical representation of vocational interests adds prestige to the dimensions usually considered in representing vocational interests. It suggests an important new conception of the structure of vocational interests and introduces a well-constructed measure of interests. The adequacy of their formulation is discussed in terms of the number of dimensions proposed, the shape of the structure actually found as related to the truncation of the prestige dimension, and the number of interest categories used. These have important theoretical and practical implications. Additional research is suggested. (C) 1996 Academic Press, Inc.</t>
  </si>
  <si>
    <t>UNIV ILLINOIS,CHICAGO,IL 60680</t>
  </si>
  <si>
    <t>University of Illinois System; University of Illinois Chicago; University of Illinois Chicago Hospital</t>
  </si>
  <si>
    <t>ACADEMIC PRESS INC JNL-COMP SUBSCRIPTIONS</t>
  </si>
  <si>
    <t>525 B ST, STE 1900, SAN DIEGO, CA 92101-4495</t>
  </si>
  <si>
    <t>0001-8791</t>
  </si>
  <si>
    <t>J VOCAT BEHAV</t>
  </si>
  <si>
    <t>J. Vocat. Behav.</t>
  </si>
  <si>
    <t>10.1006/jvbe.1996.0004</t>
  </si>
  <si>
    <t>TU658</t>
  </si>
  <si>
    <t>WOS:A1996TU65800004</t>
  </si>
  <si>
    <t>Logesh, R; Subramaniyaswamy, V; Vijayakumar, V; Li, X</t>
  </si>
  <si>
    <t>Logesh, R.; Subramaniyaswamy, V.; Vijayakumar, V.; Li, Xiong</t>
  </si>
  <si>
    <t>Efficient User Profiling Based Intelligent Travel Recommender System for Individual and Group of Users</t>
  </si>
  <si>
    <t>Recommender systems; Travel recommendation; Point-of-interest; User profiling; User clustering; Group recommendation</t>
  </si>
  <si>
    <t>ALGORITHMS</t>
  </si>
  <si>
    <t>In recent times, Recommender Systems (RSs) are gaining immense popularity with the wider adaptation to deal information overload problem in various application domains such as e-commerce, entertainment, e-tourism, etc. RSs are developed as information filtering systems to make personalized predictions based on the priorities and preferences for the suggestion of relevant items to users. Travel Recommender Systems (TRSs) generates a list of best matching locations or Point of Interests (POIs) to the users based their preferences. Predicting interesting locations for the generation recommendations from Location Based Social Network (LBSN) is crucial due to variety, size, and dimensions of data. The growing demand for effective TRS extends the scope for the development of user behavior based recommendation approach. In the literature, several research works are conducted to generate location recommendations by focusing on location attributes and failed to incorporate user behavior. As a significant solution to the existing limitations of TRSs, we propose Activity and Behavior induced Personalized Recommender System (ABiPRS) as a hybrid approach to predict persuasive POI recommendations. The proposed ABiPRS is designed to support travelling user by providing effective list of POIs as recommendations. As an extension, we have designed a new group recommendation model to meet the requirements of the group of users by exploiting relationships between them. Further, we have developed a novel hybridization approach for aggregating recommendations from multiple RSs to improve the effectiveness of recommendations. The proposed approaches are evaluated on the real-time large-scale datasets of Yelp and TripAdvisor. The experimental results depict the improved performance of the proposed hybrid recommendation approach over standalone and baseline hybrid approaches.</t>
  </si>
  <si>
    <t>[Logesh, R.; Subramaniyaswamy, V.] SASTRA Deemed Univ, Sch Comp, Thanjavur, Tamil Nadu, India; [Vijayakumar, V.] Vellore Inst Technol, Sch Comp Sci &amp; Engn, Chennai, Tamil Nadu, India; [Li, Xiong] Hunan Univ Sci &amp; Technol, Sch Comp Sci &amp; Engn, Xiangtan, Peoples R China</t>
  </si>
  <si>
    <t>Shanmugha Arts, Science, Technology &amp; Research Academy (SASTRA); Vellore Institute of Technology (VIT); VIT Chennai; Hunan University of Science &amp; Technology</t>
  </si>
  <si>
    <t>Logesh, R (corresponding author), SASTRA Deemed Univ, Sch Comp, Thanjavur, Tamil Nadu, India.</t>
  </si>
  <si>
    <t>logeshr@outlook.com</t>
  </si>
  <si>
    <t>; Li, Xiong/K-7233-2012</t>
  </si>
  <si>
    <t>, Subramaniyaswamy/0000-0001-5328-7672; Li, Xiong/0000-0001-6619-554X</t>
  </si>
  <si>
    <t>Science and Engineering Research Board (SERB), Department of Science &amp; Technology, New Delhi [YSS/2014/000718/ES]</t>
  </si>
  <si>
    <t>Science and Engineering Research Board (SERB), Department of Science &amp; Technology, New Delhi</t>
  </si>
  <si>
    <t>The authors are grateful to Science and Engineering Research Board (SERB), Department of Science &amp; Technology, New Delhi, for the financial support (No. YSS/2014/000718/ES). Authors express their gratitude to SASTRA Deemed University, Thanjavur, for providing the infrastructural facilities to carry out this research work.</t>
  </si>
  <si>
    <t>10.1007/s11036-018-1059-2</t>
  </si>
  <si>
    <t>IA0HV</t>
  </si>
  <si>
    <t>WOS:000469238500026</t>
  </si>
  <si>
    <t>Fang, Q; Sang, JT; Xu, CS; Hossain, MS</t>
  </si>
  <si>
    <t>Fang, Quan; Sang, Jitao; Xu, Changsheng; Hossain, M. Shamim</t>
  </si>
  <si>
    <t>Relational User Attribute Inference in Social Media</t>
  </si>
  <si>
    <t>Attribute relation; latent SVM (LSVM); user attribute inference</t>
  </si>
  <si>
    <t>Nowadays, more and more people are engaged in social media to generate multimedia information, i.e., creating text and photo profiles and posting multimedia messages. Such multimodal social networking activities reveal multiple user attributes such as age, gender, and personal interest. Inferring user attributes is important for user profiling, retrieval, and personalization. Existing work is devoted to inferring user attributes independently and ignores the dependency relations between attributes. In this work, we investigate the problem of relational user attribute inference by exploring the relations between user attributes and extracting both lexical and visual features from online user-generated content. We systematically study six types of user attributes: gender, age, relationship, occupation, interest, and emotional orientation. In view of methodology, we propose a relational latent SVM (LSVM) model to combine a rich set of user features, attribute inference, and attribute relations in a unified framework. In the model, one attribute is selected as the target attribute and others are selected as the auxiliary attributes to assist the target attribute inference. The model infers user attributes and attribute relations simultaneously. Extensive experiments conducted on a collected dataset from Google+ with full attribute annotations demonstrate the effectiveness of the proposed approach in user attribute inference and attribute-based user retrieval.</t>
  </si>
  <si>
    <t>[Fang, Quan; Sang, Jitao; Xu, Changsheng] Chinese Acad Sci, Inst Automat, Natl Lab Pattern Recognit, Beijing 100190, Peoples R China; [Hossain, M. Shamim] King Saud Univ, Coll Comp &amp; Informat Sci, SWE Dept, Riyadh 12372, Saudi Arabia</t>
  </si>
  <si>
    <t>Chinese Academy of Sciences; Institute of Automation, CAS; King Saud University</t>
  </si>
  <si>
    <t>Fang, Q (corresponding author), Chinese Acad Sci, Inst Automat, Natl Lab Pattern Recognit, Beijing 100190, Peoples R China.</t>
  </si>
  <si>
    <t>qfang@nlpr.ia.ac.cn; jtsang@nlpr.ia.ac.cn; csxu@nlpr.ia.ac.cn; mshossain@ksu.edu.sa</t>
  </si>
  <si>
    <t>Hossain, M. Shamim/K-1362-2014; Xu, Changsheng/MYR-4655-2025</t>
  </si>
  <si>
    <t>Hossain, M. Shamim/0000-0001-5906-9422;</t>
  </si>
  <si>
    <t>National Basic Research Program of China [2012CB316304]; National Natural Science Foundation of China [61225009, 61432019, 61332016, 61303176]; Beijing Natural Science Foundation [4131004]; Deanship of Scientific Research at King Saud University under the International Research Group Program [IRG 14-18]</t>
  </si>
  <si>
    <t>National Basic Research Program of China(National Basic Research Program of China); National Natural Science Foundation of China(National Natural Science Foundation of China (NSFC)); Beijing Natural Science Foundation(Beijing Natural Science Foundation); Deanship of Scientific Research at King Saud University under the International Research Group Program</t>
  </si>
  <si>
    <t>This work was supported in part by the National Basic Research Program of China under Grant 2012CB316304, in part by the National Natural Science Foundation of China under Grant 61225009, Grant 61432019, Grant 61332016, and Grant 61303176, in part by the Beijing Natural Science Foundation under Grant 4131004, and by the Deanship of Scientific Research at King Saud University under the International Research Group Program IRG 14-18. The associate editor coordinating the review of this manuscript and approving it for publication was Prof. K. Selcuk Candan.</t>
  </si>
  <si>
    <t>10.1109/TMM.2015.2430819</t>
  </si>
  <si>
    <t>CK8XC</t>
  </si>
  <si>
    <t>WOS:000356522300010</t>
  </si>
  <si>
    <t>Akbari, M; Chua, TS</t>
  </si>
  <si>
    <t>Akbari, Mohammad; Chua, Tat-Seng</t>
  </si>
  <si>
    <t>Leveraging Behavioral Factorization and Prior Knowledge for Community Discovery and Profiling</t>
  </si>
  <si>
    <t>WSDM'17: PROCEEDINGS OF THE TENTH ACM INTERNATIONAL CONFERENCE ON WEB SEARCH AND DATA MINING</t>
  </si>
  <si>
    <t>10th ACM International Conference on Web Search and Data Mining (WSDM)</t>
  </si>
  <si>
    <t>FEB 06-10, 2017</t>
  </si>
  <si>
    <t>Cambridge, ENGLAND</t>
  </si>
  <si>
    <t>Assoc Comp Machinery,Assoc Comp Machinery Special Interest Grp Informat Retrieval,Assoc Comp Machinery SIGMOD,Assoc Comp Machinery SIGKDD,Assoc Comp Machinery SIGWEB</t>
  </si>
  <si>
    <t>Group Profiling; User Profiling; Social Networks; Latent Space Learning; Factorization; Wellness</t>
  </si>
  <si>
    <t>Recently community detection has attracted much interest in social media to understand the collective behaviours of users and allow individuals to be modeled in the context of the group. Most existing approaches for community detection exploit either users' social links or their published content, aiming at discovering groups of densely connected or highly similar users. They often fail to find effective communities due to excessive noise in content, sparsity in links, and heterogenous behaviours of users in social media. Further, they are unable to provide insights and rationales behind the formation of the group and the collective behaviours of the users. To tackle these challenges, we propose to discover communities in a low- dimensional latent space in which we simultaneously learn the representation of users and communities. In particular, we integrated different social views of the network into a low-dimensional latent space in which we sought dense clusters of users as communities. By imposing a Laplacian regularizer into affiliation matrix, we further incorporated prior knowledge into the community discovery process. Finally community profiles were computed by a linear operator integrating the profiles of members. Taking the wellness domain as an example, we conducted experiments on a large scale real world dataset of users tweeting about diabetes and its related concepts, which demonstrate the effectiveness of our approach in discovering and profiling user communities.</t>
  </si>
  <si>
    <t>[Akbari, Mohammad; Chua, Tat-Seng] Natl Univ Singapore, Singapore, Singapore</t>
  </si>
  <si>
    <t>Akbari, M (corresponding author), Natl Univ Singapore, Singapore, Singapore.</t>
  </si>
  <si>
    <t>akbari@u.nus.edu; chuats@comp.nus.edu.sg</t>
  </si>
  <si>
    <t>/AAC-6380-2021; Wang, Meng/AEZ-9059-2022</t>
  </si>
  <si>
    <t>Yang, jinhua/0009-0005-8469-8892</t>
  </si>
  <si>
    <t>National Research Foundation, Prime Minister's Office, Singapore under IRC@SG Funding Initiative</t>
  </si>
  <si>
    <t>National Research Foundation, Prime Minister's Office, Singapore under IRC@SG Funding Initiative(National Research Foundation, Singapore)</t>
  </si>
  <si>
    <t>This research is part of NExT++ project, supported by the National Research Foundation, Prime Minister's Office, Singapore under its IRC@SG Funding Initiative.</t>
  </si>
  <si>
    <t>978-1-4503-4675-7</t>
  </si>
  <si>
    <t>10.1145/3018661.3018693</t>
  </si>
  <si>
    <t>Computer Science, Interdisciplinary Applications; Computer Science, Software Engineering; Computer Science, Theory &amp; Methods</t>
  </si>
  <si>
    <t>BL7YI</t>
  </si>
  <si>
    <t>WOS:000455803400009</t>
  </si>
  <si>
    <t>Alsini, A; Datta, A; Li, JX; Huynh, D</t>
  </si>
  <si>
    <t>Cong, G; Peng, WC; Zhang, WE; Li, C; Sun, A</t>
  </si>
  <si>
    <t>Alsini, Areej; Datta, Amitava; Li, Jianxin; Huynh, Du</t>
  </si>
  <si>
    <t>Empirical Analysis of Factors Influencing Twitter Hashtag Recommendation on Detected Communities</t>
  </si>
  <si>
    <t>ADVANCED DATA MINING AND APPLICATIONS, ADMA 2017</t>
  </si>
  <si>
    <t>International Conference on Advanced Data Mining and Applications (ADMA)</t>
  </si>
  <si>
    <t>NOV 05-06, 2017</t>
  </si>
  <si>
    <t>Social networks; Twitter; Hashtag recommendation; Community detection; User profiling</t>
  </si>
  <si>
    <t>Due to the limited length of tweets, hashtags are often used by users in their tweets. Thus, hashtag recommendation is highly desirable for users in Twitter to find useful hashtags when they type in tweets. However, there are many factors that may affect the effectiveness of hashtag recommendation, which includes social relationships, textual information and user profiling based on hashtag preference. In this paper, we aim to analyse the effect of these factors in hashtag recommendation on the detected communities in Twitter. In details, we seek answers to the two questions: What is the most significant factor in recommending hashtags in the context of detected communities? How the different community detection algorithms and the size of the communities affect the performance of hashtag recommendation? To answer these questions, we detect the communities using two algorithms: Breadth First Search (BFS) and Clique Percolation Method (CPM). On the randomly detected communities, we investigate the quality and the behaviour of the recommended hashtags people consumed. From the extensive experimental results, we have the following conclusions. First, social factor is the most significant factor along with the textual factor for hashtag recommendation. Second, we find that the quality of the hashtag recommendation in the community detected using CPM clearly outperforms that using BFS. Third, incorporating user profiling increases the quality of the recommended hashtags.</t>
  </si>
  <si>
    <t>[Alsini, Areej; Datta, Amitava; Li, Jianxin; Huynh, Du] Univ Western Australia, Sch Comp Sci &amp; Software Engn, Crawley, WA 6009, Australia</t>
  </si>
  <si>
    <t>University of Western Australia</t>
  </si>
  <si>
    <t>Alsini, A (corresponding author), Univ Western Australia, Sch Comp Sci &amp; Software Engn, Crawley, WA 6009, Australia.</t>
  </si>
  <si>
    <t>areej.alsini@research.uwa.edu.au; amitava.datta@uwa.edu.au; jianxin.li@uwa.edu.au; du.huynh@uwa.edu.au</t>
  </si>
  <si>
    <t>Li, Jianxin/IVH-0568-2023; Huynh, Du/C-5440-2013; Alsini, Areej/GLU-0548-2022; Datta, Amitava/A-3244-2008</t>
  </si>
  <si>
    <t>Li, Jianxin/0000-0002-9059-330X; Huynh, Du/0000-0003-3080-9655; Alsini, Areej/0000-0001-7237-2717; Datta, Amitava/0000-0001-6916-7907</t>
  </si>
  <si>
    <t>ARC Discovery Project [DP160102114]; UWA startup grant</t>
  </si>
  <si>
    <t>ARC Discovery Project(Australian Research Council); UWA startup grant</t>
  </si>
  <si>
    <t>This work is partially supported by the ARC Discovery Project under grant No. DP160102114 and UWA startup grant.</t>
  </si>
  <si>
    <t>978-3-319-69179-4; 978-3-319-69178-7</t>
  </si>
  <si>
    <t>10.1007/978-3-319-69179-4_9</t>
  </si>
  <si>
    <t>BL3PD</t>
  </si>
  <si>
    <t>WOS:000449973300009</t>
  </si>
  <si>
    <t>Chen, H; Deng, S</t>
  </si>
  <si>
    <t>Chen, Hui; Deng, Song</t>
  </si>
  <si>
    <t>User Interest Model at Multiple Dimensions and Multiple Granularities</t>
  </si>
  <si>
    <t>PROCEEDINGS OF THE 2016 INTERNATIONAL CONFERENCE ON COMPUTER ENGINEERING AND INFORMATION SYSTEMS</t>
  </si>
  <si>
    <t>ACSR-Advances in Comptuer Science Research</t>
  </si>
  <si>
    <t>International Conference on Computer Engineering and Information System (CEIS)</t>
  </si>
  <si>
    <t>NOV 12-13, 2016</t>
  </si>
  <si>
    <t>user interest; meta-interest classification tree; titled time window; time decay model</t>
  </si>
  <si>
    <t>Finding user's interest and pushing related resources to user would be the best solution to aim the problem of Information Overload and Lost in Internet. This paper designs a user interest model with multiple dimensions and multiple granularities, named UIM. In UIM, the interest concepts are kept by a hierarchical concept tree at different granularities, the history of interest are maintained with titled time window at multiple time granularities, and moreover current interest are discriminated from history ones by gradually fading the weights of interests. The results of simulations show that UIM is efficient to be maintained, can quickly extract users important interests in different time windows, and the correctness of finding user interest is prior to analogous methods.</t>
  </si>
  <si>
    <t>[Chen, Hui; Deng, Song] Jiangxi Univ Finance &amp; Econ, Sch Software &amp; Commun Engn, Nanchang, Jiangxi, Peoples R China</t>
  </si>
  <si>
    <t>Chen, H (corresponding author), Jiangxi Univ Finance &amp; Econ, Sch Software &amp; Commun Engn, Nanchang, Jiangxi, Peoples R China.</t>
  </si>
  <si>
    <t>chen_hui@126.com; dengsong@126.com</t>
  </si>
  <si>
    <t>978-94-6252-283-1</t>
  </si>
  <si>
    <t>Computer Science, Theory &amp; Methods; Engineering, Multidisciplinary</t>
  </si>
  <si>
    <t>BG7SY</t>
  </si>
  <si>
    <t>WOS:000391704500027</t>
  </si>
  <si>
    <t>Dong, YF; Huang, YQ; Hu, PW; Zhang, P; Wang, YZ</t>
  </si>
  <si>
    <t>Dong, Yifan; Huang, Yanqun; Hu, Pingwang; Zhang, Peng; Wang, Yuzhen</t>
  </si>
  <si>
    <t>The effect of picture attributes of online ordering pages on visual attention and user experience</t>
  </si>
  <si>
    <t>INTERNATIONAL JOURNAL OF INDUSTRIAL ERGONOMICS</t>
  </si>
  <si>
    <t>Online ordering page; Visual attention; User experience; Picture attributes</t>
  </si>
  <si>
    <t>BEHAVIORAL INTENTION; CONSUMER RESPONSES; COLOR SATURATION; FOOD; PRODUCT; DESIGN; ADVERTISEMENTS; INFORMATION; ACCEPTANCE; PREFERENCE</t>
  </si>
  <si>
    <t>The popularity of online ordering services is increasing daily, with food pictures playing a critical role in influencing user attention and experience. In this study, 58 participants were enrolled in a 2 (saturation: higher vs. lower) x 3 (Area of interest: category vs. picture vs. text) within-subject experiment using large and small pictures to evaluate the impact of picture attributes on user responses. A combination of eye-tracking technology and a questionnaire survey was used for the measurement. The results suggest that for larger food pictures, the picture area received more attention than the category and text areas when pictures were highly saturated, whereas the category information was more appealing than other areas when pictures were low saturated, and the user experience of the overall page was higher than in other cases. For smaller food pictures, the picture area attracted initial attention, whereas the text area gained more fixation than the other areas. The findings of this study provide empirical suggestions for designing online interfaces for ordering services and webpages.</t>
  </si>
  <si>
    <t>[Dong, Yifan; Huang, Yanqun; Wang, Yuzhen] Tianjin Univ, Key Lab Mech Theory &amp; Equipment Design, Minist Educ, Tianjin 300354, Peoples R China; [Huang, Yanqun] Tianjin Renai Coll, Tianjin 301636, Peoples R China; [Hu, Pingwang; Zhang, Peng] Univ Army Mil Transportat, Sch Automobile NCO, Bengbu 233011, Anhui, Peoples R China</t>
  </si>
  <si>
    <t>Tianjin University; Tianjin University; Tianjin Renai College</t>
  </si>
  <si>
    <t>Huang, YQ (corresponding author), Tianjin Univ, Key Lab Mech Theory &amp; Equipment Design, Minist Educ, Tianjin 300354, Peoples R China.</t>
  </si>
  <si>
    <t>yanqunhuang@tju.edu.cn</t>
  </si>
  <si>
    <t>Huang, Yanqun/0000-0002-5352-257X</t>
  </si>
  <si>
    <t>National Natural Science Foundation of China [51875399]; Natural Science Foundation of Tianjin City [19JCYBJC19500]</t>
  </si>
  <si>
    <t>National Natural Science Foundation of China(National Natural Science Foundation of China (NSFC)); Natural Science Foundation of Tianjin City(Natural Science Foundation of Tianjin)</t>
  </si>
  <si>
    <t>This work was supported by the National Natural Science Foundation of China (Grant No. 51875399) and the Natural Science Foundation of Tianjin City (Grant No. 19JCYBJC19500) . We would like to thank all participants for their support. Furthermore, we thank the editor and anonymous reviewers for their valuable comments and suggestions on this paper.</t>
  </si>
  <si>
    <t>0169-8141</t>
  </si>
  <si>
    <t>1872-8219</t>
  </si>
  <si>
    <t>INT J IND ERGONOM</t>
  </si>
  <si>
    <t>Int. J. Ind. Ergon.</t>
  </si>
  <si>
    <t>10.1016/j.ergon.2023.103477</t>
  </si>
  <si>
    <t>JUN 2023</t>
  </si>
  <si>
    <t>Engineering, Industrial; Ergonomics</t>
  </si>
  <si>
    <t>L6MV8</t>
  </si>
  <si>
    <t>WOS:001024393300001</t>
  </si>
  <si>
    <t>Hansen, MJ; Birol, G</t>
  </si>
  <si>
    <t>Hansen, Malin J.; Birol, Guelnur</t>
  </si>
  <si>
    <t>Longitudinal Study of Student Attitudes in a Biology Program</t>
  </si>
  <si>
    <t>CBE-LIFE SCIENCES EDUCATION</t>
  </si>
  <si>
    <t>COLORADO LEARNING ATTITUDES; SCIENCE SURVEY; BELIEFS; PHYSICS</t>
  </si>
  <si>
    <t>This is among the first longitudinal studies to report student attitudes across 4 yr of a university program. We found that the attitudes of students in biology become significantly more expert-like from the first year to the fourth year of the program, that is, there was a significant positive shift in students' overall percent favorable scores from 64.5 to 72%, as opposed to the expert response, which averaged 90%. There was a significant positive shift for the real world connection category (78-85%), the enjoyment (personal interest) category (74-82%), and the conceptual connections/memorization category (66-74%). Moreover, there was a significant correlation between students' overall percent favorable scores and performance (cumulative grade point average) at the end, but not at the beginning, of the fourth year, with high-performing students having significantly more expert-like attitudes than low-performing students. The correlation between percent favorable score and performance was the strongest for the problem solving: synthesis and application category, in which the highest-performing students finished their fourth year with 90% favorable compared with 35% favorable for the lowest-performing students. A comparison of these results with previously reported results and their implications for teaching are discussed.</t>
  </si>
  <si>
    <t>[Hansen, Malin J.; Birol, Guelnur] Univ British Columbia, Dept Zool, Vancouver, BC V6T 1Z4, Canada</t>
  </si>
  <si>
    <t>University of British Columbia</t>
  </si>
  <si>
    <t>Hansen, MJ (corresponding author), Univ British Columbia, Dept Zool, 6270 Univ Blvd, Vancouver, BC V6T 1Z4, Canada.</t>
  </si>
  <si>
    <t>hansen@zoology.ubc.ca</t>
  </si>
  <si>
    <t>Carl Wieman Science Education Initiative-Life Sciences; Science Center for Learning and Teaching at the UBC</t>
  </si>
  <si>
    <t>This work is fully funded by the Carl Wieman Science Education Initiative-Life Sciences and partly funded by the Science Center for Learning and Teaching at the UBC. The authors thank Drs. Carl Wieman, Sarah Gilbert, George Spiegelman, and Trish Schulte, and the CWSEI Science Teaching and Learning Fellows for their support and feedback; Ms. Shona Ellis for her help with student recruitment for the survey participation; Dr. Ido Roll for his expert opinion on the statistical analysis; Katherine Semsar, Jennifer Knight, and Michelle Smith for sharing their data on expert agreements on the CLASS-Bio; and countless faculty members in the biology program of UBC for their support and allowing us run the survey in their courses. The authors also thank all students who participated in this work.</t>
  </si>
  <si>
    <t>AMER SOC CELL BIOLOGY</t>
  </si>
  <si>
    <t>BETHESDA</t>
  </si>
  <si>
    <t>8120 WOODMONT AVE, STE 750, BETHESDA, MD 20814-2755 USA</t>
  </si>
  <si>
    <t>1931-7913</t>
  </si>
  <si>
    <t>CBE-LIFE SCI EDUC</t>
  </si>
  <si>
    <t>CBE-Life Sci. Educ.</t>
  </si>
  <si>
    <t>10.1187/cbe.13-06-0124</t>
  </si>
  <si>
    <t>AM4GY</t>
  </si>
  <si>
    <t>WOS:000339812800015</t>
  </si>
  <si>
    <t>Gong, X; Xie, ZQ</t>
  </si>
  <si>
    <t>Gong, Xue; Xie, Zhongqu</t>
  </si>
  <si>
    <t>Toward Emotion-Aware AI Robot Engagement: A Dual-Stream Learning Framework for Informal Science Communication in Diverse Cultural Contexts</t>
  </si>
  <si>
    <t>SAGE OPEN</t>
  </si>
  <si>
    <t>data science applications in education; human-computer interface; media in education; social media; informal learning</t>
  </si>
  <si>
    <t>RECOGNITION</t>
  </si>
  <si>
    <t>To enhance learner engagement in traditional science communication, we innovative detection framework that based on long short-term memory (LSTM) networks. This framework equips AI robots with the capability to actively track fluctuations by combining sentiment-driven analysis and adaptive prediction mechanisms. First, we evaluate emotional attitudes on platforms such as YouTube and Bilibili, utilizing an emotion scoring system to capture shifts in learner preferences and interest levels, thereby creating a curated evaluation dataset for science content. Next, we enhance the robot's facial emotion recognition performance during real-time interaction through convolutional neural network (CNN) training, which enables more accurate and personalized content recommendations. Finally, we integrate these features through an LSTM network, allowing the AI robot to dynamically assess and respond to learner interest. This comprehensive framework enhances emotional feedback mechanisms, enabling precise and real-time content recommendations. It also optimizes the role of AI robots as interactive science communicators to boost scientific literacy and engagement. This study contributes to science communication by enhancing the predictability of learner interest. It enables AI robots to interpret emotional responses to scientific texts with greater precision and personalization.</t>
  </si>
  <si>
    <t>[Gong, Xue] Nanjing Inst Technol, Nanjing, Jiangsu, Peoples R China; [Xie, Zhongqu] Nanjing Univ Sci &amp; Technol, Nanjing, Jiangsu, Peoples R China</t>
  </si>
  <si>
    <t>Nanjing Institute of Technology; Nanjing University of Science &amp; Technology</t>
  </si>
  <si>
    <t>Xie, ZQ (corresponding author), Nanjing Univ Sci &amp; Technol, Sch Mech Engn, Xiaolingwei St 200, Nanjing 210094, Jiangsu, Peoples R China.</t>
  </si>
  <si>
    <t>xiezq@njust.edu.cn</t>
  </si>
  <si>
    <t>Xie, Zhongqu/0000-0002-9660-2588</t>
  </si>
  <si>
    <t>Nanjing Institute of Technology Talent Introduction Research Start-up Fun [YKJ202455]; the National Natural Science Foundation of China under grant [52305024]; Nanjing Institute of Technology Higher Education Research Project [2025GJZC38]; the Natural Science Foundation of Jiangsu Province under grant [BK20230928]; Jiangsu University Philosophy and Social Science Research General Project [2025SJYB0311]; Nanjing Institute of Technology Postgraduate Education and Teaching Reform Project [2025YJYJG05]; Jiangsu Provincial Social Science Fund Project [25YSC007]; Arts Project of National Social Science Fund of China [25CG240]</t>
  </si>
  <si>
    <t>Nanjing Institute of Technology Talent Introduction Research Start-up Fun; the National Natural Science Foundation of China under grant; Nanjing Institute of Technology Higher Education Research Project; the Natural Science Foundation of Jiangsu Province under grant(Natural Science Foundation of Jiangsu Province); Jiangsu University Philosophy and Social Science Research General Project; Nanjing Institute of Technology Postgraduate Education and Teaching Reform Project; Jiangsu Provincial Social Science Fund Project; Arts Project of National Social Science Fund of China</t>
  </si>
  <si>
    <t>The authors disclosed receipt of the following financial support for the research, authorship, and/or publication of this article: The work is funded by The Arts Project of National Social Science Fund of China under grant 25CG240, Jiangsu Provincial Social Science Fund Project under grant 25YSC007, Nanjing Institute of Technology Talent Introduction Research Start-up Fund Project under grant YKJ202455, the National Natural Science Foundation of China under grant 52305024, the Natural Science Foundation of Jiangsu Province under grant BK20230928, Nanjing Institute of Technology Postgraduate Education and Teaching Reform Project under grant 2025YJYJG05, Nanjing Institute of Technology Higher Education Research Project under grant 2025GJZC38, Jiangsu University Philosophy and Social Science Research General Project under grant 2025SJYB0311, the Digital Intelligence Committee for Arts, Physical Education, and Aesthetic Education of the China Educational Technology Association Research Project under grant YTM2025-M02.</t>
  </si>
  <si>
    <t>2158-2440</t>
  </si>
  <si>
    <t>SAGE Open</t>
  </si>
  <si>
    <t>10.1177/21582440251403253</t>
  </si>
  <si>
    <t>N2913</t>
  </si>
  <si>
    <t>WOS:001631426900001</t>
  </si>
  <si>
    <t>Zhang, QB; Yang, XC; Chen, H; Wang, B; Sun, Z; Zhou, XM</t>
  </si>
  <si>
    <t>Zhang, Qingbo; Yang, Xiaochun; Chen, Hao; Wang, Bin; Sun, Zhu; Zhou, Xiangmin</t>
  </si>
  <si>
    <t>Adaptive Intention Learning for Session-Based Recommendation</t>
  </si>
  <si>
    <t>In recent years, session-based recommender systems (SRSs) have emerged as a significant research focus within the recommendation field. Capturing user intentions to infer user interest accordingly has proven to be effective in enhancing the accuracy of SRSs. However, existing techniques assume that all sessions have the same number of intentions or that the items in one category belonging to the same session reflect the same intention. In real applications, such as e-commerce, sessions may have different numbers of intentions, and the same type of items in a session may correspond to different intentions. As a result, existing techniques cannot guarantee high-quality user interest prediction. In this article, we propose a novel Adaptive Intention Learning Network (AILN) to capture an adaptive number of intentions for each session, thereby enhancing the accuracy of user interest inference. Specifically, we design an intention evaluation network (IEN) to evaluate whether a subsequence of a session corresponds to a valid intention, and an intention generation network (IGN) to learn the representation of a valid intention. By checking each subsequence of a session, IEN and IGN enable the incremental learning of a session-specific intention hierarchy (IH) to store valid intentions of the session. To reduce the cost of building the IH, we propose a pruning strategy that exploits the intention validity to avoid unnecessary evaluation. The representative intentions are selected from IH and input into a designed interest predictor to infer the user interest. Experimental results on two real-world datasets demonstrate the superiority of our proposed AILN.</t>
  </si>
  <si>
    <t>[Zhang, Qingbo] Northeastern Univ, Comp Sci &amp; Engn, Shenyang, Peoples R China; [Yang, Xiaochun; Chen, Hao] Northeastern Univ, Shenyang, Peoples R China; [Wang, Bin] Natl Frontiers Sci Ctr Ind Intelligence &amp; Syst Opt, Shenyang, Peoples R China; [Wang, Bin] Northeastern Univ, Key Lab Data Analyt &amp; Optimizat Smart Ind, Minist Educ, Shenyang, Peoples R China; [Sun, Zhu] Singapore Univ Technol &amp; Design, Singapore, Singapore; [Zhou, Xiangmin] RMIT Univ, Melbourne, Australia</t>
  </si>
  <si>
    <t>Northeastern University - China; Northeastern University - China; Northeastern University - China; Singapore University of Technology &amp; Design; Royal Melbourne Institute of Technology (RMIT)</t>
  </si>
  <si>
    <t>Yang, XC (corresponding author), Northeastern Univ, Shenyang, Peoples R China.</t>
  </si>
  <si>
    <t>qingbozhang09@gmail.com; yangxc@mail.neu.edu.cn; 1115152483@qq.com; binwang@mail.neu.edu.cn; zhu_sun@sutd.edu.sg; xiangmin.zhou@rmit.edu.au</t>
  </si>
  <si>
    <t>Zhou, Xiangmin/LGY-8981-2024; SUN, ZHU/OJU-5550-2025</t>
  </si>
  <si>
    <t>SUN, ZHU/0000-0002-3350-7022; , chen/0000-0002-5254-3491</t>
  </si>
  <si>
    <t>National Key Research and Development Program of China [2024YFF0617702]; National Natural Science Foundation of China [U22A2025, 62072088, U23A20309]; The 111 Project [B16009]</t>
  </si>
  <si>
    <t>National Key Research and Development Program of China(National Key Research &amp; Development Program of China); National Natural Science Foundation of China(National Natural Science Foundation of China (NSFC)); The 111 Project(Ministry of Education, China - 111 Project)</t>
  </si>
  <si>
    <t>The work is partially supported by the National Key Research and Development Program of China (2024YFF0617702) , the National Natural Science Foundation of China (Nos. U22A2025, 62072088, U23A20309) , and 111 Project (No. B16009) .</t>
  </si>
  <si>
    <t>10.1145/3709004</t>
  </si>
  <si>
    <t>2ET5R</t>
  </si>
  <si>
    <t>WOS:001480916600002</t>
  </si>
  <si>
    <t>Bojey, M; Hui, BW; Campbell, R</t>
  </si>
  <si>
    <t>TrausanMatu, S; Boyer, KE; Crosby, M; Panourgia, K</t>
  </si>
  <si>
    <t>Bojey, Matthew; Hui, Bowen; Campbell, Robert</t>
  </si>
  <si>
    <t>Engaging Higher Order Thinking Skills with a Personalized Physics Tutoring System</t>
  </si>
  <si>
    <t>INTELLIGENT TUTORING SYSTEMS, ITS 2014</t>
  </si>
  <si>
    <t>12th International Conference on Intelligent Tutoring Systems (ITS)</t>
  </si>
  <si>
    <t>JUN 05-09, 2014</t>
  </si>
  <si>
    <t>Assoc Advancement Artificial Intelligence,MARi,Int Artificial Intelligence Educ Soc</t>
  </si>
  <si>
    <t>Probabilistic user modeling; dynamic Bayesian networks; higher order cognitive skills; Bloom's taxonomy; physics education</t>
  </si>
  <si>
    <t>Recent research shows a lack of student interest and declined enrollment in physics. Our system offers four levels of difficulty with activities that enable students to exercise a range of lower and higher order cognitive skills. Moreover, we adopt existing methods in probabilistic user modeling to provide personalized help. Our work models both domain concepts as well as user attitudes.</t>
  </si>
  <si>
    <t>[Bojey, Matthew; Hui, Bowen] Univ British Columbia, Dept Comp Sci, Vancouver, BC V5Z 1M9, Canada; [Campbell, Robert] Univ British Columbia, Fac Educ, Vancouver, BC V5Z 1M9, Canada</t>
  </si>
  <si>
    <t>University of British Columbia; University of British Columbia</t>
  </si>
  <si>
    <t>Bojey, M (corresponding author), Univ British Columbia, Dept Comp Sci, Vancouver, BC V5Z 1M9, Canada.</t>
  </si>
  <si>
    <t>Hui, Bowen/ABB-8253-2021</t>
  </si>
  <si>
    <t>978-3-319-07221-0; 978-3-319-07220-3</t>
  </si>
  <si>
    <t>BB3VL</t>
  </si>
  <si>
    <t>WOS:000343081600078</t>
  </si>
  <si>
    <t>Maillo, MIS; De La Riva, MSDF</t>
  </si>
  <si>
    <t>Serrano Maillo, Ma Isabel; Fernandez De La Riva, Manuel Sanchez De Diego</t>
  </si>
  <si>
    <t>TEACHING CONSTITUTIONAL LAW OUTSIDE THE LAW SCHOOL</t>
  </si>
  <si>
    <t>REVISTA GENERAL DE DERECHO CONSTITUCIONAL</t>
  </si>
  <si>
    <t>Constitutional Law; Journalism</t>
  </si>
  <si>
    <t>With this work we just want make a little consideration on constitutional law teaching outside the law school, which means overcoming certain obstacles and adapt to a different type of student interests, beyond the legal world. As a central part of our discussion, we propose a practice that has been very successful in the legal subjects taught in journalism degree, it helps to know the reality, to be informed and understand how important constitutional law is.</t>
  </si>
  <si>
    <t>[Serrano Maillo, Ma Isabel; Fernandez De La Riva, Manuel Sanchez De Diego] Univ Complutense Madrid, Madrid, Spain</t>
  </si>
  <si>
    <t>Complutense University of Madrid</t>
  </si>
  <si>
    <t>Maillo, MIS (corresponding author), Univ Complutense Madrid, Madrid, Spain.</t>
  </si>
  <si>
    <t>sabela_serrano@yahoo.com; manuels@ccinfucm.es</t>
  </si>
  <si>
    <t>/AAB-6283-2019</t>
  </si>
  <si>
    <t>Sánchez de Diego Fernández de la Riva, Manuel/0000-0001-8457-237X</t>
  </si>
  <si>
    <t>IUSTEL</t>
  </si>
  <si>
    <t>MADRID</t>
  </si>
  <si>
    <t>C PRINCESA NO 29, 2A DCHA, MADRID, 28008, SPAIN</t>
  </si>
  <si>
    <t>1886-7650</t>
  </si>
  <si>
    <t>1886-6212</t>
  </si>
  <si>
    <t>REV GEN DERECHO CONS</t>
  </si>
  <si>
    <t>Rev. Gen. Derecho Const.</t>
  </si>
  <si>
    <t>V6Z1Y</t>
  </si>
  <si>
    <t>WOS:000420748500042</t>
  </si>
  <si>
    <t>Nguyen, H; Xu, Y; Li, YF</t>
  </si>
  <si>
    <t>Liu, J; Bailey, J</t>
  </si>
  <si>
    <t>Hanh Nguyen; Xu, Yue; Li, Yuefeng</t>
  </si>
  <si>
    <t>Frequent Semantic Patterns for Document Relevance Ranking</t>
  </si>
  <si>
    <t>AI 2019: ADVANCES IN ARTIFICIAL INTELLIGENCE</t>
  </si>
  <si>
    <t>32nd Australasian Joint Conference on Artificial Intelligence</t>
  </si>
  <si>
    <t>DEC 02-05, 2019</t>
  </si>
  <si>
    <t>Adelaide, AUSTRALIA</t>
  </si>
  <si>
    <t>Natl Comm Artificial Intelligence Australian Comp Soc,Univ S Australia</t>
  </si>
  <si>
    <t>Topic model; LDA; Information filtering; Pattern; discovery; Ontology</t>
  </si>
  <si>
    <t>Modelling user interest has been a challenge for improving the performance of information filtering systems (IFs). Currently, there have been term-based, phrase-based, and pattern-based approaches in modelling user interest [2,5,13]. Patterns have been said to convey more specific and relevant information in modelling user's interest [5]. However, the existing patterns such as frequent and closed patterns are all generated based on their statistical features such as frequency. But their semantic meaning was ignored. This study proposes a new information filtering model named as Frequent Semantic Patterns for Document Relevance Ranking, shorted as FSPnIF. In particular, a new type of patterns, called frequent semantic pattern (FSP), is proposed to represent user's interest. The patterns are representative as they are generated from the top highly frequent words in the training corpus. These patterns also convey semantic meanings because they are verified by meaningful concepts in ontology. A new method to measure document relevance based on FSPs is also proposed to filter relevant documents in IFs. The model was evaluated in IFs using RCV1 and R8 datasets. The results of extensive experiments show that the new proposed model significantly outperformed all the state-of-the-art baseline models according to five main evaluating measures.</t>
  </si>
  <si>
    <t>[Hanh Nguyen; Xu, Yue; Li, Yuefeng] Queensland Univ Technol QUT, Sch Elect Engn &amp; Comp Sci, Brisbane, Qld 4001, Australia</t>
  </si>
  <si>
    <t>Queensland University of Technology (QUT)</t>
  </si>
  <si>
    <t>Nguyen, H (corresponding author), Queensland Univ Technol QUT, Sch Elect Engn &amp; Comp Sci, Brisbane, Qld 4001, Australia.</t>
  </si>
  <si>
    <t>trandiemhanh.nguyen@hdr.qut.edu.au; yue.xu@qut.edu.au; yuefeng.li@qut.edu.au</t>
  </si>
  <si>
    <t>Xu, Yue/AAD-9854-2020; Nguyen, Tran-Diem-Hanh/POU-7728-2026</t>
  </si>
  <si>
    <t>978-3-030-35288-2; 978-3-030-35287-5</t>
  </si>
  <si>
    <t>10.1007/978-3-030-35288-2_34</t>
  </si>
  <si>
    <t>BU6SA</t>
  </si>
  <si>
    <t>WOS:000927874400034</t>
  </si>
  <si>
    <t>Chou, CL; Horng, GJ</t>
  </si>
  <si>
    <t>Chou, Chih-Lun; Horng, Gwo-Jiun</t>
  </si>
  <si>
    <t>Using Cellular Automata to Form an MOTV Society in Mobile Ad-hoc Networks</t>
  </si>
  <si>
    <t>Mobile IPTV (MOTV) society; Cellular automata (CA) clustering; Interest ontology; Mobile ad hoc network (MANET); Zone of interest (ZOI); Mobile user-to-mobile user (M2M)</t>
  </si>
  <si>
    <t>PROTOCOL</t>
  </si>
  <si>
    <t>This paper proposes a novel approach to clustering the interests of mobile users, increasing the lifetime of interest groups, and increasing the throughput in mobile user-to-mobile user environments for mobile IPTV (MOTV) societies. This paper develops an interest ontology of cellular automata (CA) clustering using the zone of interest (ZOI) for mobicast communications in mobile ad hoc network (MANET) environments. The key to the proposed method is to integrate CA clustering with the ontology of users' interests. This paper proposes that both an interest profile (ontology) of users and information about mobile devices can help form a group of MANET-related interests. The current study evaluates the performance of the approach by conducting computer simulations. Simulation results reveal the strengths of the proposed CA-clustering algorithm in terms of increased group lifetime and increased ZOI throughput for MANETs.</t>
  </si>
  <si>
    <t>[Chou, Chih-Lun] Ming Chuan Univ, Dept Informat &amp; Telecommun Engn, Taipei, Taiwan; [Horng, Gwo-Jiun] Southern Taiwan Univ Sci &amp; Technol, Dept Comp Sci &amp; Informat Engn, Tainan, Taiwan</t>
  </si>
  <si>
    <t>Ming Chuan University; Southern Taiwan University of Science &amp; Technology</t>
  </si>
  <si>
    <t>mikechou.3@gmail.com; grojium@gmail.com</t>
  </si>
  <si>
    <t>10.1007/s11277-014-2030-6</t>
  </si>
  <si>
    <t>CA3GB</t>
  </si>
  <si>
    <t>WOS:000348793500010</t>
  </si>
  <si>
    <t>Likavec, S; Osborne, F; Cena, F</t>
  </si>
  <si>
    <t>Likavec, Silvia; Osborne, Francesco; Cena, Federica</t>
  </si>
  <si>
    <t>Property-based Semantic Similarity and Relatedness for Improving Recommendation Accuracy and Diversity</t>
  </si>
  <si>
    <t>INTERNATIONAL JOURNAL ON SEMANTIC WEB AND INFORMATION SYSTEMS</t>
  </si>
  <si>
    <t>Intelligent System; Ontology; Properties; Relatedness; Similarity; User Interest Propagation; User Model</t>
  </si>
  <si>
    <t>ONTOLOGY; FEATURES; SYSTEM</t>
  </si>
  <si>
    <t>The authors introduce new measures of semantic similarity and relatedness for ontological concepts, based on the properties associated to them. They consider two concepts similar if, for some properties they have in common, they also have the same values assigned to these properties. On the other hand, the authors consider two concepts related if they have the same values assigned to different properties. These measures are used in the propagation of user interest values in ontology-based user models to other similar or related concepts in the domain. The authors tested their algorithm in event recommendation domain and in recipe domain and showed that property-based propagation based on similarity outperforms the standard edge-based propagation. Adding relatedness as a criterion for propagation improves diversity without sacrificing accuracy. In addition, assigning a certain relevance to each property improves the accuracy of recommendation. Finally, the property-based spreading activation is effective for cross-domain recommendation.</t>
  </si>
  <si>
    <t>[Likavec, Silvia; Cena, Federica] Univ Turin, Dept Comp Sci, Turin, Italy; [Osborne, Francesco] Open Univ, KMi, Milton Keynes, England</t>
  </si>
  <si>
    <t>University of Turin; Open University - UK</t>
  </si>
  <si>
    <t>Likavec, S (corresponding author), Univ Turin, Dept Comp Sci, Turin, Italy.</t>
  </si>
  <si>
    <t>Osborne, Francesco/0000-0001-6557-3131; Likavec, Silvia/0009-0009-1439-3435; CENA, Federica/0000-0003-3481-3360</t>
  </si>
  <si>
    <t>1552-6283</t>
  </si>
  <si>
    <t>1552-6291</t>
  </si>
  <si>
    <t>INT J SEMANT WEB INF</t>
  </si>
  <si>
    <t>Int. J. Semant. Web Inf. Syst.</t>
  </si>
  <si>
    <t>OCT-DEC</t>
  </si>
  <si>
    <t>10.4018/IJSWIS.2015100101</t>
  </si>
  <si>
    <t>DD9RZ</t>
  </si>
  <si>
    <t>WOS:000370264600001</t>
  </si>
  <si>
    <t>Izumi, A; Harada, F; Shimakawa, H</t>
  </si>
  <si>
    <t>Izumi, Aoba; Harada, Fumiko; Shimakawa, Hiromitsu</t>
  </si>
  <si>
    <t>Combining Deep Learning Mechanisms to Predict Interests from Gaze</t>
  </si>
  <si>
    <t>gaze; interest; saliency map; deep learning; transformer</t>
  </si>
  <si>
    <t>This paper proposes a model to predict users' personal interests from their gaze. Current image processing technologies enable us to identify each user's gaze and pupil diameter. However, they cannot identify user interests. The model uses deep learning technologies. It consists of mechanisms to handle the two kinds of gaze: one specific to individuals and the other common to many people. Its training method utilizes the human property that user interests in objects in vision affect their gaze. Since it is known that pupil diameters increase when users view what they are interested in, we can train the model to predict users' personal interests using the pupil diameters as labels. Notably, the paper not only proposes a model structure to predict personal interests but also examines the process of the modification of parameters of the model to reveal requisites to predict personal interests from gaze. The method enables us to provide personalized information to each user, such as recommendations in VoD services, advertisements during e-shopping, plate annotations in restaurant menus, and so on.</t>
  </si>
  <si>
    <t>[Izumi, Aoba; Harada, Fumiko; Shimakawa, Hiromitsu] Ritsumeikan Univ, Coll Informat Sci &amp; Enginnering, Osaka 5678570, Japan</t>
  </si>
  <si>
    <t>Ritsumeikan University</t>
  </si>
  <si>
    <t>Shimakawa, H (corresponding author), Ritsumeikan Univ, Coll Informat Sci &amp; Enginnering, Osaka 5678570, Japan.</t>
  </si>
  <si>
    <t>aoba250cc@de.is.ritsumei.ac.jp; harada@fc.ritsumei.ac.jp; simakawa@cs.ritsumei.ac.jp</t>
  </si>
  <si>
    <t>Art Research Center, Ritsumeikan University</t>
  </si>
  <si>
    <t>This work was supported by research funding from the Art Research Center, Ritsumeikan University.</t>
  </si>
  <si>
    <t>MAY 9</t>
  </si>
  <si>
    <t>10.3390/s26102975</t>
  </si>
  <si>
    <t>MAY 2026</t>
  </si>
  <si>
    <t>IM7YR</t>
  </si>
  <si>
    <t>WOS:001775392200001</t>
  </si>
  <si>
    <t>Zhou, T; Cao, JX; Zhu, XL; Liu, B; Li, SC</t>
  </si>
  <si>
    <t>Zhou, Tao; Cao, Jiuxin; Zhu, Xuelin; Liu, Bo; Li, Shancang</t>
  </si>
  <si>
    <t>Visual-Textual Sentiment Analysis Enhanced by Hierarchical Cross-Modality Interaction</t>
  </si>
  <si>
    <t>IEEE SYSTEMS JOURNAL</t>
  </si>
  <si>
    <t>Sentiment analysis; Semantics; Visualization; Analytical models; Task analysis; Convolutional neural networks; Learning systems; Attention mechanism; multimodal convolutional neural networks; sentiment analysis; transfer learning</t>
  </si>
  <si>
    <t>Visual-textual sentiment analysis could benefit user understanding in online social networks and enable many useful applications like user profiling and recommendation. However, it faces a set of new challenges, i.e., exacerbated noise problem caused by irrelevant or redundant information in different modalities, and the gap in joint understanding for multimodal sentiment. In this article, we propose hierarchical cross-modality interaction model for visual-textual sentiment analysis. Our model emphasises the consistency and correlation across modalities, by extracting the semantic and sentiment interactions between image and text in a hierarchical way, which could cope with the noise and joint understanding issues, respectively. Hierarchical attention mechanism is first adopted to capture the semantic interaction and purify the information in one modality with the help of the other. Then, multimodal convolutional neural network, which could fully exploit cross-modality sentiment interaction is incorporated, and better joint visual-textual representation is generated. A transfer learning method is further designed to alleviate the impact of noises in real social data. Through extensive experiments on two datasets, we show that our proposed framework greatly surpasses the state-of-the-art approaches. Specifically, the phrase-level text fragment plays an important role in interacting with image regions for joint visual-textual sentiment analysis.</t>
  </si>
  <si>
    <t>[Zhou, Tao; Zhu, Xuelin; Liu, Bo] Southeast Univ, Sch Comp Sci &amp; Engn, Nanjing 211189, Peoples R China; [Cao, Jiuxin] Southeast Univ, Sch Cyber Sci &amp; Engn, Key Lab Comp Network Technol Jiangsu Prov, Nanjing 211189, Peoples R China; [Li, Shancang] Univ West England, Dept Comp Sci &amp; Creat Technol, Bristol BS16 1QY, Avon, England</t>
  </si>
  <si>
    <t>Southeast University - China; Southeast University - China; University of West England</t>
  </si>
  <si>
    <t>Cao, JX (corresponding author), Southeast Univ, Sch Cyber Sci &amp; Engn, Key Lab Comp Network Technol Jiangsu Prov, Nanjing 211189, Peoples R China.</t>
  </si>
  <si>
    <t>zhoutao@seu.edu.cn; jx.cao@seu.edu.cn; zhuxuelin@seu.edu.cn; bliu@seu.edu.cn; shancang.li@uwe.ac.uk</t>
  </si>
  <si>
    <t>zhou, tao/AAH-9986-2020; Zhu, Xuelin/HJY-3543-2023</t>
  </si>
  <si>
    <t>Zhu, Xuelin/0000-0001-7676-2843</t>
  </si>
  <si>
    <t>National Natural Science Foundation of China [61772133, 61972087]; National Social Science Foundation of China [19@ZH014]; Jiangsu Provincial Key Project [BE2018706]; Natural Science Foundation of Jiangsu province [SBK2019022870]; Jiangsu Provincial Key Laboratory of Computer Networking Technology; Jiangsu Provincial Key Laboratory of Network and Information Security [BM2003201]; Key Laboratory of Computer Network and Information Integration of Ministry of Education of China [93K-9]</t>
  </si>
  <si>
    <t>National Natural Science Foundation of China(National Natural Science Foundation of China (NSFC)); National Social Science Foundation of China(National Office of Philosophy and Social Sciences); Jiangsu Provincial Key Project; Natural Science Foundation of Jiangsu province(Natural Science Foundation of Jiangsu Province); Jiangsu Provincial Key Laboratory of Computer Networking Technology; Jiangsu Provincial Key Laboratory of Network and Information Security; Key Laboratory of Computer Network and Information Integration of Ministry of Education of China</t>
  </si>
  <si>
    <t>This work was supported in part by the National Natural Science Foundation of China under Grant 61772133 and Grant 61972087, in part by the National Social Science Foundation of China under Grant 19@ZH014, in part by the Jiangsu Provincial Key Project under Grant BE2018706, in part by the Natural Science Foundation of Jiangsu province under Grant SBK2019022870, in part by the Jiangsu Provincial Key Laboratory of Computer Networking Technology, in part by the Jiangsu Provincial Key Laboratory of Network and Information Security under Grant BM2003201, in part by the Key Laboratory of Computer Network and Information Integration of Ministry of Education of China under Grant 93K-9.</t>
  </si>
  <si>
    <t>1932-8184</t>
  </si>
  <si>
    <t>1937-9234</t>
  </si>
  <si>
    <t>IEEE SYST J</t>
  </si>
  <si>
    <t>IEEE Syst. J.</t>
  </si>
  <si>
    <t>10.1109/JSYST.2020.3026879</t>
  </si>
  <si>
    <t>Computer Science, Information Systems; Engineering, Electrical &amp; Electronic; Operations Research &amp; Management Science; Telecommunications</t>
  </si>
  <si>
    <t>Computer Science; Engineering; Operations Research &amp; Management Science; Telecommunications</t>
  </si>
  <si>
    <t>UJ0ON</t>
  </si>
  <si>
    <t>WOS:000690994700119</t>
  </si>
  <si>
    <t>Li, H; Lei, H; Yang, ML; Zeng, JH; Zhu, D; Fu, SW</t>
  </si>
  <si>
    <t>Li, Heng; Lei, Hang; Yang, Maolin; Zeng, Jinghong; Zhu, Di; Fu, Shouwei</t>
  </si>
  <si>
    <t>A Transformer-Based Fusion Recommendation Model For IPTV Applications</t>
  </si>
  <si>
    <t>2020 3RD INTERNATIONAL CONFERENCE ON ARTIFICIAL INTELLIGENCE AND BIG DATA (ICAIBD 2020)</t>
  </si>
  <si>
    <t>3rd International Conference on Artificial Intelligence and Big Data (ICAIBD)</t>
  </si>
  <si>
    <t>MAY 28-31, 2020</t>
  </si>
  <si>
    <t>IEEE,Sichuan Province Comp Federat</t>
  </si>
  <si>
    <t>recommender systems; IPTV; Transformer; attention mechanism</t>
  </si>
  <si>
    <t>Recommendation models are fundamental primitives of recommender systems that select contents to match users' interests. In real-life IPTV applications, a registered account is usually shared by multiple audiences, e.g., family members, invalidating the potential efforts in extracting user interests from the registered user profiles. Moreover, it is difficult to obtain explicit feedback from audiences due to the boring interactions between users and televisions in practice, i.e., using remote controls. Thus, designing recommendation algorithms to exploit user preference with implicit feedback is crucial for developing efficient recommender systems. In this paper, we present a deep model for IPTV applications, which generate recommendations using the implicit feedback of users. A fusion layer is designed on top of the Transformer framework to obtain the semantic preferences of audiences based on their behavior sequences. The presented model is shown to be effective in our real-life IPTV recommender systems. Empirical experiments on two open datasets also show that our method outperforms state of the art baselines.</t>
  </si>
  <si>
    <t>[Li, Heng; Lei, Hang; Yang, Maolin] Univ Elect Sci &amp; Technol China, Chengdu, Peoples R China; [Zeng, Jinghong; Zhu, Di; Fu, Shouwei] Guizhou BC &amp; TV Informat Network CO LTD, Guiyang, Peoples R China</t>
  </si>
  <si>
    <t>Li, H (corresponding author), Univ Elect Sci &amp; Technol China, Chengdu, Peoples R China.</t>
  </si>
  <si>
    <t>realliheng@gmail.com; hlei@uestc.edu.cn; maolyang@uestc.edu.cn; pngg@qq.com; zhudiemail@qq.com; 291656020@qq.com</t>
  </si>
  <si>
    <t>National Natural Science Foundation of China [61802052]; China Postdoctoral Science Foundation [2017M612947]</t>
  </si>
  <si>
    <t>This work is partially supported by the National Natural Science Foundation of China (Grant No. 61802052), and the China Postdoctoral Science Foundation Funded Project (Grant No. 2017M612947).</t>
  </si>
  <si>
    <t>978-1-7281-9741-8</t>
  </si>
  <si>
    <t>10.1109/icaibd49809.2020.9137497</t>
  </si>
  <si>
    <t>BQ7UM</t>
  </si>
  <si>
    <t>WOS:000618763400034</t>
  </si>
  <si>
    <t>Zheng, JX; Li, M; Wang, SG; Liao, J; Wan, XY</t>
  </si>
  <si>
    <t>Zheng, Jianxing; Li, Min; Wang, Suge; Liao, Jian; Wan, Xiaoya</t>
  </si>
  <si>
    <t>Multi-granularity label-aware user interest modeling for news recommendation</t>
  </si>
  <si>
    <t>News recommendation; Multi-granularity; Hierarchical attention; Interest modeling</t>
  </si>
  <si>
    <t>CLASSIFICATION; WEB</t>
  </si>
  <si>
    <t>The primary method for news recommendations revolves around leveraging the user's browsing history to gauge their interests. Existing models prioritize analyzing news content to infer user interests, ignoring the role of label category information in fine-grained interest modeling. In this paper, we introduce a special approach for personalized news recommendation through a multi-granularity label-aware user interest modeling technique. First, the user's initialized interest representation is modeled by analyzing their interaction with clicked news articles. Then, considering different attractiveness of category labels of news content to the user, a multi-granularity label-aware user interest representation is designed. Meanwhile, by fusing the representations of the coarse-grained labels, fine-grained labels, and news content, we modeled the semantic representation of candidate news. Through aligning the semantic features of candidate news with the label-aware user profile, we predict the user's interest score for the given candidate news item. Experimental findings demonstrate the superiority of the proposed technique over current methods across public datasets, as evidenced by improvements in AUC, MRR, and NDCG metrics.</t>
  </si>
  <si>
    <t>[Zheng, Jianxing; Wang, Suge] Shanxi Univ, Inst Intelligent Informat Proc, Taiyuan 030006, Shanxi, Peoples R China; [Li, Min; Liao, Jian; Wan, Xiaoya] Shanxi Univ, Sch Comp &amp; Informat Technol, Taiyuan 030006, Shanxi, Peoples R China</t>
  </si>
  <si>
    <t>Shanxi University; Shanxi University</t>
  </si>
  <si>
    <t>Wang, SG (corresponding author), Shanxi Univ, Inst Intelligent Informat Proc, Taiyuan 030006, Shanxi, Peoples R China.</t>
  </si>
  <si>
    <t>jxzheng@sxu.edu.cn; 202122408039@email.sxu.edu.cn; wsg@sxu.edu.cn; liaoj@sxu.edu.cn; 202322408045@email.sxu.edu.cn</t>
  </si>
  <si>
    <t>Zheng, Jianxing/0000-0003-3510-2616</t>
  </si>
  <si>
    <t>National Key Research and Development Program of China [2022QY0300-01]; National Natural Science Foundation of China [62272286]; Natural Science Foundation of Shanxi Province [20210302123468, 202303021211021]</t>
  </si>
  <si>
    <t>National Key Research and Development Program of China(National Key Research &amp; Development Program of China); National Natural Science Foundation of China(National Natural Science Foundation of China (NSFC)); Natural Science Foundation of Shanxi Province(Natural Science Foundation of Shanxi Province)</t>
  </si>
  <si>
    <t>This work was partially supported by the National Key Research and Development Program of China (2022QY0300-01), National Natural Science Foundation of China (62272286), and the Natural Science Foundation of Shanxi Province (20210302123468, 202303021211021).</t>
  </si>
  <si>
    <t>10.1007/s11227-024-06502-1</t>
  </si>
  <si>
    <t>L1U9W</t>
  </si>
  <si>
    <t>WOS:001348654300011</t>
  </si>
  <si>
    <t>Ronit, K</t>
  </si>
  <si>
    <t>Institutions of private authority in global governance - Linking territorial forms of self-regulation</t>
  </si>
  <si>
    <t>ADMINISTRATION &amp; SOCIETY</t>
  </si>
  <si>
    <t>GLOBALIZATION; COORDINATION</t>
  </si>
  <si>
    <t>In the current discussion on globalization, it is often argued that state power at the national level has diminished and authority has been surrendered to global market forces. In this context it is ignored that beyond state and market there is a private system of governance linking different territorial levels in which the national sphere continues to be important. Thus, self-regulatory arrangements exist across many policy fields, but business-which is a very globalized interest category-is particularly rich with examples. Various theories are developed to examine self-regulation as an alternative to public regulation through private actors in domestic and international levels. This article seeks to analyze and integrate these theories developed mainly within comparative politics and international relations studies. A successful integration of these perspectives can also help interpret globalization processes and the role of the national sphere in the context of different systems of governance.</t>
  </si>
  <si>
    <t>Univ Copenhagen, Dept Polit Sci, DK-1168 Copenhagen, Denmark</t>
  </si>
  <si>
    <t>University of Copenhagen</t>
  </si>
  <si>
    <t>Ronit, K (corresponding author), Univ Copenhagen, Dept Polit Sci, DK-1168 Copenhagen, Denmark.</t>
  </si>
  <si>
    <t>0095-3997</t>
  </si>
  <si>
    <t>1552-3039</t>
  </si>
  <si>
    <t>ADMIN SOC</t>
  </si>
  <si>
    <t>Adm. Soc.</t>
  </si>
  <si>
    <t>10.1177/00953990122019884</t>
  </si>
  <si>
    <t>Public Administration</t>
  </si>
  <si>
    <t>487AV</t>
  </si>
  <si>
    <t>WOS:000171852300004</t>
  </si>
  <si>
    <t>Wang, DY; Xiong, X; Li, YY; Wang, JH; Tan, QR</t>
  </si>
  <si>
    <t>Wang, Danyang; Xiong, Xi; Li, Yuanyuan; Wang, Jianghe; Tan, Qiurong</t>
  </si>
  <si>
    <t>HCURec: Hierarchical candidate-aware user modeling for news recommendation</t>
  </si>
  <si>
    <t>News recommendation; User interest modeling; Hierarchical model; Knowledge graph</t>
  </si>
  <si>
    <t>Matching candidate news with user interests is critical for news recommendation. Current studies on news recommendation mainly model a single user interest embedding from the user's clicked news. One of the major challenges that affects the recommendation is to match candidate news with the user's multi-field and multi -grained interests. To confront this difficulty, we investigate the multi-grained correlation of user interests and candidate news to obtain their matching features. We propose a hierarchical candidate-aware user modeling framework for news recommendation that matches users' multi-field and multi-grained interests with candidate news. The framework incorporates candidate news into the modeling of user interests at different levels, namely subcategory-level, category-level and global-level, which learn fine-grained, coarse-grained and overall user interests, respectively. The user interest is finally hierarchically matched at different levels with candidate news to achieve accurate targeting. A collection of experiments were carried out on four real large-scale datasets, and the experimental outcomes demonstrate the supremacy of the proposed method over the existing state-of-the-art methods owing to its highly effective and efficient performance of news recommendation.</t>
  </si>
  <si>
    <t>[Wang, Danyang; Xiong, Xi; Wang, Jianghe; Tan, Qiurong] Chengdu Univ Informat Technol, Sch Cybersecur, Chengdu 610225, Peoples R China; [Wang, Danyang; Xiong, Xi; Wang, Jianghe; Tan, Qiurong] Adv Cryptog &amp; Syst Secur Key Lab Sichuan Prov, Chengdu 610225, Peoples R China; [Li, Yuanyuan] Sichuan Univ, West China Sch Med, Chengdu 610041, Peoples R China</t>
  </si>
  <si>
    <t>Chengdu University of Information Technology; Sichuan University</t>
  </si>
  <si>
    <t>Xiong, X (corresponding author), Chengdu Univ Informat Technol, Sch Cybersecur, Chengdu 610225, Peoples R China.;Li, YY (corresponding author), Sichuan Univ, West China Sch Med, Chengdu 610041, Peoples R China.</t>
  </si>
  <si>
    <t>dywang999@outlook.com; flyxiongxi@gmail.com; lyy510@sina.com; dywang999@outlook.com; ningjingzhiyuan@tuytech.com</t>
  </si>
  <si>
    <t>Xiong, Xi/AAH-1080-2020</t>
  </si>
  <si>
    <t>Foundation for Humanities and Social Sciences of Ministry of Education of China [22YJAZH120]; Sichuan Science and Technology Program [23ZDYF2088]; Innovation Capability Enhancement Program of CUIT [KYQN202227]</t>
  </si>
  <si>
    <t>Foundation for Humanities and Social Sciences of Ministry of Education of China; Sichuan Science and Technology Program; Innovation Capability Enhancement Program of CUIT</t>
  </si>
  <si>
    <t>This work was partially supported by the Foundation for Humanities and Social Sciences of Ministry of Education of China under Grant No. 22YJAZH120; the Sichuan Science and Technology Program under Grant No. 23ZDYF2088; the Innovation Capability Enhancement Program of CUIT under Grant No. KYQN202227.</t>
  </si>
  <si>
    <t>A</t>
  </si>
  <si>
    <t>10.1016/j.eswa.2023.120468</t>
  </si>
  <si>
    <t>MAY 2023</t>
  </si>
  <si>
    <t>K6LD4</t>
  </si>
  <si>
    <t>WOS:001017527000001</t>
  </si>
  <si>
    <t>Gong, ZP; Yang, XS; Wang, S; Sui, B</t>
  </si>
  <si>
    <t>Gong Zhiping; Yang Xiaosong; Wang Shuo; Sui Bo</t>
  </si>
  <si>
    <t>Researches on Domain Ontology-based Personalized Information Retrieval in Military Transportation</t>
  </si>
  <si>
    <t>2014 IEEE WORKSHOP ON ELECTRONICS, COMPUTER AND APPLICATIONS</t>
  </si>
  <si>
    <t>IEEE Workshop on Electronics, Computer and Applications (IWECA)</t>
  </si>
  <si>
    <t>MAY 08-09, 2014</t>
  </si>
  <si>
    <t>Military transportation; ontology; personalization; information retrieval model</t>
  </si>
  <si>
    <t>Domain ontology in military transportation is applied to information retrieval to create corresponding personalized user interest models and personalized information retrieval model, construct a knowledge base on basis of domain ontology in military transportation, in order to to improve the efficiency in information retrieval and to provide users with timely, accurate and high-quality personalized services.</t>
  </si>
  <si>
    <t>[Gong Zhiping; Yang Xiaosong; Wang Shuo; Sui Bo] Mil Transport Res Inst, Gen Logist Dept, Tianjin 300161, Peoples R China</t>
  </si>
  <si>
    <t>Gong, ZP (corresponding author), Mil Transport Res Inst, Gen Logist Dept, Tianjin 300161, Peoples R China.</t>
  </si>
  <si>
    <t>gy656694@163.com</t>
  </si>
  <si>
    <t>978-1-4799-4565-8</t>
  </si>
  <si>
    <t>BC7XG</t>
  </si>
  <si>
    <t>WOS:000355281800126</t>
  </si>
  <si>
    <t>Dragoni, M; Pereira, CD; Tettamanzi, AGB</t>
  </si>
  <si>
    <t>Agotnes, T</t>
  </si>
  <si>
    <t>Dragoni, Mauro; Pereira, Celia da Costa; Tettamanzi, Andrea G. B.</t>
  </si>
  <si>
    <t>Learning Fuzzy Models of User Interests in a Semantic Information Retrieval System</t>
  </si>
  <si>
    <t>STAIRS 2010: PROCEEDINGS OF THE FIFTH STARTING AI RESEARCHERS' SYMPOSIUM</t>
  </si>
  <si>
    <t>5th International Symposium for Artificial Intelligence Researchers (STAIRS)</t>
  </si>
  <si>
    <t>AUG 16-20, 2010</t>
  </si>
  <si>
    <t>We propose an approach to usermodel-based information retrieval which uses an evolutionary algorithm to learn fuzzy models of user interests and to dynamically track their changes as the user interacts with the system. The system is ontology-based, in the sense that it considers concepts behind terms instead of simple terms. The approach has been implemented in a real-world prototype newsfeed aggregator with search facilities called IFeed. Experimental results show that our system learns user models effectively. This is proved by both the convergence of the interest degrees contained in the user models population and the increase of the users' activities on the set of proposed documents.</t>
  </si>
  <si>
    <t>[Dragoni, Mauro; Pereira, Celia da Costa; Tettamanzi, Andrea G. B.] Univ Milan, Dipartimento Tecnol Informaz, I-26013 Crema, CR, Italy</t>
  </si>
  <si>
    <t>University of Milan</t>
  </si>
  <si>
    <t>Dragoni, M (corresponding author), Univ Milan, Dipartimento Tecnol Informaz, Via Bramante 65, I-26013 Crema, CR, Italy.</t>
  </si>
  <si>
    <t>mauro.dragoni@unimi.it; celia.pereira@unimi.it; andrea.tettamanzi@unimi.it</t>
  </si>
  <si>
    <t>Tettamanzi, Anea G B/H-5544-2019; Pereira, Célia/HZK-0103-2023</t>
  </si>
  <si>
    <t>Tettamanzi, Anea G B/0000-0002-8877-4654; Dragoni, Mauro/0000-0003-0380-6571</t>
  </si>
  <si>
    <t>1879-8314</t>
  </si>
  <si>
    <t>978-1-60750-676-8; 978-1-60750-675-1</t>
  </si>
  <si>
    <t>10.3233/978-1-60750-676-8-76</t>
  </si>
  <si>
    <t>BHH44</t>
  </si>
  <si>
    <t>WOS:000325429800007</t>
  </si>
  <si>
    <t>Athanasou, JA</t>
  </si>
  <si>
    <t>Athanasou, James A.</t>
  </si>
  <si>
    <t>THE CAREER INTEREST TEST. A BRIEF, STANDA ISED ASSESSMENT OF INTERESTS FOR USE IN EDUCATIONAL AND VOCATIONAL GUIDANCE</t>
  </si>
  <si>
    <t>REVISTA ESPANOLA DE ORIENTACION Y PSICOPEDAGOGIA</t>
  </si>
  <si>
    <t>assessment of career interests; ipsative assessment; person-environment fit theory; career exploration and planning</t>
  </si>
  <si>
    <t>This article describes the Career Interest Test (Version 3.0), which is a 63-item forced choice, individually- or group-administered assessment of seven vocational interest categories: Outdoor, Practical, Scientific, Creative, Business, Office and People Contact interests. It is designed for use in educational and vocational contexts as a practical guide to adolescent career planning. The Career Interest Test is now made freely available for professional use and is also available for free on-line use through www.myfuture.edu.au or www.qualifax.ie or www.smartfutire.edu.au The Career Interest Test offers psychologists and career counsellors information at low cost and with brief testing time. Results can be used to provide reassurance about choices, to narrow the range of options or to stimulate career exploration by indicating the types of work that individuals may want to explore. It is based on the premise that vocational interests (i.e., activity preferences) may be inferred from consistent patterns of likes and dislikes. Technical data on the validity and reliability of the responses are provided.</t>
  </si>
  <si>
    <t>[Athanasou, James A.] Univ Technol Sydney, Fac Educ, Area Diagnost &amp; Psicol Educ, Sydney, NSW, Australia</t>
  </si>
  <si>
    <t>University of Technology Sydney</t>
  </si>
  <si>
    <t>Athanasou, JA (corresponding author), Univ Technol Sydney, Fac Educ, Area Diagnost &amp; Psicol Educ, Sydney, NSW, Australia.</t>
  </si>
  <si>
    <t>UNIV NACL EDUCACION DISTANCIA-UNED, FAC EDUCACION</t>
  </si>
  <si>
    <t>C/ JUAN DEL ROSAL, 14 DESPACHO 2 57, MADRID, 28040, SPAIN</t>
  </si>
  <si>
    <t>1989-7448</t>
  </si>
  <si>
    <t>REV ESP ORIENTAC PSI</t>
  </si>
  <si>
    <t>Rev. Esp. Orientac. Psicopedag.</t>
  </si>
  <si>
    <t>10.5944/reop.vol.17.num.1.2006.11319</t>
  </si>
  <si>
    <t>V6E4W</t>
  </si>
  <si>
    <t>WOS:000420210100001</t>
  </si>
  <si>
    <t>Bedi, P; Richa</t>
  </si>
  <si>
    <t>Mauri, JL; Thampi, SM; Wozniak, M; Marques, O; Krishnaswamy, D; Sahni, S; Callegari, C; Takagi, H; Bojkovic, ZS; Vinod, M; Prasad, NR; Calero, JMA; Rodrigues, J; Que, XY; Meghanathan, N; Sandhu, R; Au, E</t>
  </si>
  <si>
    <t>Bedi, Punam; Richa</t>
  </si>
  <si>
    <t>User Interest Expansion using Spreading activation for Generating Recommendations</t>
  </si>
  <si>
    <t>2015 INTERNATIONAL CONFERENCE ON ADVANCES IN COMPUTING, COMMUNICATIONS AND INFORMATICS (ICACCI)</t>
  </si>
  <si>
    <t>International Conference on Advances in Computing, Communications and Informatics ICACCI</t>
  </si>
  <si>
    <t>SCMS Grp of Inst, Aluva, INDIA</t>
  </si>
  <si>
    <t>SCMS Sch of Engn &amp; Technol,IEEE Commun Soc,IEEE SMC,acm</t>
  </si>
  <si>
    <t>SCMS Grp of Inst</t>
  </si>
  <si>
    <t>Context Aware; Ontology; Recommender System; Diversity; Precision; Recall; F-Measure</t>
  </si>
  <si>
    <t>CONTEXT-AWARE; SYSTEMS</t>
  </si>
  <si>
    <t>In this paper, a novel user interest expansion approach for generating recommendations is proposed. The approach utilizes interest of user as well as semantic relatedness between the items along with context to generate recommendations. Ontologies are used to represent domain knowledge. Spreading activation technique uses the relatedness between concepts of user interest in domain ontology to expand user interest which results in generation of diverse recommendations. A prototype of the system has been designed and developed using various JAVA technologies for Restaurant domain and its performance is evaluated using precision, recall, F1 and diversity metrics. Performance of the proposed Context Aware Recommender Systemwith Expansion of user interest (ECARS) is compared with Context Aware Recommender System (CARS) and Content Based Recommender System (CB) for generating recommendations.</t>
  </si>
  <si>
    <t>[Bedi, Punam; Richa] Univ Delhi, Dept Comp Sci, Delhi, India</t>
  </si>
  <si>
    <t>University of Delhi</t>
  </si>
  <si>
    <t>Bedi, P (corresponding author), Univ Delhi, Dept Comp Sci, Delhi, India.</t>
  </si>
  <si>
    <t>punambedi@ieee.org; rsingh@cs.du.ac.in</t>
  </si>
  <si>
    <t>BEDI, PUNAM/A-9474-2010</t>
  </si>
  <si>
    <t>BEDI, PUNAM/0000-0002-6007-7961</t>
  </si>
  <si>
    <t>978-1-4799-8792-4</t>
  </si>
  <si>
    <t>BF2KP</t>
  </si>
  <si>
    <t>WOS:000380475900129</t>
  </si>
  <si>
    <t>Fan, ZB; Lin, HT; Chen, HY; Deng, BW; Xia, HD; Yan, YK; Li, J</t>
  </si>
  <si>
    <t>Fan, Zhibo; Lin, Hongtao; Chen, Haoyu; Deng, Bowen; Xia, Hedi; Yan, Yuke; Li, James</t>
  </si>
  <si>
    <t>Synergizing Implicit and Explicit User Interests: A Multi-Embedding Retrieval Framework at Pinterest</t>
  </si>
  <si>
    <t>PROCEEDINGS OF THE 31ST ACM SIGKDD CONFERENCE ON KNOWLEDGE DISCOVERY AND DATA MINING V.2, KDD 2025</t>
  </si>
  <si>
    <t>31st International Conference on Knowledge Discovery and Data Mining-KDD</t>
  </si>
  <si>
    <t>AUG 03-07, 2025</t>
  </si>
  <si>
    <t>Association for Computing Machinery,ACM Special Interest Group on Knowledge Discovery and Data Mining</t>
  </si>
  <si>
    <t>Recommendation System; Information Retrieval; Two-Tower Model</t>
  </si>
  <si>
    <t>Industrial recommendation systems are typically composed of multiple stages, including retrieval, ranking, and blending. The retrieval stage plays a critical role in generating a high-recall set of candidate items that covers a wide range of diverse user interests. Effectively covering the diverse and long-tail user interests within this stage poses a significant challenge: traditional two-tower models struggle in this regard due to limited user-item feature interaction and often bias towards top use cases. To address these issues, we propose a novel multi-embedding retrieval framework designed to enhance user interest representation by generating multiple user embeddings conditioned on both implicit and explicit user interests. Implicit interests are captured from user history through a Differentiable Clustering Module (DCM), whereas explicit interests, such as topics that the user has followed, are modeled via Conditional Retrieval (CR). These methodologies represent a form of conditioned user representation learning that involves condition representation construction and associating the target item with the relevant conditions. Synergizing implicit and explicit user interests serves as a complementary approach to achieve more effective and comprehensive candidate retrieval as they benefit on different user segments and extract conditions from different but supplementary sources. Extensive experiments and A/B testing reveal significant improvements in user engagements and feed diversity metrics. Our proposed framework has been successfully deployed on Pinterest home feed.</t>
  </si>
  <si>
    <t>[Fan, Zhibo; Lin, Hongtao; Chen, Haoyu; Deng, Bowen; Xia, Hedi; Yan, Yuke; Li, James] Pinterest, San Francisco, CA 94107 USA</t>
  </si>
  <si>
    <t>Xia, HD (corresponding author), Pinterest, San Francisco, CA 94107 USA.</t>
  </si>
  <si>
    <t>zb1439@outlook.com; hongtaolin@pinterest.com; hchen@pinterest.com; bdeng@pinterest.com; hxia@pinterest.com; yukeyan@pinterest.com; jamesyili@gmail.com</t>
  </si>
  <si>
    <t>Yan, Yuke/OHT-9668-2025</t>
  </si>
  <si>
    <t>Xia, Hedi/0000-0003-0370-4890; Chen, Haoyu/0009-0007-2608-6382</t>
  </si>
  <si>
    <t>979-8-4007-1454-2</t>
  </si>
  <si>
    <t>10.1145/3711896.3737265</t>
  </si>
  <si>
    <t>BZ5EP</t>
  </si>
  <si>
    <t>WOS:001592428900381</t>
  </si>
  <si>
    <t>Kwarikunda, D; Schiefele, U; Ssenyonga, J; Muwonge, CM</t>
  </si>
  <si>
    <t>Kwarikunda, Diana; Schiefele, Ulrich; Ssenyonga, Joseph; Muwonge, Charles Magoba</t>
  </si>
  <si>
    <t>The Relationship between Motivation for, and Interest in, Learning Physics among Lower Secondary School Students in Uganda</t>
  </si>
  <si>
    <t>AFRICAN JOURNAL OF RESEARCH IN MATHEMATICS SCIENCE AND TECHNOLOGY EDUCATION</t>
  </si>
  <si>
    <t>Confirmatory factor analyses; interest in learning physics; lower secondary school; measurement invariance; science motivation questionnaire</t>
  </si>
  <si>
    <t>QUESTIONNAIRE II; SELF-EFFICACY; ACADEMIC-ACHIEVEMENT; SCIENCE; VALIDATION; ATTITUDES; CHEMISTRY; BELIEFS; CONTEXT</t>
  </si>
  <si>
    <t>Motivation and interest affect students' learning especially in Physics, a subject learners perceive as abstract. The present study was guided by three objectives: (a) to adapt and validate the Science Motivation Questionnaire (SMQ-II) for the Ugandan context; (b) to examine whether there are significant differences in motivation for learning Physics with respect to students' gender; and (c) to establish the extent to which students' interest predicts their motivation to learn Physics. The sample comprised 374 randomly selected students from five schools in central Uganda who responded to anonymous questionnaires that included scales from the SMQ-II and the Individual Interest Questionnaire. Data were analysed using confirmatory factor analyses, t-tests and structural equation modelling in SPSS-25 and Mplus-8. The five-factor model solution of the SMQ-II fitted adequately with the present data, with deletion of one item. The modified SMQ-II exhibited invariant factor loadings and intercepts (i.e. strong measurement invariance) when administered to boys and girls. Furthermore, motivation for learning Physics did not vary with gender. Students' interest was related to motivation for learning Physics. Lastly, although students' interest significantly predicted all motivational constructs, we noted considerable predictive strength of interest on students' self-efficacy and self-determination in learning Physics. Implications of these findings for the teaching and learning of Physics at lower secondary school are discussed in the paper.</t>
  </si>
  <si>
    <t>[Kwarikunda, Diana; Schiefele, Ulrich] Univ Potsdam, Dept Educ Psychol, Potsdam, Germany; [Ssenyonga, Joseph] Univ Konstanz, Dept Psychol, Constance, Germany; [Ssenyonga, Joseph; Muwonge, Charles Magoba] Mbarara Univ Sci &amp; Technol, Dept Educ Fdn &amp; Psychol, Mbarara, Uganda</t>
  </si>
  <si>
    <t>University of Potsdam; University of Konstanz; Mbarara University of Science &amp; Technology</t>
  </si>
  <si>
    <t>Kwarikunda, D (corresponding author), Univ Potsdam, Dept Educ Psychol, Potsdam, Germany.</t>
  </si>
  <si>
    <t>dianakwarikunda201516@gmail.com</t>
  </si>
  <si>
    <t>Muwonge, Charles/NXC-0929-2025</t>
  </si>
  <si>
    <t>Katholischer Akademischer Auslander-Dienst</t>
  </si>
  <si>
    <t>This work was supported by Katholischer Akademischer Auslander-Dienst.</t>
  </si>
  <si>
    <t>1811-7295</t>
  </si>
  <si>
    <t>2469-7656</t>
  </si>
  <si>
    <t>AFR J RES MATH SCI T</t>
  </si>
  <si>
    <t>Afr. J. Res. Math. Sci. Technol. Educ.</t>
  </si>
  <si>
    <t>10.1080/18117295.2020.1841961</t>
  </si>
  <si>
    <t>NOV 2020</t>
  </si>
  <si>
    <t>PM6UT</t>
  </si>
  <si>
    <t>WOS:000591830500001</t>
  </si>
  <si>
    <t>Betancourt, Y; Ilarri, S</t>
  </si>
  <si>
    <t>Filipe, J; Smialek, M; Brodsky, A; Hammoudi, S</t>
  </si>
  <si>
    <t>Betancourt, Yanelys; Ilarri, Sergio</t>
  </si>
  <si>
    <t>Use of Text Mining Techniques for Recommender Systems</t>
  </si>
  <si>
    <t>PROCEEDINGS OF THE 22ND INTERNATIONAL CONFERENCE ON ENTERPRISE INFORMATION SYSTEMS (ICEIS), VOL 1</t>
  </si>
  <si>
    <t>22nd International Conference on Enterprise Information Systems (ICEIS)</t>
  </si>
  <si>
    <t>MAY 05-07, 2020</t>
  </si>
  <si>
    <t>Recommender Systems; Text Mining; Opinion Mining</t>
  </si>
  <si>
    <t>Recommender systems help users to reduce the information overload they may suffer in the current era of Big Data, by offering them recommendations of relevant items according to their tastes/preferences and/or context (location, weather, time of the day, etc.). We argue that text mining techniques can be exploited for the development of recommender systems. Thus, they can be applied to detect user preferences (user profiling) and also to extract context data. For this purpose, text mining can be applied on user reviews, text descriptions associated to the items, and other texts written by the user (e.g., posts in social networks). In this paper, we provide an overview of works exploiting text mining techniques in the field of recommender systems, characterizing them according to their purpose and the type of textual data analyzed.</t>
  </si>
  <si>
    <t>[Betancourt, Yanelys] Univ Zaragoza, Edificio Ada Byron,Maria Luna 1, Zaragoza 50018, Spain; [Ilarri, Sergio] Univ Zaragoza, I3A, Edificio Ada Byron,Maria Luna 1, Zaragoza 50018, Spain</t>
  </si>
  <si>
    <t>University of Zaragoza; University of Zaragoza</t>
  </si>
  <si>
    <t>Betancourt, Y (corresponding author), Univ Zaragoza, Edificio Ada Byron,Maria Luna 1, Zaragoza 50018, Spain.</t>
  </si>
  <si>
    <t>/L-6311-2014</t>
  </si>
  <si>
    <t>DGA-FSE (COSMOS research group); AEI/FEDER, UE [TIN2016-78011-C4-3-R]</t>
  </si>
  <si>
    <t>DGA-FSE (COSMOS research group); AEI/FEDER, UE</t>
  </si>
  <si>
    <t>This work has been supported by the project TIN2016-78011-C4-3-R (AEI/FEDER, UE) and DGA-FSE (COSMOS research group).</t>
  </si>
  <si>
    <t>978-989-758-423-7</t>
  </si>
  <si>
    <t>10.5220/0009576507800787</t>
  </si>
  <si>
    <t>BQ8ST</t>
  </si>
  <si>
    <t>WOS:000621581300085</t>
  </si>
  <si>
    <t>Dong, X; Li, T; Song, R; Ding, ZM</t>
  </si>
  <si>
    <t>Dong, Xin; Li, Tong; Song, Rui; Ding, Zhiming</t>
  </si>
  <si>
    <t>Profiling users via their reviews: an extended systematic mapping study</t>
  </si>
  <si>
    <t>SOFTWARE AND SYSTEMS MODELING</t>
  </si>
  <si>
    <t>User-generated reviews; User profiling; Systematic mapping study; Software requirements</t>
  </si>
  <si>
    <t>With the extensive development of big data and social networks, the user profile field has received much attention. User profiling is essential for understanding the characteristics of various users, contributing to better understanding of their requirements in specific scenarios. User-generated contents which directly reflect people's thoughts and intention are a valuable source for profiling users, among which user reviews by nature are invaluable sources for acquiring user requirements and have drawn increasing attention from both academia and industry. However, review-based user profiling (RBUP), as an emerging research direction, has not been systematically reviewed, hindering researchers from further investigation. In this work, we carry out a systematic mapping study on review-based user profiling, with an emphasis on investigating the generic analysis process of RBUP and identifying potential research directions. Specifically, 51 out of 2478 papers were carefully selected for investigation under a standardized and systematic procedure. By carrying out in-depth analysis over such papers, we have identified a generic process that should be followed to perform review-based user profiling. In addition, we perform multi-dimensional analysis on each step of the process in order to review current research progress and identify challenges and potential research directions. The results show that although traditional methods have been continuously improved, they are not sufficient to unleash the full potential of large-scale user reviews, especially the use of heterogeneous data for multi-dimensional user profiling.</t>
  </si>
  <si>
    <t>[Dong, Xin; Li, Tong; Song, Rui; Ding, Zhiming] Beijing Univ Technol, Fac Informat Technol, Beijing, Peoples R China</t>
  </si>
  <si>
    <t>Li, T (corresponding author), Beijing Univ Technol, Fac Informat Technol, Beijing, Peoples R China.</t>
  </si>
  <si>
    <t>dongxin19@foxmail.com; litong@bjut.edu.cn; songrui@emails.bjut.edu.cn; zmding@bjut.edu.cn</t>
  </si>
  <si>
    <t>xu, haodong/IAM-9132-2023</t>
  </si>
  <si>
    <t>National Key R&amp;D Program of China [2017YFC0803300, 2017YFC0803307]; National Natural Science of Foundation of China [61902010, 91546111, 91646201]</t>
  </si>
  <si>
    <t>National Key R&amp;D Program of China(National Key Research &amp; Development Program of China); National Natural Science of Foundation of China(National Natural Science Foundation of China (NSFC))</t>
  </si>
  <si>
    <t>This work is supported by the National Key R&amp;D Program of China (Nos. 2017YFC0803300, 2017YFC0803307) and the National Natural Science of Foundation of China (Nos. 61902010, 91546111, 91646201).</t>
  </si>
  <si>
    <t>1619-1366</t>
  </si>
  <si>
    <t>1619-1374</t>
  </si>
  <si>
    <t>SOFTW SYST MODEL</t>
  </si>
  <si>
    <t>Softw. Syst. Model.</t>
  </si>
  <si>
    <t>10.1007/s10270-020-00790-w</t>
  </si>
  <si>
    <t>MAR 2020</t>
  </si>
  <si>
    <t>QM0VS</t>
  </si>
  <si>
    <t>WOS:000521020400003</t>
  </si>
  <si>
    <t>Verma, R; Yabe, T; Ukkusuri, SV</t>
  </si>
  <si>
    <t>Verma, Rajat; Yabe, Takahiro; Ukkusuri, Satish, V</t>
  </si>
  <si>
    <t>Spatiotemporal contact density explains the disparity of COVID-19 spread in urban neighborhoods</t>
  </si>
  <si>
    <t>SCIENTIFIC REPORTS</t>
  </si>
  <si>
    <t>The rapid early spread of COVID-19 in the US was experienced very differently by different socioeconomic groups and business industries. In this study, we study aggregate mobility patterns of New York City and Chicago to identify the relationship between the amount of interpersonal contact between people in urban neighborhoods and the disparity in the growth of positive cases among these groups. We introduce an aggregate spatiotemporal contact density index (CDI) to measure the strength of this interpersonal contact using mobility data collected from mobile phones, and combine it with social distancing metrics to show its effect on positive case growth. With the help of structural equations modeling, we find that the effect of CDI on case growth was consistently positive and that it remained consistently higher in lower-income neighborhoods, suggesting a causal path of income on case growth via CDI. Using the CDI, schools and restaurants are identified as high contact density industries, and the estimation suggests that implementing specific mobility restrictions on these point-of-interest categories is most effective. This analysis can be useful in providing insights for government officials targeting specific population groups and businesses to reduce infection spread as reopening efforts continue to expand across the nation.</t>
  </si>
  <si>
    <t>[Verma, Rajat; Yabe, Takahiro; Ukkusuri, Satish, V] Purdue Univ, Lyles Sch Civil Engn, W Lafayette, IN 47906 USA</t>
  </si>
  <si>
    <t>Purdue University System; Purdue University</t>
  </si>
  <si>
    <t>Ukkusuri, SV (corresponding author), Purdue Univ, Lyles Sch Civil Engn, W Lafayette, IN 47906 USA.</t>
  </si>
  <si>
    <t>sukkusur@purdue.edu</t>
  </si>
  <si>
    <t>Verma, Rajat/HZK-7318-2023; Ukkusuri, Satish/JXM-5723-2024</t>
  </si>
  <si>
    <t>Verma, Rajat/0000-0002-2273-8706;</t>
  </si>
  <si>
    <t>National Science Foundation [CMMI 1638311]</t>
  </si>
  <si>
    <t>National Science Foundation</t>
  </si>
  <si>
    <t>This study was conducted as a part of CRISP project funded by the National Science Foundation grant CMMI 1638311. However, the facts and opinions presented in this article are the personal statements of the authors.</t>
  </si>
  <si>
    <t>NATURE PORTFOLIO</t>
  </si>
  <si>
    <t>HEIDELBERGER PLATZ 3, BERLIN, 14197, GERMANY</t>
  </si>
  <si>
    <t>2045-2322</t>
  </si>
  <si>
    <t>SCI REP-UK</t>
  </si>
  <si>
    <t>Sci Rep</t>
  </si>
  <si>
    <t>MAY 26</t>
  </si>
  <si>
    <t>10.1038/s41598-021-90483-1</t>
  </si>
  <si>
    <t>SO7HR</t>
  </si>
  <si>
    <t>WOS:000659146000008</t>
  </si>
  <si>
    <t>Wu, YY; Chi, CH; He, J</t>
  </si>
  <si>
    <t>Gao, X; Huang, G; Cao, J; Cao, J; Deng, K</t>
  </si>
  <si>
    <t>Wu, Yuanyuan; Chi, Chi-Hung; He, Jing</t>
  </si>
  <si>
    <t>Effective Personalized Taxonomy Pruning for Identification of Relevant Knowledge Domain for Knowledge Support of User Interests</t>
  </si>
  <si>
    <t>PROCEEDINGS OF 2021 IEEE/WIC/ACM INTERNATIONAL CONFERENCE ON WEB INTELLIGENCE AND INTELLIGENT AGENT TECHNOLOGY WORKSHOPS AND SPECIAL SESSIONS: (WI-IAT WORKSHOP/SPECIAL SESSION 2021)</t>
  </si>
  <si>
    <t>taxonomy pruning; knowledge graph; user interests; knowledge support; acyclic directed Steiner tree</t>
  </si>
  <si>
    <t>Although living in the information era, users are still more likely to have partial information rather than comprehensive understanding on some concepts due to limited knowledge. In order to provide user with knowledge support of his interests, we propose an efficient personalized pruning model called TP-Alpha for the pruning of taxonomy graph while quantifying the relation between connected entities based on introduced concept called as relevancy degree. TP-Alpha model is a variant of approximation algorithm for acyclic directed Steiner tree problem. Compared to state-of-art pruning models, TP-Alpha model can preserve most of the user-given interests and entities with relevant knowledge having maximum average of relevancy degree inferred by user-given threshold value, and the least of other entities for maintaining connectivity without the constraint of the location of user-interested entities in the taxonomy graph. We evaluate our model on the benchmark datasets from a SemEval challenge. Experimental results verify the effectiveness of our TP-Alpha model in achieving relevant knowledge domain with more comprehensive knowledge support of user interests while maintaining less unnecessary cost.</t>
  </si>
  <si>
    <t>[Wu, Yuanyuan] Swinburne Univ Technol, Melbourne, Vic, Australia; [Chi, Chi-Hung] Nanyang Technol Univ, Singapore, Singapore; [He, Jing] Nanjing Univ Finance &amp; Econ, Nanjing, Peoples R China</t>
  </si>
  <si>
    <t>Swinburne University of Technology; Nanyang Technological University; Nanjing University of Finance &amp; Economics</t>
  </si>
  <si>
    <t>Wu, YY (corresponding author), Swinburne Univ Technol, Melbourne, Vic, Australia.</t>
  </si>
  <si>
    <t>eve.wu10889@gmail.com; chihungchi@gmail.com; lotusjing@gmail.com</t>
  </si>
  <si>
    <t>Wu, Yuanyuan/JMQ-3688-2023</t>
  </si>
  <si>
    <t>Wu, Yuanyuan/0000-0002-5089-2620</t>
  </si>
  <si>
    <t>978-1-4503-9187-0</t>
  </si>
  <si>
    <t>10.1145/3498851.3499010</t>
  </si>
  <si>
    <t>BU7VL</t>
  </si>
  <si>
    <t>WOS:000945298500083</t>
  </si>
  <si>
    <t>Leveraging User Interest to Improve Thread Recommendation in Online Forum</t>
  </si>
  <si>
    <t>2013 INTERNATIONAL CONFERENCE ON SOCIAL INTELLIGENCE AND TECHNOLOGY (SOCIETY)</t>
  </si>
  <si>
    <t>International Conference on Social Intelligence and Technology (SOCIETY)</t>
  </si>
  <si>
    <t>MAY 08-09, 2013</t>
  </si>
  <si>
    <t>Penn State Univ, State College, PA</t>
  </si>
  <si>
    <t>IEEE Comp Soc Tech Comm Intelligent Informat,Int Network Social Network Anal,IEEE Comp Soc</t>
  </si>
  <si>
    <t>Penn State Univ</t>
  </si>
  <si>
    <t>Nowadays thread recommendation is considered to be beneficial to improve the end-user stickiness of an online forum. Given the fact of information overload and the diverse interests of forum users, a recommender system in online forum can satisfy not only forum users' information needs by directing them to what they might be interested in, but also their social needs by connecting them to their friends. Some traditional recommender systems rely on a bipartite graph model to capture users' interests. As an extension, some other content-based methods are proposed to further understand the potential connections between Web users and Web contents. However, due to the prevalence of short and sparse messages in online social media, it is hard for traditional content-based methods to capture Web users' interests. In this paper, we propose a novel graphical model to extract hidden topics from Web contents, cluster Web contents into clusters, and detect users' interests on each cluster. Then we introduce two reranking models which utilize the detected user interest to boost the performance of thread recommendation. Experiment results on a public dataset showed that our proposed methods substantially outperformed the naive content-based approach. In addition, by testing our approaches with different parameter settings, we observed, to some extent, how forum users' information needs and their social needs interplay to decide which threads they will look for.</t>
  </si>
  <si>
    <t>978-0-7695-4998-9; 978-1-4799-0045-9</t>
  </si>
  <si>
    <t>10.1109/SOCIETY.2013.13</t>
  </si>
  <si>
    <t>BHC87</t>
  </si>
  <si>
    <t>WOS:000325010200002</t>
  </si>
  <si>
    <t>Ni, XL; Lu, Y; Quan, XJ; Liu, WY; Hua, B</t>
  </si>
  <si>
    <t>Ni, Xingliang; Lu, Yao; Quan, Xiaojun; Liu Wenyin; Hua, Bei</t>
  </si>
  <si>
    <t>User interest modeling and its application for question recommendation in user-interactive question answering systems</t>
  </si>
  <si>
    <t>Question answering; Topic model; User interest</t>
  </si>
  <si>
    <t>In this paper, we propose a generative model, the Topic-based User Interest (TUI) model, to capture the user interest in the User-Interactive Question Answering (UIQA) systems. Specifically, our method aims to model the user interest in the UIQA systems with latent topic method, and extract interests for users by mining the questions they asked, the categories they participated in and relevant answer providers. We apply the TUI model to the application of question recommendation, which automatically recommends to certain user appropriate questions he might be interested in. Data collection from Yahoo! Answers is used to evaluate the performance of the proposed model in question recommendation, and the experimental results show the effectiveness of our proposed model. (C) 2011 Elsevier Ltd. All rights reserved.</t>
  </si>
  <si>
    <t>[Ni, Xingliang; Lu, Yao; Quan, Xiaojun; Liu Wenyin] City Univ Hong Kong, Dept Comp Sci, Hong Kong, Hong Kong, Peoples R China; [Ni, Xingliang; Liu Wenyin] Shanghai Univ Elect Power, Sch Comp &amp; Informat Engn, Shanghai 200090, Peoples R China; [Ni, Xingliang; Lu, Yao; Liu Wenyin; Hua, Bei] Univ Sci &amp; Technol China, Dept Comp Sci &amp; Technol, Hefei 230026, Peoples R China; [Ni, Xingliang; Lu, Yao; Liu Wenyin; Hua, Bei] CityU USTC Adv Res Inst, Joint Res Lab Excellence, Suzhou, Peoples R China</t>
  </si>
  <si>
    <t>City University of Hong Kong; Shanghai University of Electric Power; Chinese Academy of Sciences; University of Science &amp; Technology of China, CAS</t>
  </si>
  <si>
    <t>Liu, WY (corresponding author), City Univ Hong Kong, Dept Comp Sci, Hong Kong, Hong Kong, Peoples R China.</t>
  </si>
  <si>
    <t>xlni@mail.ustc.edu.cn; luyao59@mail.ustc.edu.cn; xiaoquan@student.cityu.edu.hk; csliuwy@cityu.edu.hk; bhua@ustc.edu.cn</t>
  </si>
  <si>
    <t>/G-7679-2019</t>
  </si>
  <si>
    <t>Quan, Xiaojun/0000-0002-8385-1083</t>
  </si>
  <si>
    <t>City University of Hong Kong [7002696]; Natural Science Foundation of China [91024012, 60863001, 61073038, 61073189]</t>
  </si>
  <si>
    <t>City University of Hong Kong(City University of Hong Kong); Natural Science Foundation of China(National Natural Science Foundation of China (NSFC))</t>
  </si>
  <si>
    <t>The author would like to thank the anonymous reviewers for their constructive comments. We also would like to thank Eugene Agichtein and his group at Emory University for opening Yahoo! Answer dataset from their website. The work described in this paper was fully supported by a grant from City University of Hong Kong (Project No. 7002696) and the Natural Science Foundation of China (under Grant Nos. 91024012, 60863001, 61073038, and 61073189).</t>
  </si>
  <si>
    <t>10.1016/j.ipm.2011.09.002</t>
  </si>
  <si>
    <t>910GT</t>
  </si>
  <si>
    <t>WOS:000301625900003</t>
  </si>
  <si>
    <t>Perumal, SP; Sannasi, G; Arputharaj, K</t>
  </si>
  <si>
    <t>Perumal, Sankar Pariserum; Sannasi, Ganapathy; Arputharaj, Kannan</t>
  </si>
  <si>
    <t>An intelligent fuzzy rule-based e-learning recommendation system for dynamic user interests</t>
  </si>
  <si>
    <t>Recommendation system; Information retrieval; Frequent pattern mining; Fuzzy rules; Interest drift</t>
  </si>
  <si>
    <t>SIMILARITY; ALGORITHM; PREDICTION</t>
  </si>
  <si>
    <t>A relevant and suitable content recommendation is an important and challenging task in e-learning. Relevant terms are retrieved in a recommender system that should also cope with varying user preferences over time. This paper proposes a novel recommendation system which provides suitable contents by refining the final frequent item patterns evolving from frequent pattern mining technique and then classifying the final contents using fuzzy logic into three levels. This is achieved by generating frequent item patterns after consolidating the user interest changes with an extended error margin quotient. Moreover, fuzzy rules are used in this work to enable the rule mining constraints for accommodating all types of learners while applying rules on the pattern tables. This method aims at mining the data stream preferences into equal-sized windows and caters to the varying user interest ratings over time. Experiments prove its efficiency and accuracy over existing conventional methods.</t>
  </si>
  <si>
    <t>[Perumal, Sankar Pariserum; Arputharaj, Kannan] Anna Univ, Dept Informat Sci &amp; Technol, CEG Campus, Chennai, Tamil Nadu, India; [Sannasi, Ganapathy] VIT Univ, Sch Comp Sci &amp; Engn, Chennai Campus, Chennai, Tamil Nadu, India</t>
  </si>
  <si>
    <t>Anna University; Anna University Chennai; College of Engineering Guindy; Vellore Institute of Technology (VIT); VIT Chennai</t>
  </si>
  <si>
    <t>Perumal, SP (corresponding author), Anna Univ, Dept Informat Sci &amp; Technol, CEG Campus, Chennai, Tamil Nadu, India.</t>
  </si>
  <si>
    <t>tell.sankar@gmail.com; sganapathy@vit.ac.in; kannan@annauniv.edu</t>
  </si>
  <si>
    <t>Sannasi, Ganapathy/AAE-3938-2019; Arputharaj, Kannan/AAN-4912-2020; Pariserum Perumal, Sankar/AAY-3117-2021</t>
  </si>
  <si>
    <t>Sannasi, Ganapathy/0000-0001-9177-5378; Arputharaj, Kannan/0000-0002-3564-395X; Pariserum Perumal, Sankar/0000-0002-6004-3534</t>
  </si>
  <si>
    <t>10.1007/s11227-019-02791-z</t>
  </si>
  <si>
    <t>IX7TA</t>
  </si>
  <si>
    <t>WOS:000485886700056</t>
  </si>
  <si>
    <t>Yu, ZH; Wang, PW; Du, XY; Cui, JW; Xu, TR</t>
  </si>
  <si>
    <t>Chiu, DKW; Bellatreche, L; Sasaki, H; Leung, HF; Cheung, SC; Hu, H; Shao, J</t>
  </si>
  <si>
    <t>Yu, Zhaohui; Wang, Puwei; Du, Xiaoyong; Cui, Jianwei; Xu, Tianren</t>
  </si>
  <si>
    <t>A Timeline-Based Algorithm for Personalized Tag Recommendation</t>
  </si>
  <si>
    <t>WEB INFORMATION SYSTEMS ENGINEERING - WISE 2010 WORKSHOPS</t>
  </si>
  <si>
    <t>11th International Conference on Web Information Systems Engineering</t>
  </si>
  <si>
    <t>DEC 12-14, 2010</t>
  </si>
  <si>
    <t>Hong Kong, PEOPLES R CHINA</t>
  </si>
  <si>
    <t>Croucher Fdn,KC Wong Educ Fdn</t>
  </si>
  <si>
    <t>timeline; user interests; distance decay model; personalized tag recommendation</t>
  </si>
  <si>
    <t>Recently, tagging has been a flexible and important way to share and categorize web resources, these user-generated tags are effective to represent user interests because these tags reflect human being's judgments while more concise and closer to human understanding, and the user interests are changing over time. Thus, modeling user interests to meet individual user needs is an important challenge for personalization and information filtering applications, such as recommender systems. In this paper, we apply a distance decay model for modeling user interests in terms of tags based on timeline. We then propose a novel algorithm to measure users' similarities in terms of their tagging activity over a specific time period and provide personalized tag recommendation according to similar users' interests in their next time intervals. Experimental results demonstrate the higher precision and recall with our personalized tag recommendation algorithm than other existing methods.</t>
  </si>
  <si>
    <t>yuzhaohui@ruc.edu.cn; wangpuwei@ruc.edu.cn; duyong@ruc.edu.cn; cjwruc@ruc.edu.cn; xutianren@ruc.edu.cn</t>
  </si>
  <si>
    <t>978-3-642-24395-0</t>
  </si>
  <si>
    <t>BBL16</t>
  </si>
  <si>
    <t>WOS:000307265000030</t>
  </si>
  <si>
    <t>Anggoro, KJ; Maretha, AL</t>
  </si>
  <si>
    <t>Anggoro, Kiki Juli; Maretha, Annisa Laura</t>
  </si>
  <si>
    <t>Self-Regulated Learning in Action: EFL Student Teachers' Approaches to Managing an English Club</t>
  </si>
  <si>
    <t>STUDIES IN SELF-ACCESS LEARNING JOURNAL</t>
  </si>
  <si>
    <t>EFL; English club; Self-regulated learning; Student teachers</t>
  </si>
  <si>
    <t>MOTIVATION; AUTONOMY; EFFICACY; POLICY</t>
  </si>
  <si>
    <t>This study reports on the use of self-regulated learning (SRL) strategies by English as a Foreign Language (EFL) student teachers in managing English clubs. It explores how 65 student teachers apply SRL as both learners and instructors, focusing on key SRL components, strategies, and challenges. Data were collected through group and individual open-ended surveys at the conclusion of a 15-week project and were thematically analysed using MAXQDA software. This study examined student teachers' perceptions of SRL, identifying key components such as independent learning, personal interests, time management, problem solving, and confidence. Independent learning was seen as the most important, emphasising autonomy and self-motivation, while personal interests were recognised for boosting engagement. Time management and problem solving were crucial for balancing tasks and overcoming challenges, with confidence growing over time. The study also highlighted three main SRL strategies: using technology, fostering collaborative learning, and conducting needs analysis to adapt instruction. Challenges included scheduling conflicts, low confidence, leadership difficulties, and cultural barriers.</t>
  </si>
  <si>
    <t>[Anggoro, Kiki Juli] Walailak Univ, Thai Buri, Thailand; [Maretha, Annisa Laura] Deakin Univ, Burwood, Australia</t>
  </si>
  <si>
    <t>Deakin University</t>
  </si>
  <si>
    <t>Anggoro, KJ (corresponding author), Walailak Univ, Thai Buri, Thailand.</t>
  </si>
  <si>
    <t>kiki.an@mail.wu.ac.th</t>
  </si>
  <si>
    <t>Maretha, Annisa Laura/JTD-2741-2023; Anggoro, Kiki/PCS-0368-2025</t>
  </si>
  <si>
    <t>Maretha, Annisa Laura/0000-0002-5677-6524; Anggoro, Kiki/0000-0002-5519-3036</t>
  </si>
  <si>
    <t>KANDA UNIV INT STUDIES</t>
  </si>
  <si>
    <t>CHIBA-SHI</t>
  </si>
  <si>
    <t>1-4-1 WAKAB, MIHAMA-KU, CHIBA-SHI, 261-0014, JAPAN</t>
  </si>
  <si>
    <t>2185-3762</t>
  </si>
  <si>
    <t>STUD SELF-ACCESS LEA</t>
  </si>
  <si>
    <t>Stud. Self-Access Learn. J.</t>
  </si>
  <si>
    <t>10.37237/160303</t>
  </si>
  <si>
    <t>8GV4D</t>
  </si>
  <si>
    <t>WOS:001588342400003</t>
  </si>
  <si>
    <t>Joppi, C; Lovato, P; Cristani, M; Menegaz, G</t>
  </si>
  <si>
    <t>Pautasso, C; SanchezFigueroa, F; Systa, K; Rodriguez, JMM</t>
  </si>
  <si>
    <t>Joppi, Christian; Lovato, Pietro; Cristani, Marco; Menegaz, Gloria</t>
  </si>
  <si>
    <t>From Web to Physical and Back: WP User Profiling with Deep Learning</t>
  </si>
  <si>
    <t>CURRENT TRENDS IN WEB ENGINEERING (ICWE 2018)</t>
  </si>
  <si>
    <t>18th International Conference on Web Engineering (ICWE)</t>
  </si>
  <si>
    <t>JUN 05-08, 2018</t>
  </si>
  <si>
    <t>Caceres, SPAIN</t>
  </si>
  <si>
    <t>Int Soc Web Engn e V,Soc Ingn Software &amp; Tecnologias Desarrollo Software,GNOSS,Univ Extremadura, Software Engn Grp,Diputac Caceres,Univ Extremadura</t>
  </si>
  <si>
    <t>Recommendation systems; Multimedia; Fairs</t>
  </si>
  <si>
    <t>This position paper discusses the definition and implementation of Web-Physical (WP) user profiles, which allow the creation of personalized recommendations and innovative behavioral predictions in particular scenarios, i.e., fairs. The nature of a WP profile builds upon two different worlds: the Web (social networks and web applications) and the Physical one, each one of them being explored through (big) data collection platforms. These two platforms collect radically different information: on the one hand, information of appreciation towards a particular product or service (web domain) together with other metadata; on the other, the leases (x, y) of users in the exhibition space (physical domain). In this scenario, our research idea consists in identifying how the information in the two domains can be merged in a whole entity under a theoretical point of view: this will unleash tangible repercussions in terms of personalized recommendations and effective behavioral predictions, where with personalized recommendation we mean a suggestion to a user in physical terms (eg a pavilion to visit) and / or in web terms (eg a site to visit) and with behavioral prediction a prediction of where a user can go in the future, even in a multimedia perspective (physical + web).</t>
  </si>
  <si>
    <t>[Joppi, Christian; Lovato, Pietro; Cristani, Marco; Menegaz, Gloria] Univ Verona, Dept Comp Sci, Str Le Grazie 15, Verona, Italy</t>
  </si>
  <si>
    <t>University of Verona</t>
  </si>
  <si>
    <t>Joppi, C (corresponding author), Univ Verona, Dept Comp Sci, Str Le Grazie 15, Verona, Italy.</t>
  </si>
  <si>
    <t>christian.joppi@studenti.univr.it; pietro.lovato@humatics.it; marco.cristani@univr.it; gloria.menegaz@univr.it</t>
  </si>
  <si>
    <t>Menegaz, Gloria/D-3365-2013; Joppi, Christian/AEX-2537-2022</t>
  </si>
  <si>
    <t>Menegaz, Gloria/0000-0002-6889-3461; Joppi, Christian/0000-0003-4495-9515</t>
  </si>
  <si>
    <t>978-3-030-03056-8; 978-3-030-03055-1</t>
  </si>
  <si>
    <t>10.1007/978-3-030-03056-8_11</t>
  </si>
  <si>
    <t>BS4II</t>
  </si>
  <si>
    <t>WOS:000719422000011</t>
  </si>
  <si>
    <t>Pu, Q; Lbath, A; He, DQ</t>
  </si>
  <si>
    <t>KIm, YH; Yarlagadda, P</t>
  </si>
  <si>
    <t>Pu, Qiang; Lbath, Ahmed; He, Daqing</t>
  </si>
  <si>
    <t>Mobile Geographic Web Search Personalization with Language Model</t>
  </si>
  <si>
    <t>SENSORS, MEASUREMENT AND INTELLIGENT MATERIALS, PTS 1-4</t>
  </si>
  <si>
    <t>Applied Mechanics and Materials</t>
  </si>
  <si>
    <t>International Conference on Sensors, Measurement and Intelligent Materials (ICSMIM 2012)</t>
  </si>
  <si>
    <t>DEC 26-27, 2012</t>
  </si>
  <si>
    <t>Guilin, PEOPLES R CHINA</t>
  </si>
  <si>
    <t>Korea Maritime Univ,Univ Nottingham,Queensland Univ Technol</t>
  </si>
  <si>
    <t>Mobile web search; personalization; user interest; language model</t>
  </si>
  <si>
    <t>Mobile personalized web search has been introduced for the purpose of distinguishing mobile user's personal different search interest. We first take the user's location information into account to do a geographic query expansion, then present an approach to personalizing web search for mobile users within language modeling framework. We estimate a user mixed model estimated according to both activated ontological topic model-based feedback and user interest model to re-rank the results from geographic query expansion. Experiments show that language model based re-ranking method is effective in presenting more relevant documents on the top retrieved results to mobile users. The main contribution of the improvements comes from the consideration of geographic information, ontological topic information and user interests together to find more relevant documents for satisfying their personal information need.</t>
  </si>
  <si>
    <t>[Pu, Qiang] Chengdu Univ, Key Lab Pattern Recognit &amp; Intelligent Informat P, Chengdu, Peoples R China; [Pu, Qiang] Chengdu Univ, Sch Informat Sci &amp; Technol, Chengdu, Peoples R China; [Lbath, Ahmed] Univ Grenoble 1, LIG MRIM, Grenoble, France; [He, Daqing] Univ Pittsburgh, Sch Informat Sci, Pittsburgh, PA USA</t>
  </si>
  <si>
    <t>Chengdu University; Chengdu University; Communaute Universite Grenoble Alpes; Universite Grenoble Alpes (UGA); Pennsylvania Commonwealth System of Higher Education (PCSHE); University of Pittsburgh</t>
  </si>
  <si>
    <t>Pu, Q (corresponding author), Chengdu Univ, Key Lab Pattern Recognit &amp; Intelligent Informat P, Chengdu, Peoples R China.</t>
  </si>
  <si>
    <t>puqiang@uestc.edu.cn; ahmed.lbath@imag.fr; dah44@pitt.edu</t>
  </si>
  <si>
    <t>European Commission in Sustainable e-Tourism: Erasmus Mundus Action 2 Program, Sci &amp; Tech Foundation of Chengdu University [2011XJZ01]; Science &amp; Technology Project of Sichuan Province [2010SZ0004]; NSF/IIS [0704628]; Direct For Computer &amp; Info Scie &amp; Enginr; Div Of Information &amp; Intelligent Systems [0704628] Funding Source: National Science Foundation</t>
  </si>
  <si>
    <t>European Commission in Sustainable e-Tourism: Erasmus Mundus Action 2 Program, Sci &amp; Tech Foundation of Chengdu University; Science &amp; Technology Project of Sichuan Province; NSF/IIS(National Science Foundation (NSF)); Direct For Computer &amp; Info Scie &amp; Enginr; Div Of Information &amp; Intelligent Systems(National Science Foundation (NSF)NSF - Directorate for Computer &amp; Information Science &amp; Engineering (CISE)NSF - Division of Information &amp; Intelligent Systems (IIS))</t>
  </si>
  <si>
    <t>This work was supported by European Commission in Sustainable e-Tourism: Erasmus Mundus Action 2 Program, Sci &amp; Tech Foundation of Chengdu University (2011XJZ01), Science &amp; Technology Project of Sichuan Province (2010SZ0004) and NSF/IIS (0704628).</t>
  </si>
  <si>
    <t>TRANS TECH PUBLICATIONS LTD</t>
  </si>
  <si>
    <t>DURNTEN-ZURICH</t>
  </si>
  <si>
    <t>KREUZSTRASSE 10, 8635 DURNTEN-ZURICH, SWITZERLAND</t>
  </si>
  <si>
    <t>1660-9336</t>
  </si>
  <si>
    <t>978-3-03785-652-9</t>
  </si>
  <si>
    <t>APPL MECH MATER</t>
  </si>
  <si>
    <t>303-306</t>
  </si>
  <si>
    <t>10.4028/www.scientific.net/AMM.303-306.1420</t>
  </si>
  <si>
    <t>Materials Science, Multidisciplinary; Remote Sensing</t>
  </si>
  <si>
    <t>Materials Science; Remote Sensing</t>
  </si>
  <si>
    <t>BFN50</t>
  </si>
  <si>
    <t>WOS:000320625500288</t>
  </si>
  <si>
    <t>Lorenz, B; Poudel, D; Luberg, A</t>
  </si>
  <si>
    <t>Smith, BK; Borge, M</t>
  </si>
  <si>
    <t>Lorenz, Birgy; Poudel, Diana; Luberg, Ago</t>
  </si>
  <si>
    <t>Enhancing IT Education Through Tailored Course Selection: A Case Study from Estonian General Education School</t>
  </si>
  <si>
    <t>LEARNING AND COLLABORATION TECHNOLOGIES, LCT 2025, PT I</t>
  </si>
  <si>
    <t>12th International Conference on Learning and Collaboration Technologies-LCT</t>
  </si>
  <si>
    <t>JUN 22-27, 2025</t>
  </si>
  <si>
    <t>Goeteborg, SWEDEN</t>
  </si>
  <si>
    <t>IT Education Elective Courses; Student Pre-Selection; Skills Assessment of Programming and Mathematics; Student Interests; Adaptive Learning; Gender Challenges in STEM</t>
  </si>
  <si>
    <t>SCIENCE; STEM</t>
  </si>
  <si>
    <t>The study explores enhancing elective course selection in Information Technology (IT) education within Estonian general schools by developing a pre-selection assessment tool. Aimed at aligning student interests and competencies with course offerings, the tool evaluates academic skills, prior exposure to IT, and personal preferences. Results from surveys conducted among high school and university students reveal significant disparities in preparedness and engagement levels, emphasizing the importance of early exposure to IT-related activities. Key findings include the strong influence of mathematics and digital safety skills on ICT interest, the value of hands-on learning approaches, and persistent gender disparities. The study highlights the potential of structured pre-selection processes to improve academic outcomes, reduce dropout rates, and address gender imbalances. However, challenges such as superficial evaluations and evolving student interests underscore the need for iterative tool refinement. Future directions include integrating AI-driven, adaptive assessments to provide personalized guidance, ultimately fostering equitable and inclusive pathways to ICT education and careers.</t>
  </si>
  <si>
    <t>[Lorenz, Birgy; Luberg, Ago] Tallinn Univ Technol, Tallinn, Estonia; [Poudel, Diana] Univ Tartu, Tartu, Estonia</t>
  </si>
  <si>
    <t>Tallinn University of Technology; University of Tartu</t>
  </si>
  <si>
    <t>Lorenz, B (corresponding author), Tallinn Univ Technol, Tallinn, Estonia.</t>
  </si>
  <si>
    <t>birgy.lorenz@taltech.ee; diana.poudel@ut.ee; ago.luberg@taltech.ee</t>
  </si>
  <si>
    <t>Luberg, Ago/ABG-1293-2021; Lorenz, Birgy/D-7539-2018</t>
  </si>
  <si>
    <t>Luberg, Ago/0000-0002-6936-8765; Lorenz, Birgy/0000-0002-9890-2111</t>
  </si>
  <si>
    <t>978-3-031-93563-3; 978-3-031-93564-0</t>
  </si>
  <si>
    <t>10.1007/978-3-031-93564-0_18</t>
  </si>
  <si>
    <t>BZ1OU</t>
  </si>
  <si>
    <t>WOS:001543786600018</t>
  </si>
  <si>
    <t>Hawalah, A; Fasli, M</t>
  </si>
  <si>
    <t>Hawalah, Ahmad; Fasli, Maria</t>
  </si>
  <si>
    <t>Dynamic user profiles for web personalisation</t>
  </si>
  <si>
    <t>Dynamic user profile; Modelling user behaviour; Web personalisation; Ontology; Multi-agent systems</t>
  </si>
  <si>
    <t>ONTOLOGY; CONTEXT; MODEL</t>
  </si>
  <si>
    <t>Web personalisation systems are used to enhance the user experience by providing tailor-made services based on the user's interests and preferences which are typically stored in user profiles. For such systems to remain effective, the profiles need to be able to adapt and reflect the users' changing behaviour. In this paper, we introduce a set of methods designed to capture and track user interests and maintain dynamic user profiles within a personalisation system. User interests are represented as ontological concepts which are constructed by mapping web pages visited by a user to a reference ontology and are subsequently used to learn short-term and long-term interests. A multi-agent system facilitates and coordinates the capture, storage, management and adaptation of user interests. We propose a search system that utilises our dynamic user profile to provide a personalised search experience. We present a series of experiments that show how our system can effectively model a dynamic user profile and is capable of learning and adapting to different user browsing behaviours. (C) 2014 Elsevier Ltd. All rights reserved.</t>
  </si>
  <si>
    <t>[Hawalah, Ahmad; Fasli, Maria] Univ Essex, Sch Comp Sci &amp; Elect Engn, Colchester C04 3SQ, Essex, England; [Hawalah, Ahmad] Univ Taibah, Coll Comp Sci &amp; Engn, Medina, Saudi Arabia</t>
  </si>
  <si>
    <t>University of Essex; Taibah University</t>
  </si>
  <si>
    <t>Fasli, M (corresponding author), Univ Essex, Sch Comp Sci &amp; Elect Engn, Colchester C04 3SQ, Essex, England.</t>
  </si>
  <si>
    <t>ahawalah@taibahu.edu.sa; mfasli@essex.ac.uk</t>
  </si>
  <si>
    <t>University of Taibah, Medina, Kingdom of Saudi Arabia</t>
  </si>
  <si>
    <t>Dr. Ahmad Hawalah was sponsored for his PhD studies by the University of Taibah, Medina, Kingdom of Saudi Arabia.</t>
  </si>
  <si>
    <t>10.1016/j.eswa.2014.10.032</t>
  </si>
  <si>
    <t>CA0PS</t>
  </si>
  <si>
    <t>WOS:000348619900025</t>
  </si>
  <si>
    <t>Wilson, KJ</t>
  </si>
  <si>
    <t>Wilson, Kristy J.</t>
  </si>
  <si>
    <t>Adaptable online discussion format to increase student interest, peer interactions, and information literacy</t>
  </si>
  <si>
    <t>FASEB JOURNAL</t>
  </si>
  <si>
    <t>Experimental Biology Meeting (EB)</t>
  </si>
  <si>
    <t>APR 02-05, 2022</t>
  </si>
  <si>
    <t>0892-6638</t>
  </si>
  <si>
    <t>1530-6860</t>
  </si>
  <si>
    <t>FASEB J</t>
  </si>
  <si>
    <t>Faseb J.</t>
  </si>
  <si>
    <t>10.1096/fasebj.2022.36.S1.R4595</t>
  </si>
  <si>
    <t>Biochemistry &amp; Molecular Biology; Biology; Cell Biology</t>
  </si>
  <si>
    <t>Biochemistry &amp; Molecular Biology; Life Sciences &amp; Biomedicine - Other Topics; Cell Biology</t>
  </si>
  <si>
    <t>5X2JM</t>
  </si>
  <si>
    <t>WOS:000878430605045</t>
  </si>
  <si>
    <t>Fang, JY; Liang, SS; Meng, ZQ; De Rijke, M</t>
  </si>
  <si>
    <t>Fang, Jinyuan; Liang, Shangsong; Meng, Zaiqiao; De Rijke, Maarten</t>
  </si>
  <si>
    <t>Hyperspherical Variational Co-embedding for Attributed Networks</t>
  </si>
  <si>
    <t>Network embedding; generalized variational auto-encoders; hyperspherical representation</t>
  </si>
  <si>
    <t>Network-based information has been widely explored and exploited in the information retrieval literature. Attributed networks, consisting of nodes, edges as well as attributes describing properties of nodes, are a basic type of network-based data, and are especially useful for many applications. Examples include user profiling in social networks and item recommendation in user-item purchase networks. Learning useful and expressive representations of entities in attributed networks can provide more effective building blocks to down-stream network-based tasks such as link prediction and attribute inference. Practically, input features of attributed networks are normalized as unit directional vectors. However, most network embedding techniques ignore the spherical nature of inputs and focus on learning representations in a Gaussian or Euclidean space, which, we hypothesize, might lead to less effective representations. To obtain more effective representations of attributed networks, we investigate the problem of mapping an attributed network with unit normalized directional features into a non-Gaussian and non-Euclidean space. Specifically, we propose a hyperspherical variational co-embedding for attributed networks (HCAN), which is based on generalized variational auto-encoders for heterogeneous data with multiple types of entities. HCAN jointly learns latent embeddings for both nodes and attributes in a unified hyperspherical space such that the affinities between nodes and attributes can be captured effectively. We argue that this is a crucial feature in many real-world applications of attributed networks. Previous Gaussian network embedding algorithms break the assumption of uninformative prior, which leads to unstable results and poor performance. In contrast, HCAN embeds nodes and attributes as von Mises-Fisher distributions, and allows one to capture the uncertainty of the inferred representations. Experimental results on eight datasets show that HCAN yields better performance in a number of applications compared with nine state-of-the-art baselines.</t>
  </si>
  <si>
    <t>[Fang, Jinyuan; Liang, Shangsong] Sun Yat Sen Univ, Sch Comp Sci &amp; Engn, Outer Ring E Rd 132, Guangzhou 510006, Peoples R China; [Liang, Shangsong] Mohamed Bin Zayed Univ Artificial Intelligence, Al Diyafah St, Abu Dhabi 7909, U Arab Emirates; [Meng, Zaiqiao] Univ Cambridge, Cambridge CB2 1TN, England; [De Rijke, Maarten] Univ Amsterdam, Sci Pk 904, Amsterdam, Netherlands</t>
  </si>
  <si>
    <t>Sun Yat Sen University; Mohamed bin Zayed University of Artificial Intelligence MBZUAI; University of Cambridge; University of Amsterdam</t>
  </si>
  <si>
    <t>Liang, SS (corresponding author), Sun Yat Sen Univ, Sch Comp Sci &amp; Engn, Outer Ring E Rd 132, Guangzhou 510006, Peoples R China.;Liang, SS (corresponding author), Mohamed Bin Zayed Univ Artificial Intelligence, Al Diyafah St, Abu Dhabi 7909, U Arab Emirates.</t>
  </si>
  <si>
    <t>fangjy6@gmail.com; liangshangsong@gmail.com; zm324@cam.ac.uk; m.derijke@uva.nl</t>
  </si>
  <si>
    <t>Liang, Shangsong/AAB-5514-2021</t>
  </si>
  <si>
    <t>Liang, Shangsong/0000-0003-1625-2168; de Rijke, Maarten/0000-0002-1086-0202</t>
  </si>
  <si>
    <t>National Natural Science Foundation of China [61906219]; Innovation Center for Artificial Intelligence (ICAI)</t>
  </si>
  <si>
    <t>National Natural Science Foundation of China(National Natural Science Foundation of China (NSFC)); Innovation Center for Artificial Intelligence (ICAI)</t>
  </si>
  <si>
    <t>This work is supported by the National Natural Science Foundation of China (grant No. 61906219) and the Innovation Center for Artificial Intelligence (ICAI). All content represents the opinion of the authors, which is not necessarily shared or endorsed by their respective employers and/or sponsors.</t>
  </si>
  <si>
    <t>10.1145/3478284</t>
  </si>
  <si>
    <t>0E1NE</t>
  </si>
  <si>
    <t>WOS:000776450500017</t>
  </si>
  <si>
    <t>Wu, T; Dixit, S</t>
  </si>
  <si>
    <t>The content driven mobile Internet</t>
  </si>
  <si>
    <t>Workshop on Unified Global Infrastructure</t>
  </si>
  <si>
    <t>SEP 06-07, 2002</t>
  </si>
  <si>
    <t>PRAGUE, CZECH REPUBLIC</t>
  </si>
  <si>
    <t>content delivery; edge caching; proxy; user interest correlation; mobile web; web performance; user perceived latency; multicast</t>
  </si>
  <si>
    <t>The development of future mobile networks will be driven, in large part, by content and web based services. In this paper, we examine several performance, scalability and architectural challenges faced by future mobile web applications and how advanced mobile content delivery techniques can address these challenges. We review existing content delivery using a taxonomy that consists of three categories: network scaling, end system acceleration, and content and protocol optimization. While wireline content delivery focuses on network and server scalability, mobile content delivery will likely benefit most from optimizing radio link usage. We also present our ongoing work in this area, which extends the functionality of edge caching to the terminal, uses user interest correlation information to maintain low terminal power consumption and adds a new dimension to radio resource management.</t>
  </si>
  <si>
    <t>Nokia Res Ctr, Burlington, MA 01803 USA</t>
  </si>
  <si>
    <t>Nokia Corporation; Nokia Bell Labs</t>
  </si>
  <si>
    <t>Wu, T (corresponding author), Nokia Res Ctr, 5 Wayside Rd, Burlington, MA 01803 USA.</t>
  </si>
  <si>
    <t>KLUWER ACADEMIC PUBL</t>
  </si>
  <si>
    <t>2-3</t>
  </si>
  <si>
    <t>10.1023/A:1025570318413</t>
  </si>
  <si>
    <t>718AT</t>
  </si>
  <si>
    <t>WOS:000185123500005</t>
  </si>
  <si>
    <t>Williamson, R</t>
  </si>
  <si>
    <t>Williamson, Rosemary</t>
  </si>
  <si>
    <t>AUSTRALIAN SPECIAL-INTEREST MAGAZINES: A CASE STUDY IN COMMUNITY FORMATION AND SURVIVAL</t>
  </si>
  <si>
    <t>MEDIA INTERNATIONAL AUSTRALIA</t>
  </si>
  <si>
    <t>Special-interest titles represent a dynamic sector of the Australian magazine industry, yet few studies have been undertaken on them or their histories. Quilt-making titles serve as a case study of one of the most successful special-interest categories - craft - and special-interest magazines more generally. By tracing the evolution of magazines for quilters and by taking as its premise the rhetorical function of magazines in forming communities, this article illustrates the symbiotic interaction between publishing histories, including the exploitation of new technologies, and the sense of self engendered by magazines. In quilters' magazines, this sense of self is most recently pronounced in content describing the 'modern quilter', for whom digital media literacy is characteristic. The article's findings are used to advocate further research into the rhetorical and practical responses made by special-interest titles to a competitive publishing environment that is no longer dependent on paper-based delivery of content.</t>
  </si>
  <si>
    <t>Univ New England, Sch Arts, Armidale, NSW, Australia</t>
  </si>
  <si>
    <t>Williamson, R (corresponding author), Univ New England, Sch Arts, Armidale, NSW, Australia.</t>
  </si>
  <si>
    <t>Williamson, Rosemary/0000-0001-5130-3464</t>
  </si>
  <si>
    <t>1329-878X</t>
  </si>
  <si>
    <t>2200-467X</t>
  </si>
  <si>
    <t>MEDIA INT AUST</t>
  </si>
  <si>
    <t>Media Int. Aust.</t>
  </si>
  <si>
    <t>AF7KZ</t>
  </si>
  <si>
    <t>WOS:000334895300023</t>
  </si>
  <si>
    <t>Sun, CH; Yang, XP</t>
  </si>
  <si>
    <t>Xu, LD; Tjoa, AM; Chaudhry, SS</t>
  </si>
  <si>
    <t>Sun, Caihong; Yang, Xiaoping</t>
  </si>
  <si>
    <t>An interest-oriented network evolution mechanism for online communities</t>
  </si>
  <si>
    <t>RESEARCH AND PRACTICAL ISSUES OF ENTERPRISE INFORMATION SYSTEMS II, VOL 2</t>
  </si>
  <si>
    <t>International Federation for Information Processing</t>
  </si>
  <si>
    <t>2nd International Conference on Research and Practical Issues of Enterprise Information Systems</t>
  </si>
  <si>
    <t>OCT 14-16, 2007</t>
  </si>
  <si>
    <t>network evolution mechanism; online communities; social network; information diffusion; friendship network</t>
  </si>
  <si>
    <t>Online communities involve lots of interactions among members. Those interactions are usually shown as friend links between community members, and an online community could be seen as a network of members. The structures and properties of community network formed are important to the information diffusion in communities. Hence, the network formation mechanisms attract great interest in recent years. In this paper, an interest-oriented network evolution mechanism is proposed to study the growth and evolution of social network of online communities. Agents in an online community tend to choose those who share similar interests with them to be their friends. In our model, we define n different interest categories; they could refer to sports, movies, music, literatures and so on. Each agent has an interest vector (V-1,V-2,...,V-n) to indicate its interests.</t>
  </si>
  <si>
    <t>[Sun, Caihong; Yang, Xiaoping] Renmin Univ China, Sch Informat, Beijing 100872, Peoples R China</t>
  </si>
  <si>
    <t>Renmin University of China</t>
  </si>
  <si>
    <t>Sun, CH (corresponding author), Renmin Univ China, Sch Informat, Beijing 100872, Peoples R China.</t>
  </si>
  <si>
    <t>chsun@ruc.edu.cn; yang@ruc.edu.cn</t>
  </si>
  <si>
    <t>1571-5736</t>
  </si>
  <si>
    <t>978-0-387-76311-8</t>
  </si>
  <si>
    <t>INT FED INFO PROC</t>
  </si>
  <si>
    <t>Business; Computer Science, Information Systems; Computer Science, Interdisciplinary Applications; Computer Science, Theory &amp; Methods; Information Science &amp; Library Science; Literature; Management</t>
  </si>
  <si>
    <t>Business &amp; Economics; Computer Science; Information Science &amp; Library Science; Literature</t>
  </si>
  <si>
    <t>BGU65</t>
  </si>
  <si>
    <t>WOS:000250701800059</t>
  </si>
  <si>
    <t>Wang, CZ; Wang, ZQ; Li, QQ</t>
  </si>
  <si>
    <t>Wang Chunzhi; Wang Zeqi; Li Qianqian</t>
  </si>
  <si>
    <t>Study of the E-learning System Based On the Personalized Knowledge Search</t>
  </si>
  <si>
    <t>PROCEEDINGS OF THE 2013 8TH INTERNATIONAL CONFERENCE ON COMPUTER SCIENCE &amp; EDUCATION (ICCSE 2013)</t>
  </si>
  <si>
    <t>8th International Conference on Computer Science and Education (ICCSE)</t>
  </si>
  <si>
    <t>APR 26-28, 2013</t>
  </si>
  <si>
    <t>Sri Lanka Inst Informat Technol, Colombo, SRI LANKA</t>
  </si>
  <si>
    <t>Inst Elect &amp; Elect Engineers,Natl Res Council Comp Educ Coll &amp; Univ,Inst Elect &amp; Elect Engineers Sri Lanka Sect</t>
  </si>
  <si>
    <t>Sri Lanka Inst Informat Technol</t>
  </si>
  <si>
    <t>Personalized knowledge search; Ontology; User interest model; E-learning; teaching model</t>
  </si>
  <si>
    <t>Due to the fact that most of current E-learning systems have problems of insufficient personalization, this paper puts forward the idea that completes the personalized knowledge search based on the open source E-learning system, then constructs domain ontology that are used to build user interest model, and finally, this model is embedded in Notch search engine to realize the personalized knowledge search. These techniques make the orientation of the E-learning system based on learner's learning interests and preference information to adapt to the characteristics of learner curriculum resources and to create a personalized learning environment. Experiments have shown that, through the creation of ontology based on the user interest model, the personalized knowledge search can effectively enhance the learner's learning interests and meet the needs of individual learners ' learning.</t>
  </si>
  <si>
    <t>[Wang Chunzhi; Wang Zeqi] Hubei Univ Technol, Sch Comp Sci, Wuhan 430068, Peoples R China</t>
  </si>
  <si>
    <t>Hubei University of Technology</t>
  </si>
  <si>
    <t>Wang, CZ (corresponding author), Hubei Univ Technol, Sch Comp Sci, Wuhan 430068, Peoples R China.</t>
  </si>
  <si>
    <t>chunzhiwang@126.com; shadow1119@qq.com</t>
  </si>
  <si>
    <t>wang, chunzhi/0000-0001-9006-8321</t>
  </si>
  <si>
    <t>978-1-4673-4463-0; 978-1-4673-4464-7</t>
  </si>
  <si>
    <t>Computer Science, Interdisciplinary Applications; Computer Science, Theory &amp; Methods; Education, Scientific Disciplines</t>
  </si>
  <si>
    <t>BIB64</t>
  </si>
  <si>
    <t>WOS:000327302900108</t>
  </si>
  <si>
    <t>Becattini, F; Ferracani, A; Becchi, G; Del Bimbo, A</t>
  </si>
  <si>
    <t>Becattini, Federico; Ferracani, Andrea; Becchi, Giuseppe; Del Bimbo, Alberto</t>
  </si>
  <si>
    <t>Events in crowded places: A smart service management</t>
  </si>
  <si>
    <t>Videosurveillance; Indoor routing; Crowd analysis</t>
  </si>
  <si>
    <t>FLOW</t>
  </si>
  <si>
    <t>In this work we present eSERVANT (eventS in crowdEd places: a smaRt serVice mANagemenT), an ICT hardware and software infrastructure that allows the management of services tied to big events such as concerts, sport matches or fairs that take place in dedicated facilities. Among the main features of eSERVANT there is a vision-based dynamic routing that exploits computer vision techniques to detect people and track their movements within a facility. Thanks to an estimate of room occupancies and inbound/outbound flows, we propose an algorithm for dynamically selecting the best indoor route and avoid hazardous situations. At the same time, we perform user profiling finalized to promoting social networking through recommendation. To assess the usefulness of our infrastructure we established a test case over a six month experimentation and quantitatively evaluated user satisfaction. (c) 2022 Elsevier B.V. All rights reserved.</t>
  </si>
  <si>
    <t>[Becattini, Federico; Ferracani, Andrea; Becchi, Giuseppe; Del Bimbo, Alberto] Univ Florence, Florence, Italy</t>
  </si>
  <si>
    <t>Becattini, F (corresponding author), Univ Florence, Florence, Italy.</t>
  </si>
  <si>
    <t>federico.becattini@unifi.it; andrea.ferracani@unifi.it; giuseppe.becchi@unifi.it; alberto.delbimbo@unifi.it</t>
  </si>
  <si>
    <t>BECATTINI, FEDERICO/AAE-8554-2021</t>
  </si>
  <si>
    <t>BECATTINI, FEDERICO/0000-0003-2537-2700</t>
  </si>
  <si>
    <t>10.1016/j.patrec.2022.11.011</t>
  </si>
  <si>
    <t>NOV 2022</t>
  </si>
  <si>
    <t>8F3AA</t>
  </si>
  <si>
    <t>WOS:000919537100006</t>
  </si>
  <si>
    <t>Fang, MQ; He, SP</t>
  </si>
  <si>
    <t>Xia, GP; Deng, XQ</t>
  </si>
  <si>
    <t>Fang, Meiqi; He, Siping</t>
  </si>
  <si>
    <t>PERSONALIZED INFORMATION RECOMMENDATION IN E-COMMERCE BASED ON RSS AND ONTOLOGY INFERENCE</t>
  </si>
  <si>
    <t>PROCEEDINGS OF THE 38TH INTERNATIONAL CONFERENCE ON COMPUTERS AND INDUSTRIAL ENGINEERING, VOLS 1-3</t>
  </si>
  <si>
    <t>38th International Conference on Computers and Industrial Engineering</t>
  </si>
  <si>
    <t>OCT 31-NOV 02, 2008</t>
  </si>
  <si>
    <t>Beihang Univ, Beijing, PEOPLES R CHINA</t>
  </si>
  <si>
    <t>Beihang Univ</t>
  </si>
  <si>
    <t>Personalized Recommendation; E-Commerce; RSS; Ontology; Jena</t>
  </si>
  <si>
    <t>As one of the key technologies in Web2.0, RSS is applied in E-Commerce gradually which pushes the late commodity information to people. But this way is restricted in the information which user subscribes. In this paper, we push the commodity information which user would have interests but doesn't subscribe through RSS and ontology inference. Through expanding RSS standard by concept of Ontology, we establish a user interest model. Then by using Jena inference engine on user interest model, the related commodity information will be pushed to user as personalized information recommendation.</t>
  </si>
  <si>
    <t>[Fang, Meiqi; He, Siping] Renmin Univ China, Sch Informat, Beijing, Peoples R China</t>
  </si>
  <si>
    <t>Fang, MQ (corresponding author), Renmin Univ China, Sch Informat, Beijing, Peoples R China.</t>
  </si>
  <si>
    <t>meiqif@gmail.com; hesp@yahoo.cn</t>
  </si>
  <si>
    <t>PUBLISHING HOUSE ELECTRONICS INDUSTRY</t>
  </si>
  <si>
    <t>PO BOX 173 WANSHOU ROAD, BEIJING 100036, PEOPLES R CHINA</t>
  </si>
  <si>
    <t>978-7-121-07437-0</t>
  </si>
  <si>
    <t>Computer Science, Information Systems; Engineering, Industrial</t>
  </si>
  <si>
    <t>BIR61</t>
  </si>
  <si>
    <t>WOS:000262289600222</t>
  </si>
  <si>
    <t>Parwez, MA; Abulaish, M; Jahiruddin</t>
  </si>
  <si>
    <t>Parwez, Md Aslam; Abulaish, Muhammad; Jahiruddin</t>
  </si>
  <si>
    <t>Multi-Label Classification of Microblogging Texts Using Convolution Neural Network</t>
  </si>
  <si>
    <t>Social network analysis; machine learning; deep learning; multi-label classification; word embedding; convolution neural network</t>
  </si>
  <si>
    <t>Microblogging sites contain a huge amount of textual data and their classification is an imperative task in many applications, such as information filtering, user profiling, topical analysis, and content tagging. Traditional machine learning approaches mainly use a bag of words or n-gram techniques to generate feature vectors as text representation to train classifiers and perform considerably well for many text information processing tasks. Since short texts, such as tweets, contain a very limited number of words, the traditional machine learning approaches suffer from data sparsity and curse of dimensionality problems due to feature representation using a bag of words or n-grams techniques. Nowadays, the use of feature vectors, such as word embeddings, as an input to neural networks for text classification and clustering has shown a remarkable performance gain. In this paper, we present the different neural network models for multi-label classification of microblogging data. The proposed models are based on convolutional neural network (CNN) architectures, which utilize pre-trained word embeddings from generic and domain-specific textual data sources. The word embeddings are used individually and in various combinations through different channels of CNN to predict class labels. We also present a comparative analysis of the proposed CNN models with traditional machine learning models and one of the existing CNN architectures. The proposed models are evaluated over a real Twitter dataset, and the experimental results establish their efficacy to classify microblogging texts with improved accuracy in comparison with the traditional machine learning approaches and the existing CNN models.</t>
  </si>
  <si>
    <t>[Parwez, Md Aslam; Jahiruddin] Jamia Millia Islamia, Dept Comp Sci, New Delhi 110025, India; [Abulaish, Muhammad] South Asian Univ, Dept Comp Sci, New Delhi 110021, India</t>
  </si>
  <si>
    <t>Jahiruddin (corresponding author), Jamia Millia Islamia, Dept Comp Sci, New Delhi 110025, India.</t>
  </si>
  <si>
    <t>jahir.jmi@gmail.com</t>
  </si>
  <si>
    <t>PARWEZ, ASLAM/AAR-3119-2021; Abulaish, Muhammad/L-7397-2014; , Jahiruddin/AAQ-8811-2021</t>
  </si>
  <si>
    <t>PARWEZ, ASLAM/0000-0003-0087-7171; Abulaish, Muhammad/0000-0003-3387-4743; , Jahiruddin/0000-0003-3909-9821</t>
  </si>
  <si>
    <t>10.1109/ACCESS.2019.2919494</t>
  </si>
  <si>
    <t>IC9ZF</t>
  </si>
  <si>
    <t>WOS:000471342800001</t>
  </si>
  <si>
    <t>Ullah, I; Boreli, R; Kanhere, SS; Chawla, S; Ahanger, TA; Tariq, U</t>
  </si>
  <si>
    <t>Ullah, Imdad; Boreli, Roksana; Kanhere, Salil S.; Chawla, Sanjay; Ahanger, Tariq Ahamed; Tariq, Usman</t>
  </si>
  <si>
    <t>Protecting Private Attributes in App Based Mobile User Profiling</t>
  </si>
  <si>
    <t>Advertising; Google; Privacy; Ecosystems; Servers; Companies; Mobile handsets; Privacy; targeted ads; mobile apps; obfuscation; user experience</t>
  </si>
  <si>
    <t>The Analytics companies enable successful targeted advertising via user profiles, derived from the mobile apps installed by specific users, and hence have become an integral part of the mobile advertising industry. This threatens the users' privacy, when profiling is based on apps representing sensitive information, e.g., gambling problems indicated by a game app. In this work, we propose an app-based profile obfuscation mechanism, ProfileGuard, with the objective of eliminating the dominance of private interest categories (i.e. the prevailing private interest categories present in a user profile). We demonstrate, based on wide-range experimental evaluation of Android apps in a nine month test campaign, that the proposed obfuscation mechanism based on similarity with user's existing apps (ensuring that selected obfuscating apps belong to non-private categories) can achieve a good trade-off between efforts required by the obfuscating system and the resulting privacy protection. We also show how the bespoke (customised to profile obfuscation) and bespoke++ (resource-aware) strategies can deliver significant improvements in the level of obfuscation and (particularly bespoke++) in the use of mobile resources, making the latter a good candidate strategy in resource-constrained scenarios e.g., for fixed data use mobile plans. We also implement a POC ProfileGuard app to demonstrate the feasibility of an automated obfuscation mechanism. Furthermore, we provide insights to Google AdMob profiling rules, such as showing how individual apps map to user's interests within their profile in a deterministic way and that AdMob requires a certain level of activity to build a stable user profile.</t>
  </si>
  <si>
    <t>[Ullah, Imdad; Ahanger, Tariq Ahamed; Tariq, Usman] Prince Sattam bin Abdulaziz Univ, Coll Comp Engn &amp; Sci, Al Kharj 11942, Saudi Arabia; [Boreli, Roksana; Kanhere, Salil S.] UNSW Sydney, Sydney, NSW 2052, Australia; [Chawla, Sanjay] Hamad Bin Khalifa Univ, QCRI, Doha 34110, Qatar</t>
  </si>
  <si>
    <t>Prince Sattam Bin Abdulaziz University; University of New South Wales Sydney; Qatar Foundation (QF); Hamad Bin Khalifa University-Qatar; Qatar Computing Research Institute</t>
  </si>
  <si>
    <t>Ullah, I (corresponding author), Prince Sattam bin Abdulaziz Univ, Coll Comp Engn &amp; Sci, Al Kharj 11942, Saudi Arabia.</t>
  </si>
  <si>
    <t>i.ullah@psau.edu.sa</t>
  </si>
  <si>
    <t>Ahanger, Tariq Ahamed/E-8985-2016; Kanhere, Salil/ABA-2025-2021; Ullah, Imdad/AHE-1121-2022; Tariq, Usman/AAE-8037-2022</t>
  </si>
  <si>
    <t>Ahanger, Tariq Ahamed/0000-0002-4525-0738; Kanhere, Salil/0000-0002-1835-3475; Ullah, Imdad/0000-0002-8188-2601; Tariq, Usman/0000-0001-7672-1187</t>
  </si>
  <si>
    <t>Deanship of Scientific Research at Prince Sattam Bin Abdulaziz University [2020/01/13203]</t>
  </si>
  <si>
    <t>Deanship of Scientific Research at Prince Sattam Bin Abdulaziz University(Prince Sattam Bin Abdulaziz University)</t>
  </si>
  <si>
    <t>This work was supported by the Deanship of Scientific Research at Prince Sattam Bin Abdulaziz University under Grant 2020/01/13203.</t>
  </si>
  <si>
    <t>10.1109/ACCESS.2020.3014424</t>
  </si>
  <si>
    <t>NB2FO</t>
  </si>
  <si>
    <t>WOS:000560329000001</t>
  </si>
  <si>
    <t>Arce-Rodríguez, N; Corrales-Montero, S; Pacheco-Molina, JA; Mora-Román, JJ</t>
  </si>
  <si>
    <t>Arce-Rodriguez, Noelia; Corrales-Montero, Sianny; Pacheco-Molina, Jorge Andres; Mora-Roman, Juan Jose</t>
  </si>
  <si>
    <t>Development of a digital tool to address unregulated cases in various procedures for the health interest</t>
  </si>
  <si>
    <t>TECNOLOGIA EN MARCHA</t>
  </si>
  <si>
    <t>Pharmaceutical industry; regulatory affairs; corrective action; preventive action; artificial intelligence; knowledge-based system</t>
  </si>
  <si>
    <t>The results showed that all batches in the Regulatory Affairs Department of a pharmaceutical company must be constantly updated, as regulatory requirements are evolving globally. One of the tools available is Preventive Actions and Corrective Actions (CAPAs). Artificial intelligence (AI) is currently used to implement these systems. The objective of this research was to create a digital tool for the collection of historical information on cases not contemplated in the official regulation related to the submission of various procedures regarding over-the-counter medicines, cosmetics, medical devices, and food supplements in countries in Central America and the Caribbean, as well as Ecuador and Uruguay. To carry it out, a knowledge-based system (KBS) was developed employing CAPAs, with information not contemplated in the corresponding regulations. This work involved collecting historical information from the nations of interest, categorizing the list of preventions, separating the cases, reviewing the results, and unifying the information. The digital tool was then designed utilizing Microsoft SharePoint (R), with the subsequent information migration. Finally, the final product was validated, and the work team was trained. Thanks to the work, an innovative and efficient user interface was designed without employing more traditional tools. Additionally, the validation of the knowledge base proved to be an appropriate digital strategy in terms of content, design, and format.</t>
  </si>
  <si>
    <t>[Arce-Rodriguez, Noelia; Corrales-Montero, Sianny] Univ Costa Rica, Fac Farm, San Jose, Costa Rica; [Pacheco-Molina, Jorge Andres; Mora-Roman, Juan Jose] Univ Costa Rica, Fac Farm, Dept Farm Ind, San Jose, Costa Rica</t>
  </si>
  <si>
    <t>Universidad Costa Rica; Universidad Costa Rica</t>
  </si>
  <si>
    <t>Arce-Rodríguez, N (corresponding author), Univ Costa Rica, Fac Farm, San Jose, Costa Rica.</t>
  </si>
  <si>
    <t>noelia.arcerodriguez@ucr.ac.cr; sianny.corrales.montero@gmail.com; jorge.pacheco@ucr.ac.cr; juanjose.moraroman@ucr.ac.cr</t>
  </si>
  <si>
    <t>Arce Rodríguez, Noelia/0000-0002-6183-5891</t>
  </si>
  <si>
    <t>INST TECNOLOGICO COSTA RICA</t>
  </si>
  <si>
    <t>CARTAGO</t>
  </si>
  <si>
    <t>APDO 159, CARTAGO, 7050, COSTA RICA</t>
  </si>
  <si>
    <t>0379-3982</t>
  </si>
  <si>
    <t>2215-3241</t>
  </si>
  <si>
    <t>TECNOL MARCHA</t>
  </si>
  <si>
    <t>Tecnol. Marcha</t>
  </si>
  <si>
    <t>10.18845/tm.v39i1.7859</t>
  </si>
  <si>
    <t>AQ6IC</t>
  </si>
  <si>
    <t>WOS:001654429000010</t>
  </si>
  <si>
    <t>ROSS, SM; MCCORMICK, D; KRISAK, N</t>
  </si>
  <si>
    <t>ADAPTING THE THEMATIC CONTEXT OF MATHEMATICAL PROBLEMS TO STUDENT INTERESTS - INDIVIDUALIZED VERSUS GROUP-BASED STRATEGIES</t>
  </si>
  <si>
    <t>ROSS, SM (corresponding author), MEMPHIS STATE UNIV,FDN EDUC,MEMPHIS,TN 38152, USA.</t>
  </si>
  <si>
    <t>HELDREF PUBLICATIONS</t>
  </si>
  <si>
    <t>1319 EIGHTEENTH ST NW, WASHINGTON, DC 20036-1802</t>
  </si>
  <si>
    <t>MAR-APR</t>
  </si>
  <si>
    <t>10.1080/00220671.1986.10885685</t>
  </si>
  <si>
    <t>A3887</t>
  </si>
  <si>
    <t>WOS:A1986A388700009</t>
  </si>
  <si>
    <t>Walsh, JP; Sun, JCY; Riconscente, M</t>
  </si>
  <si>
    <t>Walsh, John P.; Sun, Jerry Chih-Yuan; Riconscente, Michelle</t>
  </si>
  <si>
    <t>Online Teaching Tool Simplifies Faculty Use of Multimedia and Improves Student Interest and Knowledge in Science</t>
  </si>
  <si>
    <t>MEDICAL-EDUCATION; TECHNOLOGY; SCIENTISTS; IMPACT; GUIDE</t>
  </si>
  <si>
    <t>Digital technologies can improve student interest and knowledge in science. However, researching the vast number of websites devoted to science education and integrating them into undergraduate curricula is time-consuming. We developed an Adobe ColdFusion- and Adobe Flash-based system for simplifying the construction, use, and delivery of electronic educational materials in science. The Online Multimedia Teaching Tool (OMTT) in Neuroscience was constructed from a ColdFusion-based online interface, which reduced the need for programming skills and the time for curriculum development. The OMTT in Neuroscience was used by faculty to enhance their lectures in existing curricula. Students had unlimited online access to encourage user-centered exploration. We found the OMTT was rapidly adapted by multiple professors, and its use by undergraduate students was consistent with the interpretation that the OMTT improved performance on exams and increased interest in the field of neuroscience.</t>
  </si>
  <si>
    <t>[Walsh, John P.; Sun, Jerry Chih-Yuan] Univ So Calif, Davis Sch Gerontol, Los Angeles, CA 90089 USA; [Walsh, John P.] Univ So Calif, Program Neurosci, Los Angeles, CA 90089 USA; [Sun, Jerry Chih-Yuan] Natl Chiao Tung Univ, Ctr Teacher Educ, Inst Educ, Hsinchu, Taiwan; [Riconscente, Michelle] Univ So Calif, Rossier Sch Educ, Los Angeles, CA 90089 USA</t>
  </si>
  <si>
    <t>University of Southern California; University of Southern California; National Yang Ming Chiao Tung University; University of Southern California</t>
  </si>
  <si>
    <t>Walsh, JP (corresponding author), Univ So Calif, Davis Sch Gerontol, Los Angeles, CA 90089 USA.</t>
  </si>
  <si>
    <t>jwalsh@usc.edu</t>
  </si>
  <si>
    <t>Sun, Jerry Chih-Yuan/C-5255-2009</t>
  </si>
  <si>
    <t>Sun, Jerry Chih-Yuan/0000-0002-7892-4313</t>
  </si>
  <si>
    <t>NSF [0836966]; Direct For Education and Human Resources; Division Of Undergraduate Education [0836966] Funding Source: National Science Foundation</t>
  </si>
  <si>
    <t>NSF(National Science Foundation (NSF)); Direct For Education and Human Resources; Division Of Undergraduate Education(National Science Foundation (NSF)NSF - Directorate for STEM Education (EDU))</t>
  </si>
  <si>
    <t>This study was supported by a grant from the NSF Course Curriculum and Laboratory Improvement Program (Award No. 0836966).</t>
  </si>
  <si>
    <t>10.1187/cbe.11-03-0031</t>
  </si>
  <si>
    <t>814TL</t>
  </si>
  <si>
    <t>WOS:000294480000008</t>
  </si>
  <si>
    <t>Daoud, M; Tamine-Lechani, L; Boughanem, M</t>
  </si>
  <si>
    <t>Ao, SI; Gelman, L; Hukins, DWL; Hunter, A; Korsunsky, AM</t>
  </si>
  <si>
    <t>Daoud, Mariam; Tamine-Lechani, Lynda; Boughanem, Mohand</t>
  </si>
  <si>
    <t>Using a concept-based user context for search personalization</t>
  </si>
  <si>
    <t>WORLD CONGRESS ON ENGINEERING 2008, VOLS I-II</t>
  </si>
  <si>
    <t>Lecture Notes in Engineering and Computer Science</t>
  </si>
  <si>
    <t>World Congress on Engineering 2008</t>
  </si>
  <si>
    <t>JUL 02-04, 2008</t>
  </si>
  <si>
    <t>Imperial Coll London, London, ENGLAND</t>
  </si>
  <si>
    <t>Int Assoc Engineers</t>
  </si>
  <si>
    <t>Imperial Coll London</t>
  </si>
  <si>
    <t>user context; user interest; ontology; personalization</t>
  </si>
  <si>
    <t>Because of the diversity of the user interests and the ambiguity of the user query, current search engines are not very effective. Indeed, they are based on simple query-document matches without considering the user background and interests. Personalized search aims at integrating the user context, defined as a set of user's topics of interests, in the information retrieval (IR) process in order to tailor search results to a particular user. An effective personalization is achieved when an accurate representation of the user context is provided. We present in this paper our approach for learning long term user interests by collecting information from the user's feedback and using existing domain ontology. The learning process is based on the aggregation of the short term user contexts represented as a set of general concepts, where the user context reflect the user's topics of interest in a specific search session. Personalization is achieved by using the user contexts across related search sessions. Our experimental results carried out in TREC collection show that re-ranking the search results based on the concepts weights of the short term user context brings significant improvements in the retrieval precision.</t>
  </si>
  <si>
    <t>[Daoud, Mariam; Tamine-Lechani, Lynda; Boughanem, Mohand] Paul Sabatier Univ, IRIT, SIG, Toulouse, France</t>
  </si>
  <si>
    <t>Universite de Toulouse (EPE); Communaute d'universites et etablissements de Toulouse (Comue)</t>
  </si>
  <si>
    <t>Daoud, M (corresponding author), Paul Sabatier Univ, IRIT, SIG, 118 Route Narbonne, Toulouse, France.</t>
  </si>
  <si>
    <t>daoud@irit.fr; lechani@irit.fr; bougha@irit.fr</t>
  </si>
  <si>
    <t>Boughanem, Mohand/LQJ-9514-2024</t>
  </si>
  <si>
    <t>INT ASSOC ENGINEERS-IAENG</t>
  </si>
  <si>
    <t>HONG KONG</t>
  </si>
  <si>
    <t>UNIT 1, 1-F, 37-39 HUNG TO ROAD, KWUN TONG, HONG KONG, 00000, PEOPLES R CHINA</t>
  </si>
  <si>
    <t>2078-0958</t>
  </si>
  <si>
    <t>978-988-98671-9-5</t>
  </si>
  <si>
    <t>LECT NOTES ENG COMP</t>
  </si>
  <si>
    <t>Computer Science, Hardware &amp; Architecture; Computer Science, Theory &amp; Methods; Engineering, Multidisciplinary; Engineering, Electrical &amp; Electronic; Mathematics, Applied</t>
  </si>
  <si>
    <t>Computer Science; Engineering; Mathematics</t>
  </si>
  <si>
    <t>BIH83</t>
  </si>
  <si>
    <t>WOS:000259580600054</t>
  </si>
  <si>
    <t>Kim, S; Jiang, JY; Nakada, M; Han, JY; Wang, W</t>
  </si>
  <si>
    <t>Kim, Seungbae; Jiang, Jyun-Yu; Nakada, Masaki; Han, Jinyoung; Wang, Wei</t>
  </si>
  <si>
    <t>Multimodal Post Attentive Profiling for Influencer Marketing</t>
  </si>
  <si>
    <t>WEB CONFERENCE 2020: PROCEEDINGS OF THE WORLD WIDE WEB CONFERENCE (WWW 2020)</t>
  </si>
  <si>
    <t>29th World Wide Web Conference (WWW)</t>
  </si>
  <si>
    <t>APR 20-24, 2020</t>
  </si>
  <si>
    <t>Assoc Comp Machinery,Quanta Comp,Taiwan Mobile Co Ltd,Chunghwa Telecom,Microsoft,Taipei City Govt, Dept Informat Technol,Zoom,FET,Web4Good,ELTA HD,ELTA Technol Co Ltd,Facebook,Yahoo Res,Pinterest</t>
  </si>
  <si>
    <t>Influencer marketing; Multimodal neural network; Multi-task learning; Influencer profiling; Social media; User profiling</t>
  </si>
  <si>
    <t>Influencer marketing has become a key marketing method for brands in recent years. Hence, brands have been increasingly utilizing influencers' social networks to reach niche markets, and researchers have been studying various aspects of influencer marketing. However, brands have often suffered from searching and hiring the right influencers with specific interests/topics for their marketing due to a lack of available influencer data and/or limited capacity of marketing agencies. This paper proposes a multimodal deep learning model that uses text and image information from social media posts (i) to classify influencers into specific interests/topics (e.g., fashion, beauty) and (ii) to classify their posts into certain categories. We use the attention mechanism to select the posts that are more relevant to the topics of influencers, thereby generating useful influencer representations. We conduct experiments on the dataset crawled from Instagram, which is the most popular social media for influencer marketing. The experimental results show that our proposed model significantly outperforms existing user profiling methods by achieving 98% and 96% accuracy in classifying influencers and their posts, respectively. We release our influencer dataset of 33,935 influencers labeled with specific topics based on 10,180,500 posts to facilitate future research.</t>
  </si>
  <si>
    <t>[Kim, Seungbae; Jiang, Jyun-Yu; Nakada, Masaki; Wang, Wei] Univ Calif Los Angeles, Dept Comp Sci, Los Angeles, CA 90024 USA; [Han, Jinyoung] Sungkyunkwan Univ, Dept Appl Artificial Intelligence, Seoul, South Korea</t>
  </si>
  <si>
    <t>University of California System; University of California Los Angeles; Sungkyunkwan University (SKKU)</t>
  </si>
  <si>
    <t>Kim, S (corresponding author), Univ Calif Los Angeles, Dept Comp Sci, Los Angeles, CA 90024 USA.</t>
  </si>
  <si>
    <t>sbkim@cs.ucla.edu; jyunyu@cs.ucla.edu; nakada@cs.ucla.edu; jinyounghan@skku.edu; weiwang@cs.ucla.edu</t>
  </si>
  <si>
    <t>; Nakada, Masaki/HCI-6840-2022; Kim, Seungbae/LNR-1195-2024</t>
  </si>
  <si>
    <t>Wang, Wei/0000-0002-8180-2886;</t>
  </si>
  <si>
    <t>NSF Division Of Graduate Education [DGE-1829071]; Basic Science Research Program through the NRF - Ministry of Education [NRF-2018R1D1A1A020 85647]</t>
  </si>
  <si>
    <t>NSF Division Of Graduate Education(National Science Foundation (NSF)NSF - Directorate for STEM Education (EDU)); Basic Science Research Program through the NRF - Ministry of Education(National Research Foundation of Korea)</t>
  </si>
  <si>
    <t>We thank the reviewers for their constructive feedback. The work was partially supported by the NSF Division Of Graduate Education (DGE-1829071) and Basic Science Research Program through the NRF funded by the Ministry of Education (NRF-2018R1D1A1A020 85647). CorrespondingAuthor: Jinyoung Han (jinyounghan@skku.edu)</t>
  </si>
  <si>
    <t>978-1-4503-7023-3</t>
  </si>
  <si>
    <t>10.1145/3366423.3380052</t>
  </si>
  <si>
    <t>BQ9OC</t>
  </si>
  <si>
    <t>WOS:000626273302109</t>
  </si>
  <si>
    <t>Safta, CG</t>
  </si>
  <si>
    <t>Ungureanu, R; Mocanu, M</t>
  </si>
  <si>
    <t>Safta, Cristina Georgiana</t>
  </si>
  <si>
    <t>Personal Values and Interests - Implications on the Occupational Choices</t>
  </si>
  <si>
    <t>FIFTH INTERNATIONAL CONFERENCE ON ADULT EDUCATION (CIEA 2018): EDUCATION FOR VALUES - CONTINUITY AND CONTEXT</t>
  </si>
  <si>
    <t>5th International Conference on Adult Education (CIEA)</t>
  </si>
  <si>
    <t>APR 25-27, 2018</t>
  </si>
  <si>
    <t>Iasi, ROMANIA</t>
  </si>
  <si>
    <t>values; interests; occupational choices; professional satisfaction</t>
  </si>
  <si>
    <t>During their life and career span, people face many transition periods when they need to redefine their priorities, value their transferable competences, become involved in multiple role changes, adapt to new environments. In this context of change marked by fluctuations and uncertainties, the deeply rooted values more than the interests and projects one might have at a given moment represent a red thread, a stability element. In other words, during these socio-professional adventures during which identity benchmarks are unclear and uncertain individual values can represent a light that reveals the way towards the fmal target or at least towards what we define as a primary stage in reaching what we want or should want. The present study intends to prove once again the necessity of reconciliation between individual and socio-occupational values while reaching for professional and personal success. The first part of the study defines the key concepts and clarifies the role of values and personal interests in making educational and professional choices. The second part showcases the results of a research conducted in the Petroleum Gas University of Ploiesti, whose purpose was to establish the degree to which educational or professional satisfaction is determined by the congruence of values and personal interests with institutional ones.</t>
  </si>
  <si>
    <t>[Safta, Cristina Georgiana] Petr Gas Univ Ploiesti, 39 Bucuresti Blvd, Ploiesti 100680, Romania</t>
  </si>
  <si>
    <t>Petroleum-Gas University of Ploiesti</t>
  </si>
  <si>
    <t>Safta, CG (corresponding author), Petr Gas Univ Ploiesti, 39 Bucuresti Blvd, Ploiesti 100680, Romania.</t>
  </si>
  <si>
    <t>crystyne_s@yahoo.com</t>
  </si>
  <si>
    <t>Safta, Cristina/MFJ-0634-2025</t>
  </si>
  <si>
    <t>EDITOGRAFICA S R L</t>
  </si>
  <si>
    <t>PIANORO</t>
  </si>
  <si>
    <t>INTL PROCEEDINGS DIV, VIA G VERDI 15, PIANORO, BOLOGNA 1-40065, ITALY</t>
  </si>
  <si>
    <t>978-88-87729-48-1</t>
  </si>
  <si>
    <t>BL7UK</t>
  </si>
  <si>
    <t>WOS:000455654000080</t>
  </si>
  <si>
    <t>Hong, T; Choi, C; Shin, J</t>
  </si>
  <si>
    <t>Hong, Taekeun; Choi, Chang; Shin, Juhyun</t>
  </si>
  <si>
    <t>CNN-based malicious user detection in social networks</t>
  </si>
  <si>
    <t>convolutional neural network; malicious user detection; Open Directory Project; SNS Security; social network service</t>
  </si>
  <si>
    <t>Following the advances in various smart devices, there are increasing numbers of users of social network services (SNS), which allows communication and information sharing in real time without limitations on distance or space. Although personal information leakage can occur through SNS, where an individual's personal details or online activities are leaked, and various financial crimes such as phishing and smishing are also possible, there are currently no countermeasures. Consequently, malicious activities are being conducted through messages toward the users who are in follow or friend relationships on SNS. Therefore, in this paper, we propose a method of assessing follow suggestions from users with less likelihood of committing malicious activities through an information-driven follow suggestion based on a categorical classification of interests using both the images and text of user posts. We ensure the objectiveness of interest categories by defining these based on DMOZ, which is established by the Open Directory Project. The images and text are learnt using a convolutional neural network, which is one of the machine learning techniques developed with a biological inspiration, and the interests are classified into categories. Users with a large number of posts are defined as certified users, and a database of certified users is established. Users with similar interests are classified, and the similarity distances between certified users and users are measured, and a follow suggestion is generated to the certified user with the most similar interest. Using the method proposed in this paper to classify the interest categories of certified users and users, precisions of 80% and 79.8% were obtained, respectively, and the overall precision was 79.93%, indicating a good classification performance overall. It is expected that the method proposed in this paper can be used to provide follow suggestions of users with less likelihood of malicious activities based on the information posted by the user.</t>
  </si>
  <si>
    <t>[Hong, Taekeun] Chosun Univ, Software Convergence Engn, 309 Pilmun Daero, Gwangju, South Korea; [Choi, Chang] Chosun Univ, Comp Engn, 309 Pilmun Daero, Gwangju, South Korea; [Shin, Juhyun] Chosun Univ, Control &amp; Measuring Robot Engn, 309 Pilmun Daero, Gwangju, South Korea</t>
  </si>
  <si>
    <t>Chosun University; Chosun University; Chosun University</t>
  </si>
  <si>
    <t>Shin, J (corresponding author), Chosun Univ, Control &amp; Measuring Robot Engn, 309 Pilmun Daero, Gwangju, South Korea.</t>
  </si>
  <si>
    <t>jhshinkr@chosun.ac.kr</t>
  </si>
  <si>
    <t>Choi, Chang/U-7208-2019; Shin, Juhyun/ITW-2431-2023</t>
  </si>
  <si>
    <t>Choi, Chang/0000-0002-2276-2378; Shin, Juhyun/0000-0003-0568-9743</t>
  </si>
  <si>
    <t>JAN 25</t>
  </si>
  <si>
    <t>e4163</t>
  </si>
  <si>
    <t>10.1002/cpe.4163</t>
  </si>
  <si>
    <t>FQ5LU</t>
  </si>
  <si>
    <t>WOS:000418402600001</t>
  </si>
  <si>
    <t>Chen, YY; Hou, PF; Li, H; Yang, ZX; Zheng, Y; Yang, J</t>
  </si>
  <si>
    <t>Chen, Yanyan; Hou, Pengfei; Li, Hui; Yang, Zixuan; Zheng, Ying; Yang, Juan</t>
  </si>
  <si>
    <t>A Novel Overlapping Community Detection Algorithm Combing Interest Topic and Local Density</t>
  </si>
  <si>
    <t>INTERNATIONAL JOURNAL OF PATTERN RECOGNITION AND ARTIFICIAL INTELLIGENCE</t>
  </si>
  <si>
    <t>Ontology; interest; topic; module distribution entropy; overlapping communities; community detection</t>
  </si>
  <si>
    <t>Ontology user portraits describe the semantic structure of users' interests. It is very important to study the similar relationship between user portraits to find the communities with overlapping interests. The hierarchical characteristics of user interest can generate multiple similarity relations, which is conducive to the formation of interest clusters. This paper proposed a method of overlapping community detection combining the hierarchical characteristics of user interest and the module distribution entropy of node. First, a hierarchical user interest model was constructed based on the ontology knowledge base to measure the multi-granularity topic similarity of users. Then, a heterogeneous hypergraph was established by using the multi-granularity topic similarity and the following similarity of users to represent the interest network. Based on the mechanism of module distribution entropy of nodes, the community detection algorithm was applied to identify the interested community. The real performance of the proposed algorithm on multiple networks was verified by experiments. The experimental results show that the proposed algorithm is better than the typical overlapping community detection algorithm in terms of accuracy and recall rate.</t>
  </si>
  <si>
    <t>[Chen, Yanyan; Hou, Pengfei; Li, Hui; Yang, Zixuan] Jiangsu Ocean Univ, Dept Comp Sci, Lianyungang 222000, Jinagsu, Peoples R China; [Zheng, Ying] Cent South Univ Forestry &amp; Technol, Coll Forestry, Changsha 410004, Peoples R China; [Yang, Juan] Ningxia Med Univ, Dept Neurol, Gen Hosp, Yinchuan, Ningxia, Peoples R China</t>
  </si>
  <si>
    <t>Jiangsu Ocean University; Central South University of Forestry &amp; Technology; Ningxia Medical University</t>
  </si>
  <si>
    <t>Li, H (corresponding author), Jiangsu Ocean Univ, Dept Comp Sci, Lianyungang 222000, Jinagsu, Peoples R China.;Yang, J (corresponding author), Ningxia Med Univ, Dept Neurol, Gen Hosp, Yinchuan, Ningxia, Peoples R China.</t>
  </si>
  <si>
    <t>1992000024@jou.edu.cn; 944127391@qq.com; shufanzs@126.com; 1017494092@qq.com; zoeysjz@163.com; 15340368@qq.com</t>
  </si>
  <si>
    <t>/AAR-7009-2020</t>
  </si>
  <si>
    <t>National Natural Science Foundation of China [72174079, 1210050123, 21KJB520033]; Natural Science Foundation of the Jiangsu Higher Education Institutions of China; Lianyungang 521 projects; [72101045]</t>
  </si>
  <si>
    <t>National Natural Science Foundation of China(National Natural Science Foundation of China (NSFC)); Natural Science Foundation of the Jiangsu Higher Education Institutions of China(National Natural Science Foundation of China (NSFC)); Lianyungang 521 projects;</t>
  </si>
  <si>
    <t>The research is supported by the National Natural Science Foundation of China (Nos. 72174079, 1210050123 and 72101045), Natural Science Foundation of the Jiangsu Higher Education Institutions of China (No. 21KJB520033), Lianyungang 521 projects.</t>
  </si>
  <si>
    <t>0218-0014</t>
  </si>
  <si>
    <t>1793-6381</t>
  </si>
  <si>
    <t>INT J PATTERN RECOGN</t>
  </si>
  <si>
    <t>Int. J. Pattern Recognit. Artif. Intell.</t>
  </si>
  <si>
    <t>10.1142/S0218001423500131</t>
  </si>
  <si>
    <t>APR 2023</t>
  </si>
  <si>
    <t>H5GS2</t>
  </si>
  <si>
    <t>WOS:000971906100001</t>
  </si>
  <si>
    <t>Vanrompay, Y; Ben Mustapha, N; Aufaure, MA</t>
  </si>
  <si>
    <t>Vanrompay, Yves; Ben Mustapha, Nesrine; Aufaure, Marie-Aude</t>
  </si>
  <si>
    <t>Ontology-based User Preferences and Social Search for Spoken Dialogue Systems</t>
  </si>
  <si>
    <t>2012 SEVENTH INTERNATIONAL WORKSHOP ON SEMANTIC AND SOCIAL MEDIA ADAPTATION AND PERSONALIZATION (SMAP 2012)</t>
  </si>
  <si>
    <t>7th International Workshop on Semantic and Social Media Adaptation and Personalization (SMAP)</t>
  </si>
  <si>
    <t>DEC 03-04, 2012</t>
  </si>
  <si>
    <t>Luxembourg, LUXEMBOURG</t>
  </si>
  <si>
    <t>IEEE,IEEE Comp Soc (CS),Publ Res Ctr Henri Tudor, Serv Sci &amp; Innovat Dept (Tudor),IEEE Syst, Man, &amp; Cybernet Soc,IEEE Computat Intelligence Soc,Fonds Natl Rech Luxembourg</t>
  </si>
  <si>
    <t>INFORMATION-RETRIEVAL; CONCEPT LATTICES</t>
  </si>
  <si>
    <t>Many current spoken dialogue systems for search are domain-specific and do not take into account the preferences and interests of the user. In order to provide a more personalized answer tailored to the user needs, we propose a spoken dialogue system where user interests are expressed as scores in modular ontologies. This also allows us to cover multiple domains (e.g. searching for restaurant, housing, ...) because each ontology module corresponds to a search domain. This approach allows for a dynamic and evolving representation of user interests. Moreover, a collaborative search of users with similar interests allows to build ad-hoc communities where information can be shared amongst and recommended to users. We propose to use techniques borrowed from formal concept analysis to flexibly and efficiently build these communities.</t>
  </si>
  <si>
    <t>[Vanrompay, Yves; Ben Mustapha, Nesrine; Aufaure, Marie-Aude] Ecole Cent Paris, MAS Lab, F-92295 Chatenay Malabry, France</t>
  </si>
  <si>
    <t>Universite Paris Saclay</t>
  </si>
  <si>
    <t>Vanrompay, Y (corresponding author), Ecole Cent Paris, MAS Lab, F-92295 Chatenay Malabry, France.</t>
  </si>
  <si>
    <t>Yves.Vanrompay@ecp.fr; Nesrine.BenMustapha@ecp.fr; Marie-Aude.Aufaure@ecp.fr</t>
  </si>
  <si>
    <t>978-0-7695-4887-6; 978-1-4673-4563-7</t>
  </si>
  <si>
    <t>10.1109/SMAP.2012.14</t>
  </si>
  <si>
    <t>BFQ19</t>
  </si>
  <si>
    <t>WOS:000320931700018</t>
  </si>
  <si>
    <t>Predoiu, C; Dascalu, M; Trausan-Matu, S</t>
  </si>
  <si>
    <t>Predoiu, Cristiana; Dascalu, Mihai; Trausan-Matu, Stefan</t>
  </si>
  <si>
    <t>Trust and User Profiling for Refining the Prediction of Reader's Emotional State Induced by News Articles</t>
  </si>
  <si>
    <t>2014 ROEDUNET CONFERENCE 13TH EDITION: NETWORKING IN EDUCATION AND RESEARCH JOINT EVENT RENAM 8TH CONFERENCE</t>
  </si>
  <si>
    <t>RoEduNet International Conference</t>
  </si>
  <si>
    <t>Joint Event of the RENAM 8th Conference / RoEduNet 13th Conference</t>
  </si>
  <si>
    <t>SEP 11-13, 2014</t>
  </si>
  <si>
    <t>Chisinau, MOLDOVA</t>
  </si>
  <si>
    <t>RENAM,RoEduNet,Agentia Administrare Retelei Nationale Informatica Educatie Cercetare</t>
  </si>
  <si>
    <t>sentiment analysis; opinion mining; emotional state; Latent Semantic Analysis; automatic evaluation of news articles; user's reputation; user's profile</t>
  </si>
  <si>
    <t>WORDNET</t>
  </si>
  <si>
    <t>Automatic evaluation is an efficient alternative of capturing the sentiments and the attitude of a targeted audience towards a specific topic or subject. The starting context of our research is represented by the social media's important role in everybody's life. As the social media includes the web technologies that enable us to communicate directly and to modify user-generated content, the adoption of such online communication channels, as well as social networks (e.g., Facebook, Twitter, Google+) or Computer Supported Collaborative Learning (CSCL) technologies (e.g., chat, wiki, blog, forum) have gained an increasing trend and have reshaped interaction and information access. The purpose of this paper is to present an overview of opinion mining techniques, to describe the implementation of a previously developed system within our research group - Emotion Monitor -, alongside with our current improvements, such as the new trust module for evaluating the system's confidence in the current user, as well as enriching the user's profile in order to further personalize the generated results. In the end, the system predicts the manner in which a news article is affecting the emotional state of a user by integrating specific natural language processing techniques (especially Latent Semantic Analysis) and the reader's profile.</t>
  </si>
  <si>
    <t>[Predoiu, Cristiana; Dascalu, Mihai; Trausan-Matu, Stefan] Univ Politehn Bucuresti, Dept Comp Sci, Bucharest, Romania</t>
  </si>
  <si>
    <t>National University of Science &amp; Technology POLITEHNICA Bucharest</t>
  </si>
  <si>
    <t>Predoiu, C (corresponding author), Univ Politehn Bucuresti, Dept Comp Sci, Bucharest, Romania.</t>
  </si>
  <si>
    <t>predoiucristiana@gmail.com; mihai.dascalu@cs.pub.ro; stefan.trausan@cs.pub.ro</t>
  </si>
  <si>
    <t>Trausan-Matu, Stefan/E-6411-2011; Dascalu, Mihai/O-4984-2014</t>
  </si>
  <si>
    <t>2068-1038</t>
  </si>
  <si>
    <t>978-1-4799-6860-2</t>
  </si>
  <si>
    <t>ROEDUNET IEEE</t>
  </si>
  <si>
    <t>Computer Science, Hardware &amp; Architecture; Computer Science, Information Systems</t>
  </si>
  <si>
    <t>BE6QB</t>
  </si>
  <si>
    <t>WOS:000374588700029</t>
  </si>
  <si>
    <t>Castro, RAG; Medina, MPL; Aste, WB; Chávez, JT</t>
  </si>
  <si>
    <t>Garcia Castro, Raul Alberto; Llapa Medina, Martin Pedro; Bartesaghi Aste, Willian; Torres Chavez, Julio</t>
  </si>
  <si>
    <t>DESIGN AND VALIDATION OF A QUESTIONNAIRE OF INTEREST IN LEARNING BASIC SCIENCES</t>
  </si>
  <si>
    <t>ENSAYOS-REVISTA DE LA FACULTAD DE EDUCACION DE ALBACETE</t>
  </si>
  <si>
    <t>Individual interest; questionnaire; learning of basic sciences</t>
  </si>
  <si>
    <t>EXPLORATORY FACTOR-ANALYSIS; ACHIEVEMENT; GENERATION; VALIDITY; PROMAX; TESTS</t>
  </si>
  <si>
    <t>The objective was to design and validate a questionnaire to measure individual interest in learning basic sciences. Content validation was carried out with the bibliographic review, the opinion of 6 experts and a pilot test with 50 students, the initial instrument contains 18 items. Then the construct validation was carried out, with 672 high school students from 22 schools, divided into two groups of 336. The questionnaire was applied to the 1st group and the AFE was performed, the test allowed to identify 4 latent factors and 16 items. The emerging dimensions are: affection, intentionality, assessment and predisposition. The AFC performed at 15 days, I confirm the result of the AFE, the reliability test provided indexes&gt; 0.75. It was found that the instrument is valid to measure individual interest, in high school students, between 11 and 18 years, their statements can be adapted to other subjects.</t>
  </si>
  <si>
    <t>[Garcia Castro, Raul Alberto; Llapa Medina, Martin Pedro; Bartesaghi Aste, Willian; Torres Chavez, Julio] Univ Nacl Jorge Basadre Grohmann, Dept Ciencias Formales &amp; Nat, Miraflores, Peru</t>
  </si>
  <si>
    <t>Universidad Nacional Jorge Basadre Grohmann</t>
  </si>
  <si>
    <t>Castro, RAG (corresponding author), Univ Nacl Jorge Basadre Grohmann, Dept Ciencias Formales &amp; Nat, Miraflores, Peru.</t>
  </si>
  <si>
    <t>rgarciac@unibg.edu.pe; mllapam@unjbg.edu.pe; wbartesaghia@unibg.edu.pe; jtorresc@unjbg.edu.pe</t>
  </si>
  <si>
    <t>GARCIA CASTRO, RAUL ALBERTO/GQQ-7390-2022</t>
  </si>
  <si>
    <t>UNIV CASTILLA-LA MANCHA, ESCUELA MAGISTERIO ALBACETE</t>
  </si>
  <si>
    <t>ALBACETE</t>
  </si>
  <si>
    <t>PLAZA UNIV, 3, CAMPO UNIV, ALBACETE, 02071, SPAIN</t>
  </si>
  <si>
    <t>0214-4824</t>
  </si>
  <si>
    <t>2171-9098</t>
  </si>
  <si>
    <t>ENSAYOS</t>
  </si>
  <si>
    <t>Ensayos</t>
  </si>
  <si>
    <t>JAN-JUN</t>
  </si>
  <si>
    <t>NK4XM</t>
  </si>
  <si>
    <t>WOS:000566735900007</t>
  </si>
  <si>
    <t>Marano, S; Willett, P</t>
  </si>
  <si>
    <t>Marano, Stefano; Willett, Peter</t>
  </si>
  <si>
    <t>Making Decisions by Unlabeled Bits</t>
  </si>
  <si>
    <t>IEEE TRANSACTIONS ON SIGNAL PROCESSING</t>
  </si>
  <si>
    <t>Detectors; Testing; Error probability; Signal processing algorithms; Bandwidth; Focusing; Unlabeled detection; data permutation; shuffled bits; error exponents; detection algorithms</t>
  </si>
  <si>
    <t>DISTRIBUTIONS; UNION</t>
  </si>
  <si>
    <t>In a statistical decision problem, one observes independent samples and is asked to decide between two mutually exclusive states of nature. With knowledge of the data distributions under the two hypotheses, it is known that the asymptotically optimal error probabilities converge to zero at a rate given by the error exponent function, which quantifies the information for detection contained in the data. As a new element, suppose that the decision problem is to be solved without data labeling, i.e., with no knowledge of which observation comes from which distribution. What is the error exponent in this case? How much information for detection is contained in the samples and how much is lost with the labels? This problem - unlabeled detection - is of theoretical relevance per se, but is also attracting growing practical interest, because loss of labels often occurs naturally in big-data settings, user profiling in social networks; and may be deliberate, for example to save bandwidth in inference involving large sensor networks. For binary unlabeled observations and focusing on the low-detectability regime, we derive simple closed-form expressions for the error exponent and related quantities (Chernoff-Stein exponent, Chernoff information), providing new insights. Practical algorithms are then discussed, showing that many decision algorithms proposed in the literature reduce for binary data to simple forms, which highlight their properties and relative merits. A detector with close-to-optimum performance for a wide class of detection problems is proposed.</t>
  </si>
  <si>
    <t>[Marano, Stefano] Univ Salerno, DIEM, I-84084 Fisciano, Italy; [Willett, Peter] Univ Connecticut, ECE Dept, Storrs, CT 06269 USA</t>
  </si>
  <si>
    <t>University of Salerno; University of Connecticut</t>
  </si>
  <si>
    <t>Marano, S (corresponding author), Univ Salerno, DIEM, I-84084 Fisciano, Italy.</t>
  </si>
  <si>
    <t>marano@unisa.it; peter.willett@uconn.edu</t>
  </si>
  <si>
    <t>; marano, stefano/F-4420-2017</t>
  </si>
  <si>
    <t>Willett, Peter/0000-0001-8443-5586;</t>
  </si>
  <si>
    <t>AFOSR [FA9500-18-1-0463]</t>
  </si>
  <si>
    <t>AFOSR(United States Department of DefenseAir Force Office of Scientific Research (AFOSR))</t>
  </si>
  <si>
    <t>The work of P. Willett was supported by AFOSR under Contract FA9500-18-1-0463.</t>
  </si>
  <si>
    <t>1053-587X</t>
  </si>
  <si>
    <t>1941-0476</t>
  </si>
  <si>
    <t>IEEE T SIGNAL PROCES</t>
  </si>
  <si>
    <t>IEEE Trans. Signal Process.</t>
  </si>
  <si>
    <t>10.1109/TSP.2020.2989076</t>
  </si>
  <si>
    <t>LU8TY</t>
  </si>
  <si>
    <t>WOS:000538022500001</t>
  </si>
  <si>
    <t>Lin, KX; Liu, D</t>
  </si>
  <si>
    <t>Lin, Kaixiang; Liu, Dong</t>
  </si>
  <si>
    <t>Category-Based Dynamic Recommendations Adaptive to User Interest Drifts</t>
  </si>
  <si>
    <t>2014 SIXTH INTERNATIONAL CONFERENCE ON WIRELESS COMMUNICATIONS AND SIGNAL PROCESSING (WCSP)</t>
  </si>
  <si>
    <t>6th International Conference on Wireless Communications and Signal Processing (WCSP)</t>
  </si>
  <si>
    <t>OCT 23-25, 2014</t>
  </si>
  <si>
    <t>Hefei, PEOPLES R CHINA</t>
  </si>
  <si>
    <t>Dynamic adaptive model; linear regression; MovieLens; recommender system; user interest drifts</t>
  </si>
  <si>
    <t>How to make dynamic recommendations under volatile user interest drifts has been a problem of great interest in modern recommender systems, where challenges lie in accurate and efficient measurement, modeling, and prediction of the user interest drifts. This paper studies a category-based approach to the problem with the key idea that items are aggregated into categories and recommendations are made on each category. In our approach, we use the category-wise rating matrix to measure the changing preferences of users; we design a dynamic adaptive model (DAM) to describe the patterns of interest drifts; and we utilize linear regression to predict the future interests of users in a category-based manner. We have built a category-based dynamic recommender system and tested it with two well-known datasets. Experimental results show that our proposed approach achieves superior performance on category-based rating prediction compared with state-of-the-art dynamic recommendation algorithms.</t>
  </si>
  <si>
    <t>[Lin, Kaixiang; Liu, Dong] Univ Sci &amp; Technol China, CAS Key Lab Technol Geospatial Informat Proc &amp; Ap, Hefei 230027, Peoples R China</t>
  </si>
  <si>
    <t>Lin, KX (corresponding author), Univ Sci &amp; Technol China, CAS Key Lab Technol Geospatial Informat Proc &amp; Ap, Hefei 230027, Peoples R China.</t>
  </si>
  <si>
    <t>lkx10@mail.ustc.edu.cn; dongeliu@ustc.edu.cn</t>
  </si>
  <si>
    <t>978-1-4799-7339-2</t>
  </si>
  <si>
    <t>BD2EL</t>
  </si>
  <si>
    <t>WOS:000358694800140</t>
  </si>
  <si>
    <t>Osadchiy, T; Poliakov, I; Olivier, P; Rowland, M; Foster, E</t>
  </si>
  <si>
    <t>Osadchiy, Timur; Poliakov, Ivan; Olivier, Patrick; Rowland, Maisie; Foster, Emma</t>
  </si>
  <si>
    <t>Recommender system based on pairwise association rules</t>
  </si>
  <si>
    <t>Association rules; Cold-start problem; Data mining; Ontologies; Recommender systems</t>
  </si>
  <si>
    <t>COLD-START PROBLEM; KNOWLEDGE</t>
  </si>
  <si>
    <t>Recommender systems based on methods such as collaborative and content-based filtering rely on extensive user profiles and item descriptors as well as on an extensive history of user preferences. Such methods face a number of challenges; including the cold-start problem in systems characterized by irregular usage, privacy concerns, and contexts where the range of indicators representing user interests is limited. We describe a recommender algorithm that builds a model of collective preferences independently of personal user interests and does not require a complex system of ratings. The performance of the algorithm is analyzed on a large transactional data set generated by a real-world dietary intake recall system. (C) 2018 The Authors. Published by Elsevier Ltd.</t>
  </si>
  <si>
    <t>[Osadchiy, Timur; Poliakov, Ivan; Olivier, Patrick] Newcastle Univ, Sch Comp, Open Lab, Urban Sci Bldg,1 Sci Sq, Newcastle Upon Tyne NE4 5TG, Tyne &amp; Wear, England; [Rowland, Maisie; Foster, Emma] Newcastle Univ, Inst Hlth &amp; Soc, Newcastle Upon Tyne, Tyne &amp; Wear, England</t>
  </si>
  <si>
    <t>Newcastle University - UK; Newcastle University - UK</t>
  </si>
  <si>
    <t>Osadchiy, T (corresponding author), Newcastle Univ, Sch Comp, Open Lab, Urban Sci Bldg,1 Sci Sq, Newcastle Upon Tyne NE4 5TG, Tyne &amp; Wear, England.</t>
  </si>
  <si>
    <t>t.osadchiy@newcastle.ac.uk; ivan.poliakov@newcastle.ac.uk; patrick.olivier@newcastle.ac.uk; maisie.rowland@newcastle.ac.uk; emma.foster@newcastle.ac.uk</t>
  </si>
  <si>
    <t>Olivier, Patrick/B-2909-2011</t>
  </si>
  <si>
    <t>Olivier, Patrick/0000-0003-2841-7580</t>
  </si>
  <si>
    <t>EPSRC [EP/M023001/1] Funding Source: UKRI; Engineering and Physical Sciences Research Council [EP/M023001/1] Funding Source: researchfish</t>
  </si>
  <si>
    <t>EPSRC(UK Research &amp; Innovation (UKRI)Engineering &amp; Physical Sciences Research Council (EPSRC)); Engineering and Physical Sciences Research Council(UK Research &amp; Innovation (UKRI)Engineering &amp; Physical Sciences Research Council (EPSRC))</t>
  </si>
  <si>
    <t>10.1016/j.eswa.2018.07.077</t>
  </si>
  <si>
    <t>GX9DC</t>
  </si>
  <si>
    <t>Green Published, hybrid</t>
  </si>
  <si>
    <t>WOS:000448097700039</t>
  </si>
  <si>
    <t>Tibby, C</t>
  </si>
  <si>
    <t>Tibby, Che</t>
  </si>
  <si>
    <t>Incoherent violent extremism in a New Zealand cohort</t>
  </si>
  <si>
    <t>JOURNAL OF POLICING, INTELLIGENCE AND COUNTER TERRORISM</t>
  </si>
  <si>
    <t>Terrorism; violent extremism; policing; incoherent extremism</t>
  </si>
  <si>
    <t>Using a cohort of persons of interest categorised as 'mixed, unclear or unstable' extremists by New Zealand Police, this paper seeks to contribute clarity to the issue of 'hybrid', 'salad bar' or idiosyncratic extremism currently generating threats in Five Eyes and other countries. We find that the absence of adherence to a clearly defined ideology does not lower the threat presented by such extremists, and that behaviours, such as participation in a transnational online extremist ecology, are more meaningful markers for determining nascent terrorist threats. This approach is useful because it circumvents any need to expand or change definitions of terrorism to accommodate changes in extremist threatscapes. Instead, the migration of extremism away from traditional, high-impact forms of terrorism towards non-violent, leaderless, but egregious criminal behaviour can be mitigated by national security teams using existing criminal codes against ideologically incoherent extremism.</t>
  </si>
  <si>
    <t>[Tibby, Che] New Zealand Police, Wellington, New Zealand</t>
  </si>
  <si>
    <t>Tibby, C (corresponding author), New Zealand Police, 180 Molesworth St, Wellington 6011, New Zealand.</t>
  </si>
  <si>
    <t>che.tibby@police.govt.nz</t>
  </si>
  <si>
    <t>Tibby, Che/0009-0002-6464-8386</t>
  </si>
  <si>
    <t>1833-5330</t>
  </si>
  <si>
    <t>2159-5364</t>
  </si>
  <si>
    <t>J POLIC INTELL COUNT</t>
  </si>
  <si>
    <t>J. Polic. Intell. Count. Terror.</t>
  </si>
  <si>
    <t>10.1080/18335330.2026.2637446</t>
  </si>
  <si>
    <t>Criminology &amp; Penology; International Relations; Political Science</t>
  </si>
  <si>
    <t>Criminology &amp; Penology; International Relations; Government &amp; Law</t>
  </si>
  <si>
    <t>MR9AS</t>
  </si>
  <si>
    <t>WOS:001707799100001</t>
  </si>
  <si>
    <t>Zhao, JC; Chen, L; Guo, JX</t>
  </si>
  <si>
    <t>Zhao, Jichun; Chen, Lei; Guo, Jianxin</t>
  </si>
  <si>
    <t>Research and construction of personalized user interest model for distance learning</t>
  </si>
  <si>
    <t>2017 IEEE 2ND ADVANCED INFORMATION TECHNOLOGY, ELECTRONIC AND AUTOMATION CONTROL CONFERENCE (IAEAC)</t>
  </si>
  <si>
    <t>2nd IEEE Advanced Information Technology, Electronic and Automation Control Conference (IAEAC)</t>
  </si>
  <si>
    <t>MAR 25-26, 2017</t>
  </si>
  <si>
    <t>Chongqing, PEOPLES R CHINA</t>
  </si>
  <si>
    <t>IEEE,IEEE Beijing Sect,Chongqing Global Union Acad Sci &amp; Technol,Global Union Acad Sci &amp; Technol</t>
  </si>
  <si>
    <t>large-scale network; survivability association; set pair analysis theory; complex system</t>
  </si>
  <si>
    <t>User interest model is an important part of distance personalized learning, which is also the core and foundation. A good user model can reflect the preference information accurate and comprehensive, which can obtain user preference characteristics information and can reflect the real characteristics and requirements effectively. User interest model can guide users to obtain information which is in line with the characteristics of their own interest, so that the information can be more active. The construction of user interest model generally includes information collection, user interest model representation, model learning and updating. A personalized user interest model based on user attribute information and learning resources domain ontology is researched and constructed for the prediction of user behavior changes is inaccurate, algorithm space complexity is high, the analysis of the user behavior impact is not accurate and comprehensive. At last, the calculation method of model concept interest degree is researched and given.</t>
  </si>
  <si>
    <t>[Zhao, Jichun; Chen, Lei; Guo, Jianxin] Beijing Acad Agr &amp; Forestry Sci, Beijing, Peoples R China; [Zhao, Jichun; Guo, Jianxin] Res Ctr Beijing Engn Technol Rural Remote Informa, Beijing, Peoples R China</t>
  </si>
  <si>
    <t>Beijing Academy of Agriculture &amp; Forestry Sciences (BAAFS)</t>
  </si>
  <si>
    <t>Chen, L (corresponding author), Beijing Acad Agr &amp; Forestry Sci, Beijing, Peoples R China.</t>
  </si>
  <si>
    <t>Guo, jianxin/LFR-9902-2024; Zhao, Ji-Chun/GWM-8456-2022</t>
  </si>
  <si>
    <t>Beijing Science and Technology Program Support [Z161100001116071]; Distance Learning Innovation Team Project of Beijing Academy of Agriculture and Forestry Sciences [JNICST201612]</t>
  </si>
  <si>
    <t>Beijing Science and Technology Program Support; Distance Learning Innovation Team Project of Beijing Academy of Agriculture and Forestry Sciences</t>
  </si>
  <si>
    <t>This work was sponsored by Beijing Science and Technology Program Support (Project No. Z161100001116071), which is the media service platform development of capital party members and cadres for modern distance education, and supported by Distance Learning Innovation Team Project of Beijing Academy of Agriculture and Forestry Sciences (Project No. JNICST201612).</t>
  </si>
  <si>
    <t>978-1-4673-8979-2</t>
  </si>
  <si>
    <t>BJ7DS</t>
  </si>
  <si>
    <t>WOS:000427137300473</t>
  </si>
  <si>
    <t>Fan, FF; Feng, YS; Yao, LL; Zhao, DY</t>
  </si>
  <si>
    <t>Fan, Feifan; Feng, Yansong; Yao, Lili; Zhao, Dongyan</t>
  </si>
  <si>
    <t>Adaptive Evolutionary Filtering in Real-Time Twitter Stream</t>
  </si>
  <si>
    <t>Twitter Stream; Evolutionary Filtering; Timeline</t>
  </si>
  <si>
    <t>With the explosive growth of microblogging service, Twitter has become a leading platform consisting of real-time world wide information. Users tend to explore breaking news or general topics in Twitter according to their interests. However, the explosive amount of incoming tweets leads users to information overload. Therefore, filtering interesting tweets based on users' interest profiles from real-time stream can be helpful for users to easily access the relevant and key information hidden among the tweets. On the other hand, real-time twitter stream contains enormous amount of noisy and redundant tweets. Hence, the filtering process should consider previously pushed interesting tweets to provide users with diverse tweets. What's more, different from traditional document summarization methods which focus on static dataset, the twitter stream is dynamic, fast-arriving and large-scale, which means we have to decide whether to filter the coming tweet for users from the real-time stream as early as possible. In this paper, we propose a novel adaptive evolutionary filtering framework to push interesting tweets for users from real-time twitter stream. First, we propose an adaptive evolutionary filtering algorithm to filter interesting tweets from the twitter stream with respect to user interest profiles. And then we utilize the maximal marginal relevance model in fixed time window to estimate the relevance and diversity of potential tweets. Besides, to overcome the enormous number of redundant tweets and characterize the diversity of potential tweets, we propose a hierarchical tweet representation learning model (HTM) to learn the tweet representations dynamically over time. Experiments on large scale real-time twitter stream datasets demonstrate the efficiency and effectiveness of our framework.</t>
  </si>
  <si>
    <t>[Fan, Feifan; Feng, Yansong; Yao, Lili; Zhao, Dongyan] Peking Univ, Inst Comp Sci &amp; Technol, Beijing 100871, Peoples R China; [Feng, Yansong] Peking Univ, MOE Key Lab Computat Linguist, Beijing 100871, Peoples R China</t>
  </si>
  <si>
    <t>Peking University; Peking University</t>
  </si>
  <si>
    <t>Feng, YS (corresponding author), Peking Univ, Inst Comp Sci &amp; Technol, Beijing 100871, Peoples R China.;Feng, YS (corresponding author), Peking Univ, MOE Key Lab Computat Linguist, Beijing 100871, Peoples R China.</t>
  </si>
  <si>
    <t>fanff@pku.edu.cn; fengyansong@pku.edu.cn; yaolili@pku.edu.cn; zhaody@pku.edu.cn</t>
  </si>
  <si>
    <t>10.1145/2983323.2983760</t>
  </si>
  <si>
    <t>WOS:000390890800111</t>
  </si>
  <si>
    <t>Liu, LY; Huang, X; Xu, JL; Song, YY</t>
  </si>
  <si>
    <t>Liu, Leyu; Huang, Xin; Xu, Jianliang; Song, Yunya</t>
  </si>
  <si>
    <t>Oasis: Online Analytic System for Incivility Detection and Sentiment Classification</t>
  </si>
  <si>
    <t>Incivility detection is an important task to identify offensive language on online social media platforms. Sentiment analysis is an essential task of natural language processing to identify the emotions of given sentences. In this demonstration, we propose an online processing system, called Oasis, to perform incivility detection and sentiment prediction for short texts (e.g., tweets). Oasis offers several useful features including the CNN-LSTM classification models, incivility detection and sentiment analysis for real-time tweets and user-interested queries, and personalized search of trending topics in Twitter.</t>
  </si>
  <si>
    <t>[Liu, Leyu; Huang, Xin; Xu, Jianliang] Hong Kong Baptist Univ, Dept Comp Sci, Hong Kong, Peoples R China; [Song, Yunya] Hong Kong Baptist Univ, Dept Journalism, Hong Kong, Peoples R China</t>
  </si>
  <si>
    <t>Hong Kong Baptist University; Hong Kong Baptist University</t>
  </si>
  <si>
    <t>Liu, LY (corresponding author), Hong Kong Baptist Univ, Dept Comp Sci, Hong Kong, Peoples R China.</t>
  </si>
  <si>
    <t>621leyu@gmail.com; xinhuang@comp.hkbu.edu.hk; xujl@comp.hkbu.edu.hk; yunyasong@hkbu.edu.hk</t>
  </si>
  <si>
    <t>; Xu, Jianliang/A-5767-2010</t>
  </si>
  <si>
    <t>Huang, Xin/0000-0002-3650-0301; Xu, Jianliang/0000-0001-9404-5848</t>
  </si>
  <si>
    <t>NSFC [61702435, 12200917, 12244916, 12632816, C6030-18GF]; HKBU [RC-IG-FNRA/17-18/04]</t>
  </si>
  <si>
    <t>NSFC(National Natural Science Foundation of China (NSFC)); HKBU</t>
  </si>
  <si>
    <t>This work is supported by the NSFC No. 61702435, RGC Nos. 12200917, 12244916, 12632816, C6030-18GF, and HKBU No. RC-IG-FNRA/17-18/04.</t>
  </si>
  <si>
    <t>10.1109/ICDMW.2019.00162</t>
  </si>
  <si>
    <t>WOS:001463475000155</t>
  </si>
  <si>
    <t>Hsu, WC</t>
  </si>
  <si>
    <t>Hsu, Wan-Chen</t>
  </si>
  <si>
    <t>From Identity Exploration to Future Planning: Empowering Students for Success</t>
  </si>
  <si>
    <t>TEACHING &amp; LEARNING INQUIRY-THE ISSOTL JOURNAL</t>
  </si>
  <si>
    <t>future planning; identity exploration; liberal arts education; university student career development</t>
  </si>
  <si>
    <t>EMERGING ADULTHOOD</t>
  </si>
  <si>
    <t>This Scholarship of Teaching of Learning study used a mixed methods approach in order to assess a pedagogical intervention to improve university students' future planning. Afaculty member and an undergraduate student at a Taiwanese university co-created the intervention. The course emphasized intrinsic motivation, self-exploration, and career-planning competencies. Students reflected upon past learning experiences, evaluated strengths and weaknesses, and engaged with campus resources. Qualitative analysis indicated students' willingness to adopt effective learning strategies and found the intervention encouraged new techniques. However, procrastination and time-management issues hindered fully implementing relearning techniques. Weekly behavioral observation revealed that most students did not achieve a flow state in daily activities, only engaging deeply under exam pressure or in courses of personal interest. These observations prompted a teaching-strategy redesign. Analysis of university learning plans-students' personalized plans for academic goals, learning strategies, and career aspirations-demonstrated that students set clear goals, and personal interests and future career development motivated them. However, their time-management and resource-utilization skills were limited. Despite a willingness to invest effort, students struggled with time allocation and balancing academic, extracurricular, and personal responsibilities, highlighting the need to enhance action on plans. Interviews with industry experts revealed students' awareness of the importance of continuous learning, diverse competency development, and career planning flexibility. They sought foundational professional skills, hands-on experience, and contextualized learning opportunities. Pre-and post-test analyses showed nonsignificant improvements in exploration breadth and depth. Additionally, ruminative exploration decreased, suggesting that the intervention reduced uncertainty and encouraged future planning.</t>
  </si>
  <si>
    <t>[Hsu, Wan-Chen] Natl Kaohsiung Univ Sci &amp; Technol, Ctr Teacher Educ, Kaohsiung, Taiwan</t>
  </si>
  <si>
    <t>National Kaohsiung University of Science &amp; Technology</t>
  </si>
  <si>
    <t>Hsu, WC (corresponding author), Natl Kaohsiung Univ Sci &amp; Technol, Ctr Teacher Educ, Kaohsiung, Taiwan.</t>
  </si>
  <si>
    <t>wanchen@nkust.edu.tw</t>
  </si>
  <si>
    <t>2500 UNIVERSITY DR NW, CALGARY, ALBERTA T2N 1N4, CANADA</t>
  </si>
  <si>
    <t>2167-4779</t>
  </si>
  <si>
    <t>2167-4787</t>
  </si>
  <si>
    <t>TEACH LEARN INQ</t>
  </si>
  <si>
    <t>Teach. Learn. Inq.</t>
  </si>
  <si>
    <t>10.20343/teachlearninqu.14.6</t>
  </si>
  <si>
    <t>ES3GH</t>
  </si>
  <si>
    <t>WOS:001708556600005</t>
  </si>
  <si>
    <t>Li, BB; Xiang, T; Jin, BH; Zheng, YY; Zhao, R</t>
  </si>
  <si>
    <t>Zhu, F; Yu, PS; Nadamoto, A; Lim, EP; Shim, K; Ding, W; Zhang, B</t>
  </si>
  <si>
    <t>Li, Beibei; Xiang, Tao; Jin, Beihong; Zheng, Yiyuan; Zhao, Rui</t>
  </si>
  <si>
    <t>Semantic Gaussian Mixture Variational Autoencoder for Sequential Recommendation</t>
  </si>
  <si>
    <t>DATABASE SYSTEMS FOR ADVANCED APPLICATIONS, DASFAA 2025, PT V</t>
  </si>
  <si>
    <t>30th International Conference on Database Systems for Advanced Applications-DASFAA-Annual</t>
  </si>
  <si>
    <t>MAY 26-29, 2025</t>
  </si>
  <si>
    <t>Variational AutoEncoder (VAE) for Sequential Recommendation (SR), which learns a continuous distribution for each user-item interaction sequence rather than a determinate embedding, is robust against data deficiency and achieves significant performance. However, existing VAE-based SR models assume a unimodal Gaussian distribution as the prior distribution of sequence representations, leading to restricted capability to capture complex user interests and limiting recommendation performance when users have more than one interest. Due to that it is common for users to have multiple disparate interests, we argue that it is more reasonable to establish a multimodal prior distribution in SR scenarios instead of a unimodal one. Therefore, in this paper, we propose a novel VAE-based SR model named SIGMA. SIGMA assumes that the prior of sequence representation conforms to a Gaussian mixture distribution, where each component of the distribution semantically corresponds to one of a users multiple interests. For multi-interest elicitation, SIGMA includes a probabilistic multi-interest extraction module that learns a unimodal Gaussian distribution for each interest according to implicit item hyper-categories. Additionally, to incorporate the multimodal interests into sequence representation learning, SIGMA constructs a multi-interest-aware ELBO, which is compatible with the Gaussian mixture prior. Extensive experiments on public datasets demonstrate the effectiveness of SIGMA. The code is available at https://github.com/libeibei95/SIGMA.</t>
  </si>
  <si>
    <t>[Li, Beibei; Xiang, Tao] Chongqing Univ, Coll Comp Sci, Chongqing, Peoples R China; [Jin, Beihong; Zheng, Yiyuan; Zhao, Rui] Chinese Acad Sci, Key Lab Syst Software, Beijing, Peoples R China; [Jin, Beihong; Zheng, Yiyuan; Zhao, Rui] Chinese Acad Sci, State Key Lab Comp Sci, Inst Software, Beijing, Peoples R China; [Jin, Beihong; Zheng, Yiyuan; Zhao, Rui] Univ Chinese Acad Sci, Beijing, Peoples R China</t>
  </si>
  <si>
    <t>Chongqing University; Chinese Academy of Sciences; Chinese Academy of Sciences; Institute of Software, CAS; Chinese Academy of Sciences; University of Chinese Academy of Sciences, CAS</t>
  </si>
  <si>
    <t>Xiang, T (corresponding author), Chongqing Univ, Coll Comp Sci, Chongqing, Peoples R China.;Jin, BH (corresponding author), Chinese Acad Sci, Key Lab Syst Software, Beijing, Peoples R China.;Jin, BH (corresponding author), Chinese Acad Sci, State Key Lab Comp Sci, Inst Software, Beijing, Peoples R China.;Jin, BH (corresponding author), Univ Chinese Acad Sci, Beijing, Peoples R China.</t>
  </si>
  <si>
    <t>libeibeics@cqu.edu.cn; txiang@cqu.edu.cn; Beihong@iscas.ac.cn</t>
  </si>
  <si>
    <t>Chongqing Science and Technology Bureau [CSTB2022TIAD-KPX0180]; National Natural Science Foundation of China [62072450]</t>
  </si>
  <si>
    <t>Chongqing Science and Technology Bureau; National Natural Science Foundation of China(National Natural Science Foundation of China (NSFC))</t>
  </si>
  <si>
    <t>This work was supported by Chongqing Science and Technology Bureau (CSTB2022TIAD-KPX0180) and the National Natural Science Foundation of China under Grant No. 62072450.</t>
  </si>
  <si>
    <t>978-981-95-4154-6; 978-981-95-4155-3</t>
  </si>
  <si>
    <t>10.1007/978-981-95-4155-3_22</t>
  </si>
  <si>
    <t>BA6KP</t>
  </si>
  <si>
    <t>WOS:001758858100022</t>
  </si>
  <si>
    <t>Pan, MR; Lai, C; Guo, K; Huang, J</t>
  </si>
  <si>
    <t>Pan, Mengru; Lai, Chun; Guo, Kai; Huang, Jing</t>
  </si>
  <si>
    <t>Self-regulation plus individual interests? A design-based study on the development of a GenAI-empowered platform for self-directed out-of-class reading</t>
  </si>
  <si>
    <t>Self-directed learning; Self-regulated learning; Out-of-class reading; Design-based research; Artificial intelligence</t>
  </si>
  <si>
    <t>TECHNOLOGY</t>
  </si>
  <si>
    <t>Self-directed out-of-class reading contributes to language and general learning, yet many learners struggle with it and need support. Generative Artificial Intelligence (GenAI) holds the potential to provide personalized support that can facilitate self-directed out-of-class reading. This study adopted a design-based research (DBR) methodology to unravel the effective design of GenAIempowered self-directed out-of-class reading by comparing different ways of integrating a ChatGPT chatbot into an online reading platform in supporting the provision of reading texts and delivering self-regulated learning (SRL) support. The DBR study included three cycles: a conventional approach in Cycle 0 (i.e., a preset pool of reading materials plus human-delivered SRL training), a chatbot-empowered personalized SRL platform in Cycle 1 (i.e., GenAI-recommended reading materials and chatbot-supported personalized SRL training), and a chatbot-empowered interest-based reading with personalized SRL platform in Cycle 2 (i.e., GenAI-recommended interest-based reading materials and chatbot-supported personalized SRL training). This DBR study lasted three semesters, involving one hundred and sixteen English as a foreign language (EFL) students from three classes at a university in China. Qualitative data from open-ended surveys and interviews after each cycle were used to refine the platform design in the subsequent cycle. Quantitative data, including pre- and post-surveys on self-regulated reading strategy use and selfdirected reading, along with log data, were analyzed to compare the effects of the platform design on students' self-regulated strategy use and self-directed reading across three cycles. The results indicated that the chatbot-empowered interest-based reading with personalized SRL training showed the greatest potential in enhancing students' self-regulated reading strategy use and selfdirected reading. This study contributes to the existing literature by elucidating the design principles that enhance self-directed out-of-class reading.</t>
  </si>
  <si>
    <t>[Pan, Mengru; Lai, Chun; Guo, Kai] Univ Hong Kong, Fac Educ, Hong Kong, Peoples R China; [Pan, Mengru; Huang, Jing] Huainan Normal Univ, Sch Foreign Language, Huainan, Anhui, Peoples R China</t>
  </si>
  <si>
    <t>University of Hong Kong; Huainan Normal University</t>
  </si>
  <si>
    <t>Pan, MR (corresponding author), Univ Hong Kong, Room 668,Meng Wah Complex,Pokfulam Rd, Hong Kong, Peoples R China.</t>
  </si>
  <si>
    <t>mengru56@connect.hku.hk</t>
  </si>
  <si>
    <t>Guo, Kai/AAD-2448-2022</t>
  </si>
  <si>
    <t>Guo, Kai/0000-0001-9699-7527; Pan, Mengru/0000-0003-2673-6422</t>
  </si>
  <si>
    <t>Anhui Provincial Quality Engineering Project [2023kcszsf179]</t>
  </si>
  <si>
    <t>Anhui Provincial Quality Engineering Project</t>
  </si>
  <si>
    <t>This work was supported by the Anhui Provincial Quality Engineering Project (Grant number: 2023kcszsf179) awarded to the first author.</t>
  </si>
  <si>
    <t>10.1016/j.compedu.2025.105474</t>
  </si>
  <si>
    <t>8TW6H</t>
  </si>
  <si>
    <t>WOS:001597221400003</t>
  </si>
  <si>
    <t>Li, J; Zhu, JM; Bi, QW; Cai, GH; Shang, LF; Dong, ZH; Jiang, X; Liu, Q</t>
  </si>
  <si>
    <t>Assoc Computa Linguist</t>
  </si>
  <si>
    <t>Li, Jian; Zhu, Jieming; Bi, Qiwei; Cai, Guohao; Shang, Lifeng; Dong, Zhenhua; Jiang, Xin; Liu, Qun</t>
  </si>
  <si>
    <t>MINER: Multi-Interest Matching Network for News Recommendation</t>
  </si>
  <si>
    <t>FINDINGS OF THE ASSOCIATION FOR COMPUTATIONAL LINGUISTICS (ACL 2022)</t>
  </si>
  <si>
    <t>60th Annual Meeting of the Association-for-Computational-Linguistics (ACL)</t>
  </si>
  <si>
    <t>MAY 22-27, 2022</t>
  </si>
  <si>
    <t>Dublin, IRELAND</t>
  </si>
  <si>
    <t>Assoc Computat Linguist,Amazon Sci,Bloomberg Engn,Google Res,Liveperson,Meta,Baidu,ByteDance,DeepMind,Grammarly,GTCOM,IBM,Megagon Labs,Microsoft,Alibaba Grp,Bosch,Cohere,G Res,ServiceNow,Relativity,Naver,ASAPP,Duolingo,BabelSpace,Spotiry,Adobe,D &amp; I Special Initiat,AppTek,YaiGlobal,Aixplain,Apple</t>
  </si>
  <si>
    <t>Personalized news recommendation is an essential technique to help users find interested news. Accurately matching user's interests and candidate news is the key to news recommendation. Most existing methods learn a single user embedding from user's historical behaviors to represent the reading interest. However, user interest is usually diverse and may not be adequately modeled by a single user embedding. In this paper, we propose a poly attention scheme to learn multiple interest vectors for each user, which encodes the different aspects of user interest. We further propose a disagreement regularization to make the learned interests vectors more diverse. Moreover, we design a category-aware attention weighting strategy that incorporates the news category information as explicit interest signals into the attention mechanism. Extensive experiments on the MIND news recommendation benchmark demonstrate that our approach significantly outperforms existing state-of-the-art methods.</t>
  </si>
  <si>
    <t>[Li, Jian; Zhu, Jieming; Cai, Guohao; Shang, Lifeng; Dong, Zhenhua; Jiang, Xin; Liu, Qun] Huawei Noahs Ark Lab, Hong Kong, Peoples R China; [Bi, Qiwei] Renmin Univ China, Sch Stat, Beijing, Peoples R China</t>
  </si>
  <si>
    <t>Huawei Technologies; Renmin University of China</t>
  </si>
  <si>
    <t>Li, J (corresponding author), Huawei Noahs Ark Lab, Hong Kong, Peoples R China.</t>
  </si>
  <si>
    <t>lijian703@huawei.com; jamie.zhu@huawei.com; caiguohao1@huawei.com; shang.lifeng@huawei.com; dongzhenhua@huawei.com; jiang.xin@huawei.com; qun.liu@huawei.com</t>
  </si>
  <si>
    <t>Shang, Lifeng/PEV-3266-2025</t>
  </si>
  <si>
    <t>978-1-955917-25-4</t>
  </si>
  <si>
    <t>Computer Science, Artificial Intelligence; Computer Science, Theory &amp; Methods; Linguistics</t>
  </si>
  <si>
    <t>BT4EQ</t>
  </si>
  <si>
    <t>WOS:000828767400029</t>
  </si>
  <si>
    <t>Dragoni, M</t>
  </si>
  <si>
    <t>Ghidini, C; Magnini, B; Passerini, A; Traverso, P</t>
  </si>
  <si>
    <t>Dragoni, Mauro</t>
  </si>
  <si>
    <t>Learning Fuzzy User Models for News Recommender Systems</t>
  </si>
  <si>
    <t>AI*IA 2018 - ADVANCES IN ARTIFICIAL INTELLIGENCE</t>
  </si>
  <si>
    <t>17th International Conference of the Italian-Association-for-Artificial-Intelligence (AI*IA)</t>
  </si>
  <si>
    <t>NOV 20-23, 2018</t>
  </si>
  <si>
    <t>Trento, ITALY</t>
  </si>
  <si>
    <t>Online news reading has become a widely popular way to read news articles from news sources around the globe. With the enormous amount of news articles available, users are easily overwhelmed by information of little interest to them. News recommender systems help users manage this flood by recommending articles based on user interests rather than presenting articles in order of their occurrence. In this paper, we propose an approach using evolutionary algorithm to learn fuzzy models of user interests used for recommending news articles gathered from RSS feeds. These models are dynamically updated by track the interactions between the users and the system. The system is ontology-based, in the sense that it considers concepts behind terms instead of simple terms. The approach has been implemented in a real-world prototype newsfeed aggregator with search facilities called iFeed. Experimental results show that our system learns user models effectively by improving the quality of the recommended articles.</t>
  </si>
  <si>
    <t>[Dragoni, Mauro] Fdn Bruno Kessler, Trento, Italy</t>
  </si>
  <si>
    <t>Fondazione Bruno Kessler</t>
  </si>
  <si>
    <t>Dragoni, M (corresponding author), Fdn Bruno Kessler, Trento, Italy.</t>
  </si>
  <si>
    <t>dragoni@fbk.eu</t>
  </si>
  <si>
    <t>978-3-030-03840-3; 978-3-030-03839-7</t>
  </si>
  <si>
    <t>10.1007/978-3-030-03840-3_37</t>
  </si>
  <si>
    <t>BQ4LK</t>
  </si>
  <si>
    <t>WOS:000590143900037</t>
  </si>
  <si>
    <t>Norouzi, R; Baziyad, H; Noghabi, EA; Albadvi, A</t>
  </si>
  <si>
    <t>Norouzi, Rasoul; Baziyad, Hamed; Aknondzadeh Noghabi, Elham; Albadvi, Amir</t>
  </si>
  <si>
    <t>Developing Tourism Users' Profiles with Data-Driven Explicit Information</t>
  </si>
  <si>
    <t>RECOMMENDATION; SYSTEM; SCALE</t>
  </si>
  <si>
    <t>In recommender systems (RSs), explicit information is often preferred over implicit because it is much more accurate than implicit or predicted information; for example, the user can enter information about his interests directly into the system, and the system will generate accurate recommendations for him. Receiving explicit information, however, may be difficult for a system. Explicit demographic information might be uncomfortable for some users, and extremely common questions, such as race, gender, income, and age, can lead to bias and unfair recommendations. As a result, in this study, we propose a method, in which information collected from a new user does not contain demographic information, and enquired explicit information is data driven. Users' interest in tourism activities is used to identify seven categories of tourism. The mapping between extracted categories and activities is established with a multilabel classification (MLC) algorithm. The user's interest in 18 tourism activities is predicted by rating only seven tourism categories. Common MLC algorithms with different classifiers were used to evaluate the proposed method. The best result relates to binary relevance with the Naive Bayes classifier, which also outperforms the entitled algorithms in collaborative filtering (CF) systems as baseline models. The proposed method can capture users' interests and develop their profiles without receiving demographic information. Also, compared to CF, in addition to a slight advantage in metrics, it only requires seven ratings to predict user interest in 18 activities. In contrast, CF algorithms require at least 15 user ng records to predict user interest in unknown activities (3-4 activities) to achieve a performance close to the proposed method.</t>
  </si>
  <si>
    <t>[Norouzi, Rasoul; Baziyad, Hamed; Aknondzadeh Noghabi, Elham; Albadvi, Amir] Tarbiat Modares Univ, Fac Ind &amp; Syst Engn, Dept Informat Technol Engn, Tehran, Iran</t>
  </si>
  <si>
    <t>Tarbiat Modares University</t>
  </si>
  <si>
    <t>Noghabi, EA (corresponding author), Tarbiat Modares Univ, Fac Ind &amp; Syst Engn, Dept Informat Technol Engn, Tehran, Iran.</t>
  </si>
  <si>
    <t>rasoulnorouzi@modares.ac.ir; hamed_baziyad@modares.ac.ir; elham.akhondzadeh@modares.ac.ir; albadvi@modares.ac.ir</t>
  </si>
  <si>
    <t>Baziyad, Hamed/AAR-3468-2021; Norouzi, Rasoul/AAS-4735-2021; Albadvi, Amir/JVD-8195-2023</t>
  </si>
  <si>
    <t>Baziyad, Hamed/0000-0002-5770-7766; Norouzi, Rasoul/0000-0002-4447-764X; Albadvi, Amir/0000-0002-7758-9920</t>
  </si>
  <si>
    <t>JUN 30</t>
  </si>
  <si>
    <t>10.1155/2022/6536908</t>
  </si>
  <si>
    <t>3G4IB</t>
  </si>
  <si>
    <t>WOS:000831317400002</t>
  </si>
  <si>
    <t>Tuncay, S</t>
  </si>
  <si>
    <t>Tuncay, Suavi</t>
  </si>
  <si>
    <t>CULTURAL ANALYSIS OF PROBLEMS RELATED TO PSYCHOLOGICAL PERCEPTION AND EFFECTS OF MIGRATION PHENOMENON ON TURKEY'S EU ACCESSION PROCESS</t>
  </si>
  <si>
    <t>ISTANBUL JOURNAL OF SOCIOLOGICAL STUDIES-SOSYOLOJI KONFERANSLARI</t>
  </si>
  <si>
    <t>Turkish</t>
  </si>
  <si>
    <t>Migration; Ethnicity; Culture; Psychological Perception; EU accession; the Other</t>
  </si>
  <si>
    <t>Despite the fact that the issue of migration has been widely investigated, an increasing number of problems based on or associated with this phenomenon are still of widespread interest. Categorically speaking, we believe that problems associated with economic or socio-cultural issues, or both, are in fact problems related to psychological perception, and only through comprehension and acceptance of this concept can cultural adjustment be achieved. In this context, it should have been seen by now that the Turkish language, as well as the native tongue of the country of residence, should be used in the best possible way; the politicians should not spread these perceptions by giving out negative messages; and should not let themselves be fed by animosity while shaping public opinion. Throughout the thousand-year historical progress of Europe, Turks have been perceived as the other, whereas Islam has been regarded as anti-Christian and as an inferior religion. In the EU accession process today, the cultural adjustment among generations and the way to a world that is shared by all nations is rooted in respect for people, and the key to these issues is psychological perception. Foreign policies should be based on respect and acceptance, and it should not be forgotten that national benefits are based on the correspondence principle and that politicians, bureaucrats and in particular the media should seek objective approaches to information and events.</t>
  </si>
  <si>
    <t>[Tuncay, Suavi] Ege Univ, Iletisim Fak Ogretim Uyesi, Bornova, Turkey</t>
  </si>
  <si>
    <t>Tuncay, S (corresponding author), Ege Univ, Iletisim Fak Ogretim Uyesi, Bornova, Turkey.</t>
  </si>
  <si>
    <t>ISTANBUL UNIV, METHODOLOGY &amp; SOCIOLOGY RESEARCH CENTER</t>
  </si>
  <si>
    <t>ISTANBUL</t>
  </si>
  <si>
    <t>ULUSAL TRAVMA ACIL CERRAHI DERNEGI, DENIZ ABDAL MAH KOPRULU MEHMET PASA SOK, ISTANBUL, 34104, TURKEY</t>
  </si>
  <si>
    <t>1304-0243</t>
  </si>
  <si>
    <t>2458-8245</t>
  </si>
  <si>
    <t>ISTANB J SOCIOL STUD</t>
  </si>
  <si>
    <t>Istanb. J. Sociol. Stud.</t>
  </si>
  <si>
    <t>Sociology</t>
  </si>
  <si>
    <t>VA2UF</t>
  </si>
  <si>
    <t>WOS:000409761900003</t>
  </si>
  <si>
    <t>Hernandez, S; Silva, ONN; Conroy, P; Weiser, L; Thompson, A; Mohamedaly, S; Coe, TM; Alseidi, A; Campbell, AR; Sosa, JA; Gosnell, J; Lin, MYC; Roman, SA</t>
  </si>
  <si>
    <t>Hernandez, Sophia; Silva, Ogonna N. Nnamani; Conroy, Patricia; Weiser, Lucas; Thompson, Avery; Mohamedaly, Sarah; Coe, Taylor M.; Alseidi, Adnan; Campbell, Andre R.; Sosa, Julie Ann; Gosnell, Jessica; Lin, Matthew Y. C.; Roman, Sanziana A.</t>
  </si>
  <si>
    <t>Bursting the Hidden Curriculum Bubble : A Surgical Near-Peer Mentorship Pilot Program for URM Medical Students</t>
  </si>
  <si>
    <t>JOURNAL OF SURGICAL EDUCATION</t>
  </si>
  <si>
    <t>Near-peer; mentorship; medical education; surgical education; hidden curriculum; underrepresented in medicine</t>
  </si>
  <si>
    <t>The hidden curriculum of unspoken professional expectations negatively impacts medical student interest in surgery. Medical student mentorship and early surgical exposure have been shown to demystify the hidden curriculum. Although residents and faculty play a vital role, near-peer mentorship may aid in uncovering the hidden curriculum and promoting medical student interest in surgery, especially for those learners who are underrepresented in medicine. We developed and implemented a formalized near-peer mentorship program composed of quarterly small group Surgical Peer Teacher led lessons and one-on-one Surgical Support Team mentorship meetings covering surgical curriculum topics for medical students at an academic medical school. This structured near-peer mentorship model provides a mechanism to demystify surgical culture, increase early access to surgical mentorship, and develop mentorship skills amongst students. This program aims to uncover the surgical hidden curriculum to improve surgical career support and interest among medical students with less exposure and access to physician role models. This longitudinal mentorship model is student-run and can be easily adapted to enhance existing support models at medical schools. Future studies will evaluate utilization, impact on surgical specialty interest, and efficacy in demystifying the surgical hidden curriculum. ((C) 2021 Association of Program Directors in Surgery. Published by Elsevier Inc. All rights reserved.)</t>
  </si>
  <si>
    <t>[Hernandez, Sophia; Conroy, Patricia; Mohamedaly, Sarah; Alseidi, Adnan; Campbell, Andre R.; Sosa, Julie Ann; Gosnell, Jessica; Lin, Matthew Y. C.; Roman, Sanziana A.] Univ Calif San Francisco, Dept Surg, San Francisco, CA 94115 USA; [Silva, Ogonna N. Nnamani] Harvard Med Sch, Dept Surg, Div Plast Surg, Boston, MA USA; [Weiser, Lucas; Thompson, Avery] Univ Calif San Francisco, Sch Med, San Francisco, CA 94115 USA; [Coe, Taylor M.] Massachusetts Gen Hosp, Dept Surg, Boston, MA 02114 USA</t>
  </si>
  <si>
    <t>University of California System; University of California San Francisco; Harvard University; Harvard Medical School; University of California System; University of California San Francisco; Harvard University; Harvard University Medical Affiliates; Massachusetts General Hospital</t>
  </si>
  <si>
    <t>Roman, SA (corresponding author), Univ Calif San Francisco, Dept Surg, Div Gen Surg, Sect Endocrine Surg, 1600 Divisadero St,Room A726,Box 1674, San Francisco, CA 94115 USA.;Roman, SA (corresponding author), Univ Calif San Francisco, Teaching &amp; Learning Procedural Specialties, 1600 Divisadero St,Room A726,Box 1674, San Francisco, CA 94115 USA.;Roman, SA (corresponding author), Univ Calif San Francisco, Leadership Equ &amp; Inclus, 1600 Divisadero St,Room A726,Box 1674, San Francisco, CA 94115 USA.</t>
  </si>
  <si>
    <t>Sanziana.Roman@ucsf.edu</t>
  </si>
  <si>
    <t>Thompson, Avery/LRB-8412-2024</t>
  </si>
  <si>
    <t>Campbell, Andre/0000-0002-7661-6915; Roman, Sanziana/0000-0002-6911-2508; Weiser, Lucas/0000-0003-2159-6416; Mohamedaly, Sarah/0000-0003-1609-4307; Hernandez, Sophia/0000-0001-5763-2672; Sosa, Julie Ann/0000-0002-3356-7316; Conroy, Patricia/0000-0002-3296-9401</t>
  </si>
  <si>
    <t>NCI NIH HHS [T32 CA251070] Funding Source: Medline; National Cancer Institute [T32CA251070] Funding Source: NIH RePORTER</t>
  </si>
  <si>
    <t>NCI NIH HHS(United States Department of Health &amp; Human ServicesNational Institutes of Health (NIH) - USANIH National Cancer Institute (NCI)); National Cancer Institute(United States Department of Health &amp; Human ServicesNational Institutes of Health (NIH) - USANIH National Cancer Institute (NCI))</t>
  </si>
  <si>
    <t>1931-7204</t>
  </si>
  <si>
    <t>1878-7452</t>
  </si>
  <si>
    <t>J SURG EDUC</t>
  </si>
  <si>
    <t>J. Surg. Educ.</t>
  </si>
  <si>
    <t>10.1016/j.jsurg.2021.07.003</t>
  </si>
  <si>
    <t>DEC 2021</t>
  </si>
  <si>
    <t>Education, Scientific Disciplines; Surgery</t>
  </si>
  <si>
    <t>Education &amp; Educational Research; Surgery</t>
  </si>
  <si>
    <t>XZ3SL</t>
  </si>
  <si>
    <t>WOS:000737575200004</t>
  </si>
  <si>
    <t>Downes, M; Kroeck, KG</t>
  </si>
  <si>
    <t>Discrepancies between existing jobs and individual interests: An empirical application of Holland's model</t>
  </si>
  <si>
    <t>OCCUPATIONS</t>
  </si>
  <si>
    <t>This study compared data on existing positions in a wide variety of occupational categories and corresponding normative data on career interests in those same occupations. Data was based on U.S. labor statistics and Holland typology norms for career interest categories using separate analyses for samples of high school students and working adults. For the adult sample, separate analyses were conducted for men and women. Results of loglinear analyses indicated an overall discrepancy between existing positions and normative interests. Certain occupational categories exhibited high normative interest but a low number of existing positions, while other occupational areas exhibited low normative interest relative to the number of existing positions. Implications are discussed for development of career interests that will reduce this discrepancy. (C) 1996 Academic Press, Inc.</t>
  </si>
  <si>
    <t>Downes, M (corresponding author), FLORIDA INT UNIV, DEPT MANAGEMENT &amp; INT BUSINESS, MIAMI, FL 33199 USA.</t>
  </si>
  <si>
    <t>1095-9084</t>
  </si>
  <si>
    <t>10.1006/jvbe.1996.0011</t>
  </si>
  <si>
    <t>WOS:A1996TU65800011</t>
  </si>
  <si>
    <t>Zhang, SY; Shi, WZ; Lu, SY; Yang, DP</t>
  </si>
  <si>
    <t>Zhang, Shuyu; Shi, Wenzhong; Lu, Shengyu; Yang, Daping</t>
  </si>
  <si>
    <t>Partial points segmenter: A unified framework for partially category-supervised point cloud segmentation</t>
  </si>
  <si>
    <t>ISPRS JOURNAL OF PHOTOGRAMMETRY AND REMOTE SENSING</t>
  </si>
  <si>
    <t>Point cloud semantic segmentation; Partially category-supervised learning; Prototype learning; Contrastive learning; Urban scene understanding</t>
  </si>
  <si>
    <t>SEMANTIC SEGMENTATION</t>
  </si>
  <si>
    <t>In many real-world 3D segmentation scenarios like infrastructure inspection and asset management, only a subset of semantic categories are of interest, rendering full-scene annotation both unnecessary and expensive. However, existing methods are primarily designed for fully supervised settings with dense labels across all categories. While weakly supervision alleviates annotation burden, it still assumes coverage over the entire class set, limiting its applicability to only interest categories are labeled. To fill this gap, we propose Partial Points Segmenter (PPS), a unified framework for 3D point cloud semantic segmentation when under partial category supervision. PPS introduces a prototype-guided classification module and a multi-objective training strategy comprising prototype contrastive loss, orthogonality regularization, and adaptive focal foreground loss. These components collaboratively enhance category discrimination under sparse supervision. Extensive experiments across three benchmarks show that PPS significantly outperforms baselines, achieving up to a 19% improvement in mIoU, demonstrating strong generalization in task-specific, partially labeled 3D scenes. The source code and data are available at https://github.com/Lionelsy/PPS.</t>
  </si>
  <si>
    <t>[Zhang, Shuyu; Shi, Wenzhong; Lu, Shengyu; Yang, Daping] Hong Kong Polytech Univ, Shenzhen Technol &amp; Innovat Res Inst Futian, Shenzhen 518000, Peoples R China; [Zhang, Shuyu; Shi, Wenzhong; Lu, Shengyu; Yang, Daping] Hong Kong Polytech Univ, Smart Cities Res Inst, Hong Kong, Peoples R China; [Zhang, Shuyu; Shi, Wenzhong; Lu, Shengyu; Yang, Daping] Hong Kong Polytech Univ, Dept Land Surveying &amp; Geoinformat, Hong Kong, Peoples R China</t>
  </si>
  <si>
    <t>Hong Kong Polytechnic University; Hong Kong Polytechnic University; Hong Kong Polytechnic University</t>
  </si>
  <si>
    <t>Shi, WZ (corresponding author), Hong Kong Polytech Univ, Shenzhen Technol &amp; Innovat Res Inst Futian, Shenzhen 518000, Peoples R China.;Shi, WZ (corresponding author), Hong Kong Polytech Univ, Smart Cities Res Inst, Hong Kong, Peoples R China.;Shi, WZ (corresponding author), Hong Kong Polytech Univ, Dept Land Surveying &amp; Geoinformat, Hong Kong, Peoples R China.</t>
  </si>
  <si>
    <t>lswzshi@polyu.edu.hk</t>
  </si>
  <si>
    <t>Zhang, Shuyu/AFZ-4691-2022</t>
  </si>
  <si>
    <t>Theories for Spatiotemporal Intelligence and Reliable Data Analysis [HZQSWS-KCCYB-2024058]; RGC Grant for Theme-based Research Scheme Project [T43-513/23-N]; Otto Poon Charitable Foundation Smart Cities Research Institute, the Hong Kong Polytechnic University [CD06]</t>
  </si>
  <si>
    <t>Theories for Spatiotemporal Intelligence and Reliable Data Analysis; RGC Grant for Theme-based Research Scheme Project; Otto Poon Charitable Foundation Smart Cities Research Institute, the Hong Kong Polytechnic University</t>
  </si>
  <si>
    <t>We thank the Shenzhen Park of Hetao Shenzhen-Hong Kong Science and Technology Innovation Cooperation Zone and this research has been supported by the 'Theories for Spatiotemporal Intelligence and Reliable Data Analysis' (Project ID: HZQSWS-KCCYB-2024058) . This research has been supported by the RGC Grant for Theme-based Research Scheme Project T43-513/23-N and Otto Poon Charitable Foundation Smart Cities Research Institute, the Hong Kong Polytechnic University (Work Program: CD06) . We acknowledge the University Research Facility in Big Data Analytics (UBDA) at the Hong Kong Polytechnic University for providing computing resources that have contributed to the research results reported within this paper.</t>
  </si>
  <si>
    <t>0924-2716</t>
  </si>
  <si>
    <t>1872-8235</t>
  </si>
  <si>
    <t>ISPRS J PHOTOGRAMM</t>
  </si>
  <si>
    <t>ISPRS-J. Photogramm. Remote Sens.</t>
  </si>
  <si>
    <t>10.1016/j.isprsjprs.2026.03.005</t>
  </si>
  <si>
    <t>Geography, Physical; Geosciences, Multidisciplinary; Remote Sensing; Imaging Science &amp; Photographic Technology</t>
  </si>
  <si>
    <t>Physical Geography; Geology; Remote Sensing; Imaging Science &amp; Photographic Technology</t>
  </si>
  <si>
    <t>FD6FO</t>
  </si>
  <si>
    <t>WOS:001716234000001</t>
  </si>
  <si>
    <t>Shen, B; Pang, YL; Wang, YS; Bo, J</t>
  </si>
  <si>
    <t>Shen, Bo; Pang, Yanli; Wang, Yishun; Bo, Jin</t>
  </si>
  <si>
    <t>Linking Classroom Management With Individual Interest and Class Behaviors: An Exploratory Study</t>
  </si>
  <si>
    <t>teacher behavioral control; teacher care; self-determination theory; engagement; misbehaviors</t>
  </si>
  <si>
    <t>STUDENTS PHYSICAL-ACTIVITY; SELF-DETERMINATION; EDUCATION; MOTIVATION; ENGAGEMENT; SUPPORT; MODEL; CARE</t>
  </si>
  <si>
    <t>Purpose: Classroom management is essential for ensuring the smooth and effective functioning of physical education classes. Grounded in self-determination theory, this exploratory study examined how teacher behavioral control, representing informational forms of regulation, and teacher care, reflecting affection toward students, are associated with students' individual interest, class engagement, and class misbehavior. Methods: A total of 689 students (Mage =16.07, SD =1.42 years) from two public high schools participated. Results: Hierarchical multiple regression analyses indicated that both perceived teacher behavioral control and teacher care significantly predicted student outcomes. Latent profile analysis revealed three distinct profiles, with the high behavioral control and high-care profile emerging as the most adaptive and the moderate behavioral control and low-care profile as the least adaptive. Conclusion: Teachers' informational regulation and their affection toward students function as complementary elements. Effective classroom management not only facilitates positive classroom behavior but also enhances student motivation.</t>
  </si>
  <si>
    <t>[Shen, Bo] Wayne State Univ, Div Kinesiol Hlth &amp; Sport Studies, Detroit, MI 48202 USA; [Pang, Yanli; Wang, Yishun] Cent China Normal Univ, Wuhan, HUB, Peoples R China; [Wang, Yishun] Xishan Inst Educ Sci, Secondary Sch, Kunming, Peoples R China; [Bo, Jin] Eastern Michigan Univ, Ypsilanti, MI USA</t>
  </si>
  <si>
    <t>Wayne State University; Central China Normal University; Eastern Michigan University</t>
  </si>
  <si>
    <t>Shen, B (corresponding author), Wayne State Univ, Div Kinesiol Hlth &amp; Sport Studies, Detroit, MI 48202 USA.</t>
  </si>
  <si>
    <t>boshen@wayne.edu</t>
  </si>
  <si>
    <t>2026 MAY 5</t>
  </si>
  <si>
    <t>10.1123/jtpe.2025-0026</t>
  </si>
  <si>
    <t>HR3GQ</t>
  </si>
  <si>
    <t>WOS:001760837500001</t>
  </si>
  <si>
    <t>Bai, YT; Dou, ZC; Wen, JR</t>
  </si>
  <si>
    <t>Al-Onaizan, Y; Bansal, M; Chen, YN</t>
  </si>
  <si>
    <t>Bai, Yutong; Dou, Zhicheng; Wen, Ji-Rong</t>
  </si>
  <si>
    <t>Learning Dynamic Multi-attribute Interest for Personalized Product Search</t>
  </si>
  <si>
    <t>FINDINGS OF THE ASSOCIATION FOR COMPUTATIONAL LINGUISTICS: EMNLP 2024</t>
  </si>
  <si>
    <t>29th Conference on Empirical Methods in Natural Language Processing</t>
  </si>
  <si>
    <t>NOV 12-16, 2024</t>
  </si>
  <si>
    <t>Miami, FL</t>
  </si>
  <si>
    <t>ByteDance Inc,Intuit Inc,Adobe Inc,Florida International University,Figma Inc</t>
  </si>
  <si>
    <t>Personalized product search aims to learn personalized preferences from search logs and adjust the ranking lists returned by engines. Previous studies have extensively explored excavating valuable features to build accurate interest profiles. However, they overlook that the user's attention varies on product attributes(e.g., brand, category). Users may especially prefer specific attributes or switch their preferences between attributes dynamically. Instead, existing approaches mix up all attribute features and let the model automatically extract useful ones from rather complex scenarios. To solve this problem, in this paper, we propose a dynamic multi-attribute interest learning model to tackle the influences from attributes to user interests. Specifically, we design two interest profiling modules: attribute-centered and attribute-aware profiling. The former focuses on capturing the user's preferences on a single attribute, while the latter focuses on addressing the interests correlated with multiple attributes within the search history. Besides, we devise a dynamic contribution weights strategy that sends explicit signals to the model to determine the impacts of different attributes. Experimental results on large-scale datasets illustrate that our model significantly improves the results of existing methods.</t>
  </si>
  <si>
    <t>[Bai, Yutong] Renmin Univ China, Sch Informat, Beijing, Peoples R China; [Dou, Zhicheng; Wen, Ji-Rong] Renmin Univ China, Gaoling Sch Artificial Intelligence, Beijing, Peoples R China</t>
  </si>
  <si>
    <t>Renmin University of China; Renmin University of China</t>
  </si>
  <si>
    <t>Dou, ZC (corresponding author), Renmin Univ China, Gaoling Sch Artificial Intelligence, Beijing, Peoples R China.</t>
  </si>
  <si>
    <t>ytbai@ruc.edu.cn; dou@ruc.edu.cn; jrwen@ruc.edu.cn</t>
  </si>
  <si>
    <t>Dou, Zhicheng/OBO-6932-2025</t>
  </si>
  <si>
    <t>National Natural Science Foundation of China [62272467]; Public Computing Cloud, Renmin University of China</t>
  </si>
  <si>
    <t>National Natural Science Foundation of China(National Natural Science Foundation of China (NSFC)); Public Computing Cloud, Renmin University of China</t>
  </si>
  <si>
    <t>This work was supported by National Natural Science Foundation of China No. 62272467, and Public Computing Cloud, Renmin University of China. The work was partially done at the Engineering Research Center of Next-Generation Intelligent Search and Recommendation, MOE.</t>
  </si>
  <si>
    <t>979-8-89176-168-1</t>
  </si>
  <si>
    <t>Computer Science, Artificial Intelligence; Computer Science, Information Systems; Linguistics</t>
  </si>
  <si>
    <t>BY9HT</t>
  </si>
  <si>
    <t>WOS:001511154403005</t>
  </si>
  <si>
    <t>He, F</t>
  </si>
  <si>
    <t>He, Fang</t>
  </si>
  <si>
    <t>Design of library information recommendation system integrating transfer learning and population intelligence optimisation</t>
  </si>
  <si>
    <t>INTERNATIONAL JOURNAL OF COMPUTER APPLICATIONS IN TECHNOLOGY</t>
  </si>
  <si>
    <t>swarm intelligence; PSO; transfer learning; recommendation system</t>
  </si>
  <si>
    <t>Traditional classification and recommendation methods encounter limitations due to high dimensionality, insufficient annotation and the heterogeneous nature of user interests. To address these challenges, this study proposes a novel framework for user interest classification and book recommendation, named Transfer Convolutional Adaptive Support Vector Machine (T-CASVM). This framework integrates deep transfer learning with Particle Swarm Optimisation (PSO). It utilises a deep transfer convolutional neural network with shared weights to extract features from both source and target domains, thereby mitigating distributional discrepancies by simultaneously optimising classification loss and domain loss. Furthermore, PSO is employed to refine the classifier, improving both accuracy and computational efficiency. The framework calculates cosine similarity between the target user and others to provide personalised book recommendations. Experimental results on the public Book-Crossing data set show that T-CASVM outperforms traditional methods, achieving over 0.79 in precision index concerning the user interest classification task.</t>
  </si>
  <si>
    <t>[He, Fang] Zhongnan Univ Econ &amp; Law, Dept Lib, Wuhan, Hubei, Peoples R China</t>
  </si>
  <si>
    <t>Zhongnan University of Economics &amp; Law</t>
  </si>
  <si>
    <t>He, F (corresponding author), Zhongnan Univ Econ &amp; Law, Dept Lib, Wuhan, Hubei, Peoples R China.</t>
  </si>
  <si>
    <t>hfang925@zuel.edu.cn</t>
  </si>
  <si>
    <t>0952-8091</t>
  </si>
  <si>
    <t>1741-5047</t>
  </si>
  <si>
    <t>INT J COMPUT APPL T</t>
  </si>
  <si>
    <t>Int. J. Comput. Appl. Technol.</t>
  </si>
  <si>
    <t>10.1504/IJCAT.2025.149865</t>
  </si>
  <si>
    <t>FD2RM</t>
  </si>
  <si>
    <t>WOS:001715993700001</t>
  </si>
  <si>
    <t>Esclamado, MA; Rodrigo, MMT</t>
  </si>
  <si>
    <t>Esclamado, Maricel A.; Rodrigo, Maria Mercedes T.</t>
  </si>
  <si>
    <t>Gender differences in achievement, behavior, and STEM interest among learners using Minecraft</t>
  </si>
  <si>
    <t>RESEARCH AND PRACTICE IN TECHNOLOGY ENHANCED LEARNING</t>
  </si>
  <si>
    <t>Minecraft; WHIMC; Gender difference; Frustration; Boredom; Behaviors; STEM interest; Philippines</t>
  </si>
  <si>
    <t>GAME; ENGAGEMENT; BOREDOM; SCIENCE</t>
  </si>
  <si>
    <t>In this paper, we analyze how male and female learners differ in their in-game behaviors, knowledge assessment outcomes, and STEM interest using the What-If Hypothetical Implementations using Minecraft (WHIMC). We also investigate how male and female learners' self-reported levels of frustration and boredom relate to these outcomes. We examine in-game data, out-of-game assessment data, selfreported frustration and boredom, and results of the STEM interest questionnaire (SIQ) from 175 Grade 8 learners from a school in the Philippines. We found that male learners tend to explore more than female learners. Both genders learn more through more exploration, making more observations, and completing tasks, but only female learners benefit from having more idle time. Male learners had a higher increase in STEM interest compared to female learners, while there is no significant difference in assessment scores between the genders. This study also found that boredom and frustration have a negative impact on academic outcomes, behavior, and STEM interest, especially among female learners. Bored female learners tend to do less well on post-game assessments, explore less, and make fewer observations. Frustrated female learners tend to not complete the task. Female learners who expressed frustration or boredom tend to have a decreased interest in SIQ in the Interest category after playing WHIMC.</t>
  </si>
  <si>
    <t>[Esclamado, Maricel A.; Rodrigo, Maria Mercedes T.] Ateneo Manila Univ, Loyola Hts, Quezon City, Philippines; [Esclamado, Maricel A.] Univ Sci &amp; Technol Southern Philippines, Cagayan De Oro, Philippines</t>
  </si>
  <si>
    <t>Ateneo de Manila University; University of Science &amp; Technology of Southern Philippines (USTP)</t>
  </si>
  <si>
    <t>Esclamado, MA (corresponding author), Ateneo Manila Univ, Loyola Hts, Quezon City, Philippines.;Esclamado, MA (corresponding author), Univ Sci &amp; Technol Southern Philippines, Cagayan De Oro, Philippines.</t>
  </si>
  <si>
    <t>maricel.esclamado@obf.ateneo.edu</t>
  </si>
  <si>
    <t>Esclamado, Maricel/IYJ-9351-2023</t>
  </si>
  <si>
    <t>Rodrigo, Maria Mercedes T/0000-0001-7881-7756</t>
  </si>
  <si>
    <t>Department of Science and Technology (DOST)</t>
  </si>
  <si>
    <t>Department of Science and Technology (DOST)(Department of Science &amp; Technology (India))</t>
  </si>
  <si>
    <t>Funding for this project was provided by Department of Science and Technology (DOST) through the grant entitled, Nurturing Interest in STEM among Filipino learners using Minecraft.</t>
  </si>
  <si>
    <t>NO 300, JUNGDA RD, JHONGLI DISTRICT, TAOYUAN CITY, TAIWAN</t>
  </si>
  <si>
    <t>1793-7078</t>
  </si>
  <si>
    <t>RES PRACT TECH ENHAN</t>
  </si>
  <si>
    <t>Res. Pract. Technol. Enhanc. Learn.</t>
  </si>
  <si>
    <t>JAN 1</t>
  </si>
  <si>
    <t>10.58459/rptel.2024.19031</t>
  </si>
  <si>
    <t>MJ5R2</t>
  </si>
  <si>
    <t>WOS:001193271800001</t>
  </si>
  <si>
    <t>Chakrabarty, A; Roy, S</t>
  </si>
  <si>
    <t>Chakrabarty, Anirban; Roy, Sudipta</t>
  </si>
  <si>
    <t>Personalised Information Recommender Using Framework for Ontology Alignment Among Digital Libraries</t>
  </si>
  <si>
    <t>DESIDOC JOURNAL OF LIBRARY &amp; INFORMATION TECHNOLOGY</t>
  </si>
  <si>
    <t>Digital library; ontology alignment; user interest; context similarity; information retrieval</t>
  </si>
  <si>
    <t>In the digital erantology is considered as one of the powerful tools for knowledge representation and efficient information retrieval. Ontology alignment is a process that discovers mapping between source and target ontologies, where each mapping is a relationship based on some similarity measure. This paper, has presented a new context aware alignment approach that needs little human intervention and it can map multiple ontologies to generate user interest dynamically. The objective is to design and develop an ontology alignment model that provides more benefits to its stakeholders in sharing resources and searching across digital libraries based on priorities of users. The experimental results evidently indicate significant improvement in search results when user profile and navigational pattern ontologies are aligned with digital library ontology.</t>
  </si>
  <si>
    <t>[Chakrabarty, Anirban] Assam Univ, Silchar, India; [Roy, Sudipta] Assam Cent Univ, Triguna Sen Sch Technol, Comp Sci &amp; Engn Dept, Silchar, Assam, India</t>
  </si>
  <si>
    <t>Assam University; Assam University</t>
  </si>
  <si>
    <t>Chakrabarty, A (corresponding author), Assam Univ, Silchar, India.</t>
  </si>
  <si>
    <t>chakrabarty.anirban@rediffmail.com; sudipta.it@gmail.com</t>
  </si>
  <si>
    <t>Roy, Sudipta/V-7932-2018</t>
  </si>
  <si>
    <t>Roy, Sudipta/0000-0003-0244-6455; chakrabarty, Anirban/0000-0003-0416-6756</t>
  </si>
  <si>
    <t>DEFENCE SCIENTIFIC INFORMATION DOCUMENTATION CENTRE</t>
  </si>
  <si>
    <t>DELHI</t>
  </si>
  <si>
    <t>METCALFE HOUSE, DELHI 110054, INDIA</t>
  </si>
  <si>
    <t>0974-0643</t>
  </si>
  <si>
    <t>0976-4658</t>
  </si>
  <si>
    <t>DESIDOC J LIB INF TE</t>
  </si>
  <si>
    <t>DESIDOC J. Lib. Inf. Technol.</t>
  </si>
  <si>
    <t>10.14429/djlit.36.4.9600</t>
  </si>
  <si>
    <t>EG0CQ</t>
  </si>
  <si>
    <t>WOS:000390698900003</t>
  </si>
  <si>
    <t>Kang, J; Lee, H</t>
  </si>
  <si>
    <t>Kang, Jaeyong; Lee, Hyunju</t>
  </si>
  <si>
    <t>Modeling user interest in social media using news media and wikipedia</t>
  </si>
  <si>
    <t>Text mining; User profile; Clustering; Text categorization; Recommendation systems; Social media</t>
  </si>
  <si>
    <t>Social media has become an important source of information and a medium for following and spreading trends, news, and ideas all over the world. Although determining the subjects of individual posts is important to extract users' interests from social media, this task is nontrivial because posts are highly contextualized and informal and have limited length. To address this problem, we propose a user modeling framework that maps the content of texts in social media to relevant categories in news media. In our framework, the semantic gaps between social media and news media are reduced by using Wikipedia as an external knowledge base. We map term based features from a short text and a news category into Wikipedia-based features such as Wikipedia categories and article entities. A user's microposts are thus represented in a rich feature space of words. Experimental results show that our proposed method using Wikipedia-based features outperforms other existing methods of identifying users' interests from social media.</t>
  </si>
  <si>
    <t>[Kang, Jaeyong; Lee, Hyunju] Gwangju Inst Sci &amp; Technol, Sch Elect Engn &amp; Comp Sci, Gwangju, South Korea</t>
  </si>
  <si>
    <t>hyunjulee@gist.ac.kr</t>
  </si>
  <si>
    <t>Ministry of Culture, Sports and Tourism (MCST); Korea Creative Content Agency (KOCCA) in the Culture Technology (CT) Research &amp; Development Program</t>
  </si>
  <si>
    <t>Ministry of Culture, Sports and Tourism (MCST)(Ministry of Culture, Sports &amp; Tourism (MCST), Republic of Korea); Korea Creative Content Agency (KOCCA) in the Culture Technology (CT) Research &amp; Development Program(Korea Creative Content Agency (KOCCA))</t>
  </si>
  <si>
    <t>This research is supported by Ministry of Culture, Sports and Tourism (MCST) and Korea Creative Content Agency (KOCCA) in the Culture Technology (CT) Research &amp; Development Program 2016.</t>
  </si>
  <si>
    <t>10.1016/j.is.2016.11.003</t>
  </si>
  <si>
    <t>EK0QK</t>
  </si>
  <si>
    <t>WOS:000393631700005</t>
  </si>
  <si>
    <t>Fredrikson, M; Livshits, B</t>
  </si>
  <si>
    <t>IEEE Computer Society</t>
  </si>
  <si>
    <t>Fredrikson, Matthew; Livshits, Benjamin</t>
  </si>
  <si>
    <t>REPRIV: Re-Imagining Content Personalization and In-Browser Privacy</t>
  </si>
  <si>
    <t>2011 IEEE SYMPOSIUM ON SECURITY AND PRIVACY (SP 2011)</t>
  </si>
  <si>
    <t>IEEE Symposium on Security and Privacy</t>
  </si>
  <si>
    <t>32nd IEEE Symposium on Security and Privacy (SP 2011)</t>
  </si>
  <si>
    <t>MAY 22-25, 2011</t>
  </si>
  <si>
    <t>Berkeley, CA</t>
  </si>
  <si>
    <t>IEEE,IEEE Comp Soc Tech Comm Secur &amp; Privacy</t>
  </si>
  <si>
    <t>We present REPRIV, a system that combines the goals of privacy and content personalization in the browser. REPRIV discovers user interests and shares them with third-parties, but only with an explicit permission of the user. We demonstrate how always-on user interest mining can effectively infer user interests in a real browser. We go on to discuss an extension framework that allows third-party code to extract and disseminate more detailed information, as well as language-based techniques for verifying the absence of privacy leaks in this untrusted code. To demonstrate the effectiveness of our model, we present REPRIV extensions that perform personalization for Netflix, Twitter, Bing, and GetGlue. This paper evaluates important aspects of REPRIV in realistic scenarios. We show that REPRIV's default in-browser mining can be done with no noticeable overhead to normal browsing, and that the results it produces converge quickly. We demonstrate that REPRIV personalization yields higher quality results than those that may be obtained about the user from public sources. We then go on to show similar results for each of our case studies: that REPRIV enables high-quality personalization, as shown by cases studies in news and search result personalization we evaluated on thousands of instances, and that the performance impact each case has on the browser is minimal. We conclude that personalized content and individual privacy on the web are not mutually exclusive.</t>
  </si>
  <si>
    <t>[Fredrikson, Matthew] Univ Wisconsin, Madison, WI 53706 USA; [Livshits, Benjamin] Microsoft Res, Hyderabad, Andhra Pradesh, India</t>
  </si>
  <si>
    <t>Fredrikson, M (corresponding author), Univ Wisconsin, Madison, WI 53706 USA.</t>
  </si>
  <si>
    <t>Fredrikson, Matt/GQR-0633-2022</t>
  </si>
  <si>
    <t>Fredrikson, Matt/0000-0003-1820-1698</t>
  </si>
  <si>
    <t>1081-6011</t>
  </si>
  <si>
    <t>978-0-7695-4402-1</t>
  </si>
  <si>
    <t>P IEEE S SECUR PRIV</t>
  </si>
  <si>
    <t>10.1109/SP.2011.37</t>
  </si>
  <si>
    <t>BWZ46</t>
  </si>
  <si>
    <t>WOS:000295408400009</t>
  </si>
  <si>
    <t>Froment, F; Flores, JG; Gutierrez, MD</t>
  </si>
  <si>
    <t>Froment, Facundo; Flores, Javier Gil; Gutierrez, Manuel de-Besa</t>
  </si>
  <si>
    <t>Spanish adaptation of the Student Interest Scale. Factor structure, reliability and validity</t>
  </si>
  <si>
    <t>AULA ABIERTA</t>
  </si>
  <si>
    <t>Adaptation; university students; academic interest; psychometric properties</t>
  </si>
  <si>
    <t>TEACHER COMMUNICATION BEHAVIORS; FIT INDEXES; ENGAGEMENT; ASSOCIATIONS; ACHIEVEMENT; CONVERGENT; VALIDATION; KNOWLEDGE</t>
  </si>
  <si>
    <t>Academic interest constitutes a variable that affects the learning process of students. However, no instruments have been found that measure the interest of university students in the Spanish context. Therefore, the objective of this study was to adapt and validate the Student Interest Scale (Mazer, 2012) into Spanish. Four hundred and forty-seven students from the Early Childhood and Primary Education Degrees at the University of C &amp; aacute;diz participated in the research. The results of the confirmatory factor analysis support both the bifactor structure proposed in the original model and the unifactor solution. Likewise, the scale presents adequate reliability by obtaining satisfactory values of Cronbach's alpha and McDonald's omega and evidence of convergent validity with motivation and aca-- demic satisfaction. It is concluded that the Student Interest Scale presents adequate psychometric properties to evaluate the academic interest of university students in the classroom.</t>
  </si>
  <si>
    <t>[Froment, Facundo] Univ Extremadura, Badajoz, Spain; [Flores, Javier Gil] Univ Seville, Seville, Spain; [Gutierrez, Manuel de-Besa] Univ Cadiz, Cadiz, Spain</t>
  </si>
  <si>
    <t>Universidad de Extremadura; University of Sevilla; Universidad de Cadiz</t>
  </si>
  <si>
    <t>Froment, F (corresponding author), Univ Extremadura, Badajoz, Spain.</t>
  </si>
  <si>
    <t>facundofroment@unex.es; jflores@us.es; manuel.debesa@uca.es</t>
  </si>
  <si>
    <t>De-Besa-Gutiérrez, Manuel/U-2686-2019; Froment, Facundo/AAB-1388-2021; Gil Flores, Javier/A-4345-2017</t>
  </si>
  <si>
    <t>Froment, Facundo/0000-0002-2337-3032; Gil Flores, Javier/0000-0003-0755-4367</t>
  </si>
  <si>
    <t>UNIV OVIEDO, INST CIENCIAS EDUCACION</t>
  </si>
  <si>
    <t>OVIEDO</t>
  </si>
  <si>
    <t>QUINTANA, 30-1O, OVIEDO, 33009, SPAIN</t>
  </si>
  <si>
    <t>0210-2773</t>
  </si>
  <si>
    <t>2341-2313</t>
  </si>
  <si>
    <t>Aula Abierta</t>
  </si>
  <si>
    <t>JUL-SEP</t>
  </si>
  <si>
    <t>10.17811/rifie.21004</t>
  </si>
  <si>
    <t>I5D2U</t>
  </si>
  <si>
    <t>WOS:001330453600008</t>
  </si>
  <si>
    <t>Fontes, MM; Pedrosa, D; Araújo, T; Morais, C; Costa, A; Cravino, J; Morgado, L</t>
  </si>
  <si>
    <t>Economou, D; Pena-Rios, A; Dengel, A; Dodds, H; Mentzelopoulos, M; Klippel, A; Erenli, K; Lee, MJW; Richter, J</t>
  </si>
  <si>
    <t>Fontes, Mario Madureira; Pedrosa, Daniela; Araujo, Tania; Morais, Ceres; Costa, Aline; Cravino, Jose; Morgado, Leonel</t>
  </si>
  <si>
    <t>Narrative-Driven Immersion and Students' Perceptions in an Online Software Programming Course</t>
  </si>
  <si>
    <t>2021 7TH INTERNATIONAL CONFERENCE OF THE IMMERSIVE LEARNING RESEARCH NETWORK (ILRN)</t>
  </si>
  <si>
    <t>7th International Conference of the Immersive-Learning-Research-Network (iLRN)</t>
  </si>
  <si>
    <t>MAY 17-JUN 10, 2021</t>
  </si>
  <si>
    <t>IEEE Educ Soc,Virbela,Immers Learning Res Network,Penn State Ctr Imers Experiences,Verizon,Graz Univ Technol,Journal Universal Comp Sci,Plumb.one,eLearning Brothers,Acad Int Extended Real,Augmented Real Enterprise Alliance,Apelab,Grove XR</t>
  </si>
  <si>
    <t>teaching methods; student surveys; distance education; computer science education; learning processes</t>
  </si>
  <si>
    <t>Learning software programming is challenging for software engineering students. In this paper, students' engagement in learning software engineering programming is considered under the SimProgramming approach using the OC2-RD2 narrative technique to create an immersive learning context. The objectives of this paper are twofold: presenting a narrative-driven immersive learning approach to introduce software engineering concepts and coding techniques to online undergraduate students; and analyzing the students' feedback on this approach. Thematic analysis of the metacognitive tasks was performed on the students' fortnightly reflections about their learning progress. Content analysis was based on interest categories, students' perceptions, metacognitive challenges, narratives, examples and aspects to be kept or to be improved. Data from the content analysis were organized into categories, subcategories, indicators, and recording units and their categorization was peer-reviewed. The narratives were considered by the students as interesting, appealing, akin to professional reality and promoting interaction. Most students thought the approach was helpful for learning software programming.</t>
  </si>
  <si>
    <t>[Fontes, Mario Madureira; Morgado, Leonel] Univ Aberta, Coimbra, Portugal; [Fontes, Mario Madureira] PUCSP, Sao Paulo, Brazil; [Pedrosa, Daniela] Univ Aveiro, CIDTFF, Aveiro, Portugal; [Pedrosa, Daniela; Cravino, Jose] UTAD, Vila Real, Portugal; [Araujo, Tania] Univ Aveiro, Aveiro, Portugal; [Morais, Ceres] INESC TEC, Porto, Portugal; [Morais, Ceres] UERN, Mossoro, Brazil; [Costa, Aline] Univ Porto, Porto, Portugal; [Costa, Aline; Morgado, Leonel] INESC TEC, Porto, Portugal; [Cravino, Jose] CIDTFF, Aveiro, Portugal</t>
  </si>
  <si>
    <t>Universidade Aberta; Pontificia Universidade Catolica de Sao Paulo; Universidade de Aveiro; Centro Investigacao Didatica Tecnologia Formacao Formadores (CIDTFF); University of Tras-os-Montes &amp; Alto Douro; Universidade de Aveiro; INESC TEC; Universidade do Estado do Rio Grande do Norte (UERN); Universidade do Porto; INESC TEC; Universidade de Aveiro; Centro Investigacao Didatica Tecnologia Formacao Formadores (CIDTFF)</t>
  </si>
  <si>
    <t>Fontes, MM (corresponding author), Univ Aberta, Coimbra, Portugal.;Fontes, MM (corresponding author), PUCSP, Sao Paulo, Brazil.</t>
  </si>
  <si>
    <t>; Cravino, José/B-4337-2008; Pedrosa, Daniela/ADZ-1138-2022; Madureira Fontes, Mario/L-5402-2014; Morgado, Leonel/F-2946-2010</t>
  </si>
  <si>
    <t>Morais, Ceres Germanna Braga/0000-0001-6270-2508; Martins Costa, Aline/0000-0002-3851-3421; Cravino, José/0000-0002-5376-6128; Pedrosa, Daniela/0000-0001-9536-4234; Madureira Fontes, Mario/0000-0002-5618-0616; Morgado, Leonel/0000-0001-5517-644X; Araújo, Tânia/0000-0002-6434-6735</t>
  </si>
  <si>
    <t>FCT - Fundacao para a Ciencia e a Tecnologia, I.P. [PTDC/CED-EDG/30040/2017]; CIDTFF Universidade de Aveiro, Portugal [UID/CED/00194/2019, CEECIND/00986/2017]; Fundação para a Ciência e a Tecnologia [PTDC/CED-EDG/30040/2017] Funding Source: FCT</t>
  </si>
  <si>
    <t>FCT - Fundacao para a Ciencia e a Tecnologia, I.P.(Fundacao para a Ciencia e a Tecnologia (FCT)); CIDTFF Universidade de Aveiro, Portugal; Fundação para a Ciência e a Tecnologia(Fundacao para a Ciencia e a Tecnologia (FCT))</t>
  </si>
  <si>
    <t>This work is financially supported by National Funds through FCT -Fundacao para a Ciencia e a Tecnologia, I.P., under project PTDC/CED-EDG/30040/2017.r Daniela Pedrosa wishes to thank Fundacao para a Ciencia e Tecnologia (FCT) and CIDTFF (UID/CED/00194/2019) Universidade de Aveiro, Portugal, for Stimulus of Scientific Employment -CEECIND/00986/2017 Individual Support 2017.r We would like to thank all the students and teachers who collaborated on this research.</t>
  </si>
  <si>
    <t>978-1-7348995-2-8</t>
  </si>
  <si>
    <t>10.23919/ILRN52045.2021.9459381</t>
  </si>
  <si>
    <t>Computer Science, Information Systems; Computer Science, Theory &amp; Methods; Education, Scientific Disciplines</t>
  </si>
  <si>
    <t>BS1RC</t>
  </si>
  <si>
    <t>WOS:000694861600060</t>
  </si>
  <si>
    <t>Rating of vocational interests under matching and nonmatching conditions</t>
  </si>
  <si>
    <t>PSYCHOLOGICAL REPORTS</t>
  </si>
  <si>
    <t>This study examined whether high school students were better able to assess their scores on an interest inventory when the self-ratings were either matched or unmatched with the interest categories in an interest inventory. Students (N = 329) completed the Career Interest Test and a survey containing the same seven interest dimensions (Outdoor, Practical, Scientific, Creative, Business, Office, and People Contact). At the same time they completed four ratings of interests in the Data, Ideas, People, and Things work-task dimensions. Findings indicated higher convergent validities for matching self-ratings. The median correlation for matching categories was .52 and for unmatched categories was .21. Results supported the validity of self-ratings and the use of matched categories for the assessment of interests.</t>
  </si>
  <si>
    <t>Univ Technol Sydney, Fac Educ, Sydney, NSW 2007, Australia</t>
  </si>
  <si>
    <t>Athanasou, JA (corresponding author), Univ Technol Sydney, Fac Educ, POB 123, Sydney, NSW 2007, Australia.</t>
  </si>
  <si>
    <t>MISSOULA</t>
  </si>
  <si>
    <t>P O BOX 9229, MISSOULA, MT 59807 USA</t>
  </si>
  <si>
    <t>0033-2941</t>
  </si>
  <si>
    <t>PSYCHOL REP</t>
  </si>
  <si>
    <t>Psychol. Rep.</t>
  </si>
  <si>
    <t>703CE</t>
  </si>
  <si>
    <t>WOS:000184261800003</t>
  </si>
  <si>
    <t>Dalal, S; Jain, S; Dav, M</t>
  </si>
  <si>
    <t>Dalal, Sumit; Jain, Sarika; Dav, Mayank</t>
  </si>
  <si>
    <t>Review of Advancements in Depression Detection Using Social Media Data</t>
  </si>
  <si>
    <t>Social networking (online); Depression; Reviews; Surveys; Mental health; Feature extraction; Blogs; Sentiment analysis; Organizations; Media; Deep learning (DL); depression; machine learning (ML); mental health; psycholinguistics; sentiment analysis; textual features</t>
  </si>
  <si>
    <t>MENTAL-HEALTH; CLASSIFICATION; SENTIMENT</t>
  </si>
  <si>
    <t>A large population embraced social media to share thoughts, emotions, and daily experiences through text, images, audio, or video posts. This user-generated content (UGC) serves various purposes, including user profiling, sentiment analysis, and disease detection or tracking. Notably, researchers recognized the potential of UGC for assessing mental health due to its unobtrusive and real-time monitoring capabilities. Recent reviews on depression identification from textual UGC using AI models covered tools and techniques but overlooked critical components such as datasets, lexicons, features, and subtasks, which are essential for understanding the progress and tasks undertaken. This survey adopts a systematic approach and formulates five research questions to examine the relevant literature concerning these elements. Additionally, it organizes machine learning and deep learning (ML/DL) training features from textual UGC in a hierarchical manner and maps the literature on depression detection into various subtasks. The review highlights that despite the prevalence studies, datasets are limited in both quantity and size, with many relying on less reliable ground truth collection methods such as self-reported diagnosis statements (SRDS). Furthermore, the review identifies an overemphasis on certain textual features, such as n-grams and affective elements, while others, such as life events, egocentric graphs, and intervention/coping style, remain largely unexplored. It is crucial for practical AI depression detection systems to develop expertise in tasks such as severity, symptom detection, and explainable/interpretable depression analysis to instill confidence and trust among users.</t>
  </si>
  <si>
    <t>[Dalal, Sumit; Jain, Sarika; Dav, Mayank] Natl Inst Technol Kurukshetra, Kurukshetra 136119, India; [Dalal, Sumit] Bennett Univ, Times Grp, Greater Noida 201310, India</t>
  </si>
  <si>
    <t>National Institute of Technology (NIT System); National Institute of Technology Kurukshetra</t>
  </si>
  <si>
    <t>Dalal, S (corresponding author), Natl Inst Technol Kurukshetra, Kurukshetra 136119, India.</t>
  </si>
  <si>
    <t>sumitdalal9050@gmail.com; jasarika@nitkkr.ac.in; mdave@nitkkr.ac.in</t>
  </si>
  <si>
    <t>Dave, Mayank/F-5617-2011; Dalal, Sumit/ETK-9232-2022; Jain, Sarika/C-8606-2012</t>
  </si>
  <si>
    <t>Dave, Mayank/0000-0003-4748-0753; Dalal, Sumit/0000-0002-8736-2148; Jain, Sarika/0000-0002-7432-8506</t>
  </si>
  <si>
    <t>University Grant Commission India</t>
  </si>
  <si>
    <t>University Grant Commission India(University Grants Commission, India)</t>
  </si>
  <si>
    <t>This work was supported by the University Grant Commission India.</t>
  </si>
  <si>
    <t>10.1109/TCSS.2024.3448624</t>
  </si>
  <si>
    <t>NOV 2024</t>
  </si>
  <si>
    <t>U3M1E</t>
  </si>
  <si>
    <t>WOS:001358214400001</t>
  </si>
  <si>
    <t>Liu, QJ; Fan, L; Liu, ZZ; Dong, XY; Luo, YK; An, GY; Chen, N; Guo, W; Liu, Y; Wu, XM</t>
  </si>
  <si>
    <t>Liu, Qijiong; Fan, Lu; Liu, Zhongzhou; Dong, Xiaoyu; Luo, Yuankai; An, Guoyuan; Chen, Nuo; Guo, Wei; Liu, Yong; Wu, Xiao-Ming</t>
  </si>
  <si>
    <t>Accelerating Generative Recommendation via Simple Categorical User Sequence Compression</t>
  </si>
  <si>
    <t>Generative Recommendation; Sequence Compression</t>
  </si>
  <si>
    <t>Although generative recommenders demonstrate improved performance with longer sequences, their real-time deployment is hindered by substantial computational costs. To address this challenge, we propose a simple yet effective method for compressing long-term user histories by leveraging inherent item categorical features, thereby preserving user interests while enhancing efficiency. Experiments on two large-scale datasets demonstrate that, compared to the influential HSTU model, our approach achieves up to a 6x reduction in computational cost and up to 39% higher accuracy at comparable cost (i.e., similar sequence length).</t>
  </si>
  <si>
    <t>[Liu, Qijiong; Fan, Lu; Dong, Xiaoyu; Luo, Yuankai; Chen, Nuo; Wu, Xiao-Ming] HK PolyU, Hong Kong, Peoples R China; [Liu, Zhongzhou; An, Guoyuan; Guo, Wei; Liu, Yong] Huawei, Shenzhen, Peoples R China</t>
  </si>
  <si>
    <t>Huawei Technologies</t>
  </si>
  <si>
    <t>Liu, QJ; Wu, XM (corresponding author), HK PolyU, Hong Kong, Peoples R China.;Liu, Y (corresponding author), Huawei, Shenzhen, Peoples R China.</t>
  </si>
  <si>
    <t>liu@qijiong.work; liu.yong6@huawei.com; xiao-ming.wu@polyu.edu.hk</t>
  </si>
  <si>
    <t>10.1145/3773966.3779399</t>
  </si>
  <si>
    <t>WOS:001832724900131</t>
  </si>
  <si>
    <t>Hei, LH; Han, C; Mukherjee, A; Obradovic, Z; Dragut, E</t>
  </si>
  <si>
    <t>Hei, Lihong; Han, Chao; Mukherjee, Arjun; Obradovic, Zoran; Dragut, Eduard</t>
  </si>
  <si>
    <t>On the dynamics of user engagement in news comment media</t>
  </si>
  <si>
    <t>online social dynamic; social media; user interest</t>
  </si>
  <si>
    <t>ORGANIZATION</t>
  </si>
  <si>
    <t>Many news outlets allow users to contribute comments on topics about daily world events. News articles are the seeds that spring users' interest to contribute content, that is, comments. A news outlet may allow users to contribute comments on all their articles or a selected number of them. The topic of an article may lead to an apathetic user commenting activity (several tens of comments) or to a spontaneous fervent one (several thousands of comments). This environment creates a social dynamic that is little studied. The social dynamics around articles have the potential to reveal interesting facets of the user population at a news outlet. In this paper, we report the salient findings about these social media from 15 months worth of data collected from 17 news outlets comprising of over 38,000 news articles and about 21 million user comments. Analysis of the data reveals interesting insights such as there is an uneven relationship between news outlets and their user populations across outlets. Such observations and others have not been revealed, to our knowledge. We believe our analysis in this paper can contribute to news predictive analytics (e.g., user reaction to a news article or predicting the volume of comments posted to an article). This article is categorized under: Internet &gt; Society and Culture Ensemble Methods &gt; Web Mining Fundamental Concepts of Data and Knowledge &gt; Human Centricity and User Interaction</t>
  </si>
  <si>
    <t>[Hei, Lihong; Han, Chao; Obradovic, Zoran; Dragut, Eduard] Temple Univ, Dept Comp &amp; Informat Sci, Philadelphia, PA 19122 USA; [Mukherjee, Arjun] Univ Houston, Dept Comp Sci, Houston, TX 77204 USA</t>
  </si>
  <si>
    <t>Pennsylvania Commonwealth System of Higher Education (PCSHE); Temple University; University of Houston System; University of Houston</t>
  </si>
  <si>
    <t>Dragut, E (corresponding author), Temple Univ, Dept Comp &amp; Informat Sci, Philadelphia, PA 19122 USA.</t>
  </si>
  <si>
    <t>edragut@temple.edu</t>
  </si>
  <si>
    <t>; Mukherjee, Arjun/KIC-5499-2024</t>
  </si>
  <si>
    <t>Obradovic, Zoran/0000-0002-2051-0142;</t>
  </si>
  <si>
    <t>U.S. NSF, BigData [1838145, 1838147]; EAGER [1842183]; SES [1659998]</t>
  </si>
  <si>
    <t>U.S. NSF, BigData; EAGER; SES</t>
  </si>
  <si>
    <t>U.S. NSF, BigData, Grant/Award Numbers: 1838145, 1838147; EAGER, Grant/Award Number: 1842183; SES, Grant/Award Number: 1659998</t>
  </si>
  <si>
    <t>e1342</t>
  </si>
  <si>
    <t>10.1002/widm.1342</t>
  </si>
  <si>
    <t>NOV 2019</t>
  </si>
  <si>
    <t>OL3VN</t>
  </si>
  <si>
    <t>WOS:000493708700001</t>
  </si>
  <si>
    <t>Distributed Learning from Interactions in Social Networks</t>
  </si>
  <si>
    <t>2018 EUROPEAN CONTROL CONFERENCE (ECC)</t>
  </si>
  <si>
    <t>European Control Conference (ECC)</t>
  </si>
  <si>
    <t>JUN 12-15, 2018</t>
  </si>
  <si>
    <t>Limassol, CYPRUS</t>
  </si>
  <si>
    <t>OPTIMIZATION; CONSENSUS; DYNAMICS</t>
  </si>
  <si>
    <t>We consider a network scenario in which agents can evaluate each other according to a score graph that models some interactions. The goal is to design a distributed protocol, run by the agents, that allows them to learn their unknown state among a finite set of possible values. We propose a Bayesian framework in which scores and states are associated to probabilistic events with unknown parameters and hyperparameters, respectively. We show that each agent can learn its state by means of a local Bayesian classifier and a (centralized) Maximum-Likelihood (ML) estimator of parameter-hyperparameter that combines plain ML and Empirical Bayes approaches. By using tools from graphical models, which allow us to gain insight on conditional dependencies of scores and states, we provide a relaxed probabilistic model that ultimately leads to a parameter-hyperparameter estimator amenable to distributed computation. To highlight the appropriateness of the proposed relaxation, we demonstrate the distributed estimators on a social interaction set-up for user profiling.</t>
  </si>
  <si>
    <t>[Sasso, Francesco; Coluccia, Angelo; Notarstefano, Giuseppe] Univ Salento, Dept Engn, Via Monteroni, I-73100 Lecce, Italy</t>
  </si>
  <si>
    <t>University of Salento</t>
  </si>
  <si>
    <t>Sasso, F (corresponding author), Univ Salento, Dept Engn, Via Monteroni, I-73100 Lecce, Italy.</t>
  </si>
  <si>
    <t>francesco.sasso@unisalento.it; angelo.coluccia@unisalento.it; giuseppe.notarstefano@unisalento.it</t>
  </si>
  <si>
    <t>Coluccia, Angelo/N-3219-2015; Notarstefano, Giuseppe/N-9322-2015</t>
  </si>
  <si>
    <t>European Research Council (ERC) under the European Unions Horizon 2020 research and innovation programme [638992 - OPT4SMART]</t>
  </si>
  <si>
    <t>European Research Council (ERC) under the European Unions Horizon 2020 research and innovation programme(European Research Council (ERC))</t>
  </si>
  <si>
    <t>This result is part of a project that has received funding from the European Research Council (ERC) under the European Unions Horizon 2020 research and innovation programme (grant agreement No 638992 - OPT4SMART).</t>
  </si>
  <si>
    <t>978-3-9524-2698-2</t>
  </si>
  <si>
    <t>Automation &amp; Control Systems</t>
  </si>
  <si>
    <t>BM7CF</t>
  </si>
  <si>
    <t>WOS:000467725302038</t>
  </si>
  <si>
    <t>Zotos, N; Stamou, S; Tzekou, P; Kozanidis, L</t>
  </si>
  <si>
    <t>Zotos, Nikos; Stamou, Sofia; Tzekou, Paraskevi; Kozanidis, Lefteris</t>
  </si>
  <si>
    <t>Adaptive Web Site Customization</t>
  </si>
  <si>
    <t>In this paper, we propose a novel site customization model that relies on a topical ontology in order to learn the user interests as these are exemplified in their site navigations. Based oil this knowledge, Our model personalizes the site's content and structure so as to meet particular user needs. Experimental results demonstrate that our model has a significant potential in accurately identifying the user interests and show that site customizations that rely on the detected interests assist web users experience personalized navigations in the sites' contents.</t>
  </si>
  <si>
    <t>[Zotos, Nikos; Stamou, Sofia; Tzekou, Paraskevi; Kozanidis, Lefteris] Univ Patras, Comp Engn &amp; Informat Dept, Patras 26500, Greece</t>
  </si>
  <si>
    <t>zotosn@ceid.upatras.gr; stamou@ceid.upatras.gr; tzekou@ceid.upatras.gr; kozanid@ceid.upatras.gr</t>
  </si>
  <si>
    <t>; Stamou, Sofia/QAV-6091-2026</t>
  </si>
  <si>
    <t>Zotos, Nikolaos/0000-0001-8024-3106;</t>
  </si>
  <si>
    <t>10.1007/978-0-387-77745-0_34</t>
  </si>
  <si>
    <t>WOS:000261355600034</t>
  </si>
  <si>
    <t>Noto, H; Yamamoto, H; Hayasaki, Y; Muguruma, S; Nagai, Y; Shimizu, Y; Nishida, N</t>
  </si>
  <si>
    <t>Noto, Hisanori; Yamamoto, Hirotsugu; Hayasaki, Yoshio; Muguruma, Syuji; Nagai, Yoshifumi; Shimizu, Yoshinori; Nishida, Nobuo</t>
  </si>
  <si>
    <t>Analysis of reproduced 3D space by stereoscopic large LED display</t>
  </si>
  <si>
    <t>IEICE TRANSACTIONS ON ELECTRONICS</t>
  </si>
  <si>
    <t>12th International Display Workshops/Asia Display 2005</t>
  </si>
  <si>
    <t>DEC 06-09, 2005</t>
  </si>
  <si>
    <t>Japan Soc Appl Phys,Inst Elect, Informat &amp; Commun Engineers Japan,Inst Image Informat &amp; Televis Engineers,IEE Japan,Chem Soc Japan,Japanese Liquid Crystal Soc</t>
  </si>
  <si>
    <t>LED; stereoscopic display; stereoscopic camera; camera configuration; reproduced 3D space</t>
  </si>
  <si>
    <t>PARALLAX BARRIER; SHOOTING CONDITIONS; IMAGES</t>
  </si>
  <si>
    <t>We have developed a stereoscopic large LED display with parallax barrier for use by the general public and stereoscopic cameras to show real world images in 3D. This paper aims to analyze stereoscopic camera separation and convergence angle to make the most use of a field of interest and the reproducible space provided by the large stereoscopic LED display. We describe the principle of a stereoscopic LED display with a parallax barrier and its reproducible space that is determined by the allowable range of disparity to fuse stereoscopic images. By using a model of stereoscopic imaging and display process, we introduce the formulas of the reproduced positions on our developed stereoscopic LED display. Furthermore, we analyze relationships between the stereoscopic camera separation, the convergence angle, the area of a field of interest, and the depth range of the reproduced space. The results show there are four categories in camera configurations: there are three kinds of camera configurations that have different characteristics and one configuration that is not recommended. Category A configuration reproduces a wide area of the field of interest in a long range of depth. Category B functions as a reduction of the field of interest. Category C functions as a magnification of the field of interest. In Category D, a narrow area of the field is reproduced in a short range of depth. In particular, for use by stereoscopic LED display with a rather low resolution, Category A and Category C are recommended because they fully use the reproducible positions.</t>
  </si>
  <si>
    <t>Univ Tokushima, Tokushima 7708506, Japan; NICHIA Corp, Anan 7748601, Japan</t>
  </si>
  <si>
    <t>Tokushima University; Nichia Corporation</t>
  </si>
  <si>
    <t>Noto, H (corresponding author), Univ Tokushima, Tokushima 7708506, Japan.</t>
  </si>
  <si>
    <t>yamamoto@opt.tokushima-u.ac.jp</t>
  </si>
  <si>
    <t>Yamamoto, Hirotsugu/0000-0003-1405-6657</t>
  </si>
  <si>
    <t>0916-8524</t>
  </si>
  <si>
    <t>1745-1353</t>
  </si>
  <si>
    <t>IEICE T ELECTRON</t>
  </si>
  <si>
    <t>IEICE Trans. Electron.</t>
  </si>
  <si>
    <t>E89C</t>
  </si>
  <si>
    <t>10.1093/ietele/e89-c.10.1427</t>
  </si>
  <si>
    <t>095JY</t>
  </si>
  <si>
    <t>WOS:000241305200010</t>
  </si>
  <si>
    <t>Feliciano, D; Hunter, C; Slee, B; Smith, P</t>
  </si>
  <si>
    <t>Feliciano, Diana; Hunter, Colin; Slee, Bill; Smith, Pete</t>
  </si>
  <si>
    <t>Climate change mitigation options in the rural land use sector: Stakeholders' perspectives on barriers, enablers and the role of policy in North East Scotland</t>
  </si>
  <si>
    <t>ENVIRONMENTAL SCIENCE &amp; POLICY</t>
  </si>
  <si>
    <t>GHG emission targets; Mitigation practices; Barriers; Enablers; Policy</t>
  </si>
  <si>
    <t>GREENHOUSE-GAS MITIGATION; CARBON SEQUESTRATION; ADAPTATION; OPPORTUNITIES; AGRICULTURE; FORESTRY; SOILS; FARM</t>
  </si>
  <si>
    <t>The rural land use sector could potentially mitigate a large amount of GHG emissions. Implementation requires the engagement of farmers and other land managers. Understanding the barriers and enablers for the uptake of these practices is essential both to inform policy-makers and to achieve effective policy outreach. In Scotland, the rural land use sector is subject to a greenhouse gas (GHG) emission reduction target of 21% by 2020 relative to 1990 levels. This study contributes to the body of research on stakeholders' perspectives about suitability of climate change mitigation practices at the regional level. Mixed-methods were used to collect the data, namely participatory workshops with scientists and relevant stakeholders, a farmer questionnaire, and focus groups with farmers. Findings show that farmers were mainly willing to expand the uptake of mitigation practices they were already implementing because they consider these are the most cost-effective. Barriers to the implementation of mitigation practices are mainly related to physical-environmental constraints, lack of information and education and personal interests and values. Similarly, enablers are also related to physical-environmental factors and personal interests and values. Economic incentives, voluntary approaches and provision of information have been identified by workshop participants as the most favourable approaches needed to promote the uptake of technically feasible mitigation practices. Farmers, however, consider that agriculture is a special case and should have not to comply with GHG emission reduction targets. Mitigation practices, should, therefore, be integrated with other initiatives. (C) 2014 Elsevier Ltd. All rights reserved.</t>
  </si>
  <si>
    <t>[Feliciano, Diana; Smith, Pete] Univ Aberdeen, Sch Biol Sci, Inst Biol &amp; Environm Sci, Aberdeen AB24 3UU, Scotland; [Hunter, Colin] Sch Geog &amp; Geosci Sustainable Dev, St Andrews KY16 9AL, Fife, Scotland; [Slee, Bill] James Hutton Inst, Aberdeen AB15 8QH, Scotland</t>
  </si>
  <si>
    <t>University of Aberdeen; University of St Andrews; James Hutton Institute</t>
  </si>
  <si>
    <t>Feliciano, D (corresponding author), Univ Aberdeen, Sch Biol Sci, Inst Biol &amp; Environm Sci, 23 St Machar Dr, Aberdeen AB24 3UU, Scotland.</t>
  </si>
  <si>
    <t>diana.feliciano@abdn.ac.uk; ch69@st-andrews.ac.uk; bill.slee@hutton.ac.uk; pete.smith@abdn.ac.uk</t>
  </si>
  <si>
    <t>Smith, Pete/G-1041-2010; Feliciano, Diana/HPD-8866-2023</t>
  </si>
  <si>
    <t>Smith, Pete/0000-0002-3784-1124; Feliciano, Diana/0000-0002-5466-4879</t>
  </si>
  <si>
    <t>Aberdeen Centre for Environment Sustainability (ACES)</t>
  </si>
  <si>
    <t>This research was funded by the Aberdeen Centre for Environment Sustainability (ACES). The authors would like to thank the two anonymous reviewers for their insightful comments.</t>
  </si>
  <si>
    <t>1462-9011</t>
  </si>
  <si>
    <t>1873-6416</t>
  </si>
  <si>
    <t>ENVIRON SCI POLICY</t>
  </si>
  <si>
    <t>Environ. Sci. Policy</t>
  </si>
  <si>
    <t>10.1016/j.envsci.2014.07.010</t>
  </si>
  <si>
    <t>Environmental Sciences</t>
  </si>
  <si>
    <t>Environmental Sciences &amp; Ecology</t>
  </si>
  <si>
    <t>AR8QL</t>
  </si>
  <si>
    <t>WOS:000343839600003</t>
  </si>
  <si>
    <t>Movahedian, H; Khayyambashi, MR</t>
  </si>
  <si>
    <t>Movahedian, Hamed; Khayyambashi, Mohammad Reza</t>
  </si>
  <si>
    <t>Folksonomy-based user interest and disinterest profiling for improved recommendations: An ontological approach</t>
  </si>
  <si>
    <t>Ontologies; recommender systems; social tagging; Semantic Web; user modelling</t>
  </si>
  <si>
    <t>OF-THE-ART; SEMANTIC SIMILARITY; SYSTEMS; GENERATION</t>
  </si>
  <si>
    <t>Social tagging has revolutionized the social and personal experience of users across numerous web platforms by enabling the organizing, managing, sharing and searching of web data. The extensive amount of information generated by tagging systems can be utilized for recommendation purposes. However, the unregulated creation of social tags by users can produce a great deal of noise and the tags can be unreliable; thus, exploiting them for recommendation is a nontrivial task. In this study, a new recommender system is proposed based on the similarities between user and item profiles. The approach applied is to generate user and item profiles by discovering tag patterns that are frequently generated by users. These tag patterns are categorized into irrelevant patterns and relevant patterns which represent diverse user preferences in terms of likes and dislikes. Furthermore, presented here is a method for translating these tag-based profiles into semantic profiles by determining the underlying meaning(s) of the tags, and mapping them to semantic entities belonging to external knowledge bases. To alleviate the cold start and overspecialization problems, semantic profiles are enriched in two phases: (a) using a semantic spreading mechanism and then (b) inheriting the preferences of similar users. Experiment indicates that this approach not only provides a better representation of user interests, but also achieves a better recommendation result when compared with existing methods. The performance of the proposed recommendation method is investigated in the face of the cold start problem, the results of which confirm that it can indeed remedy the problem for early adopters, hence improving overall recommendation quality.</t>
  </si>
  <si>
    <t>[Movahedian, Hamed; Khayyambashi, Mohammad Reza] Univ Isfahan, Dept Comp Engn, Fac Engn, Esfahan, Iran</t>
  </si>
  <si>
    <t>University of Isfahan</t>
  </si>
  <si>
    <t>Movahedian, H (corresponding author), Univ Isfahan, Dept Comp Engn, Fac Engn, Esfahan, Iran.</t>
  </si>
  <si>
    <t>Movahedian@Eng.ui.ac.ir</t>
  </si>
  <si>
    <t>10.1177/0165551514539870</t>
  </si>
  <si>
    <t>AP6PW</t>
  </si>
  <si>
    <t>WOS:000342200700004</t>
  </si>
  <si>
    <t>[Anonymous]</t>
  </si>
  <si>
    <t>Extracting User Interests on Facebook (Retraction of vol 2014, 146967, 2014)</t>
  </si>
  <si>
    <t>Correction</t>
  </si>
  <si>
    <t>HINDAWI PUBLISHING CORP</t>
  </si>
  <si>
    <t>410 PARK AVENUE, 15TH FLOOR, #287 PMB, NEW YORK, NY 10022 USA</t>
  </si>
  <si>
    <t>10.1155/2015/291026</t>
  </si>
  <si>
    <t>CZ7HH</t>
  </si>
  <si>
    <t>WOS:000367270000001</t>
  </si>
  <si>
    <t>Covo, P; Baricevic, H; Vukusic, A</t>
  </si>
  <si>
    <t>Covo, Petar; Baricevic, Hrvoje; Vukusic, Ante</t>
  </si>
  <si>
    <t>RELIABILITY OF TECHNOLOGICAL PARAMETERS IN ROAD INFRASTRUCTURE MAINTENANCE</t>
  </si>
  <si>
    <t>PROMET-TRAFFIC &amp; TRANSPORTATION</t>
  </si>
  <si>
    <t>infrastructure; terotechnology; road network; maintenance; theory of benefit</t>
  </si>
  <si>
    <t>It may be well said that the most used indicator of the quality of any technical system is reliability. Basically, this indicator shows the probability of proper technical system functioning within certain time period and under given operating conditions. To ensure that a system under construction possesses adequate given pre-defined characteristics and reliability indicators, it is necessary to plan the reliability and apply suitable methods when new technical systems are developed. Road represents an elementary traffic subsystem, as well as a technical subsystem, constructed by the society in order to meet the communication needs. Its purpose is to enable traffic system functioning. If a road is seen as a system, one can observe the features determining the structure and the principal on which its function is based. The road functioning itself is characterized by a variety of features, the most important being the management characteristic and specific social interest, categorization structure, and roadway condition. To enable smooth and safe traffic, roads should be of prescribed technical and usage levels. Reference is made specifically to road maintenance in the Primorje-Gorski Kotar County.</t>
  </si>
  <si>
    <t>[Covo, Petar] Univ Studiorum Jadertina, Dept Econ, HR-23000 Zadar, Croatia; [Baricevic, Hrvoje] Univ Rijeka, Fac Maritime Studies, HR-51000 Rijeka, Croatia; [Vukusic, Ante] Minist Interior, HR-10000 Zagreb, Croatia</t>
  </si>
  <si>
    <t>University of Zadar; University of Rijeka</t>
  </si>
  <si>
    <t>Covo, P (corresponding author), Univ Studiorum Jadertina, Dept Econ, Mihovila Pavlinov Bb, HR-23000 Zadar, Croatia.</t>
  </si>
  <si>
    <t>pcovo@unizd.hr; hrvoje@pfri.hr; policija@mup.hr</t>
  </si>
  <si>
    <t>SVENCILISTE U ZAGREBU, FAKULTET PROMETNIH ZNANOSTI</t>
  </si>
  <si>
    <t>ZAGREB</t>
  </si>
  <si>
    <t>VUKELICEVA 4, ZAGREB, 10000, CROATIA</t>
  </si>
  <si>
    <t>0353-5320</t>
  </si>
  <si>
    <t>1848-4069</t>
  </si>
  <si>
    <t>PROMET-ZAGREB</t>
  </si>
  <si>
    <t>Promet</t>
  </si>
  <si>
    <t>Transportation Science &amp; Technology</t>
  </si>
  <si>
    <t>Transportation</t>
  </si>
  <si>
    <t>468WT</t>
  </si>
  <si>
    <t>WOS:000267855800006</t>
  </si>
  <si>
    <t>Thomas, MG; Senthil, S</t>
  </si>
  <si>
    <t>Thomas, Manu G.; Senthil, S.</t>
  </si>
  <si>
    <t>Metaheuristic enabled hot event detection and product recommendation in social media data streams</t>
  </si>
  <si>
    <t>INTERNATIONAL JOURNAL OF COMMUNICATION NETWORKS AND DISTRIBUTED SYSTEMS</t>
  </si>
  <si>
    <t>hot topic detection; HTD; pre-processing; feature selection; user interestingness; optimisation; product recommendation</t>
  </si>
  <si>
    <t>ALGORITHM; PERFORMANCE; POPULATION; NETWORKS; FACEBOOK; MODEL; USAGE</t>
  </si>
  <si>
    <t>In this study, a unique system that recognises hot events and reliably integrates them with product recommendation systems is modelled. The correlation between the detected hot event and the user interestingness identifies the respective product that influenced the discussion. This results in the hottest action recognition being carried out through pre-processing, extraction of features and weight, text data modelling and cluster dependent topic identification. The keywords are initially extracted from each tweet. The evaluation of the different feature space is then completed and submitted to determine the design of the text model. Finally, clustering dependent hot topic identification takes place, where the optimisation logic plays its major role. Two different clustering processes take place: micro and macro-based clustering, where the selection of optimal centroid is made by a new enhanced monarch butterfly optimisation with three-level butterfly adjusting operator (EMBO-3BAR).</t>
  </si>
  <si>
    <t>[Thomas, Manu G.] REVA Univ, Sch Comp &amp; Informat Technol, Bengaluru, India; [Senthil, S.] Reva Univ, Sch Comp Sci &amp; Applicat, Bengaluru, India</t>
  </si>
  <si>
    <t>REVA University; REVA University</t>
  </si>
  <si>
    <t>Thomas, MG (corresponding author), REVA Univ, Sch Comp &amp; Informat Technol, Bengaluru, India.</t>
  </si>
  <si>
    <t>manugthomas@gmail.com; senthil.s@reva.edu.in</t>
  </si>
  <si>
    <t>, S. Senthil/0000-0002-5947-0715</t>
  </si>
  <si>
    <t>1754-3916</t>
  </si>
  <si>
    <t>1754-3924</t>
  </si>
  <si>
    <t>INT J COMMUN NETW DI</t>
  </si>
  <si>
    <t>Int. J. Commun. Netw. Distrib. Syst.</t>
  </si>
  <si>
    <t>10.1504/IJCNDS.2023.133909</t>
  </si>
  <si>
    <t>U4GL1</t>
  </si>
  <si>
    <t>WOS:001084397200001</t>
  </si>
  <si>
    <t>Ji, ZY; Yao, WN; Pi, HY; Lu, W; He, J; Wang, HS</t>
  </si>
  <si>
    <t>Du, D; Li, L; Zhu, E; He, K</t>
  </si>
  <si>
    <t>Ji, Zhenyan; Yao, Weina; Pi, Huaiyu; Lu, Wei; He, Jing; Wang, Haishuai</t>
  </si>
  <si>
    <t>A Survey of Personalised Image Retrieval and Recommendation</t>
  </si>
  <si>
    <t>THEORETICAL COMPUTER SCIENCE, NCTCS 2017</t>
  </si>
  <si>
    <t>35th National Conference of Theoretical Computer Science (NCTCS)</t>
  </si>
  <si>
    <t>OCT 14-15, 2017</t>
  </si>
  <si>
    <t>Huazhong Univ Sci, Sch Comp Sci Technol, Wuhan, PEOPLES R CHINA</t>
  </si>
  <si>
    <t>China Comp Forum, Theoret Comp Sci Comm</t>
  </si>
  <si>
    <t>Huazhong Univ Sci, Sch Comp Sci Technol</t>
  </si>
  <si>
    <t>Personalised image retrieval; Content-based; Collaborative filtering</t>
  </si>
  <si>
    <t>OF-THE-ART; RELEVANCE FEEDBACK; SEARCH; QUERY</t>
  </si>
  <si>
    <t>With the advent of web2.0 era, it has been becoming increasingly easy to create and share Internet content. Plenty of pictures are uploaded to the Internet every day. A primary challenge against traditional image retrieval technologies is how to help users quickly discover the images they need. Personalised image retrieval is a new trend in the field of image retrieval. It not only improves the accuracy of the existing retrieval systems, but also better meets the users' needs. Personalised image retrieval and recommendation (PIRR) can be grouped into two main categories, content-based PIRR and collaborative filtering (CF)-based PIRR. This paper first summarises the development of image retrieval and introduces different image retrieval solutions. Then the key technologies of content-based PIRR are analysed from three aspects, user interest acquisition, user interest representation and personalised implementation. Different techniques are compared and analysed. Regarding CF-based PIRR, the user-based, item-based and model-based CF-based PIRR are introduced and compared. At the end of the paper, we compare and summarise content-based PIRR and CF-based PIRR.</t>
  </si>
  <si>
    <t>[Ji, Zhenyan; Yao, Weina; Pi, Huaiyu; Lu, Wei] Beijing Jiaotong Univ, Beijing 100044, Peoples R China; [He, Jing] Victoria Univ, Melbourne, Vic 3011, Australia; [Wang, Haishuai] Washington Univ, St Louis, MO 63130 USA</t>
  </si>
  <si>
    <t>Beijing Jiaotong University; Victoria University; Washington University (WUSTL)</t>
  </si>
  <si>
    <t>Ji, ZY (corresponding author), Beijing Jiaotong Univ, Beijing 100044, Peoples R China.</t>
  </si>
  <si>
    <t>zhyji@bjtu.edu.cn; 15121693@bjtu.edu.cn; 16121731@bjtu.edu.cn; luwei@bjtu.edu.cn; lotusjing@gmail.com; haishuai.wang@wustl.edu</t>
  </si>
  <si>
    <t>Wang, Haishuai/ABW-2609-2022; /X-8179-2019</t>
  </si>
  <si>
    <t>He, Jing/0000-0001-6488-1052;</t>
  </si>
  <si>
    <t>NSFC [61272353]</t>
  </si>
  <si>
    <t>NSFC(National Natural Science Foundation of China (NSFC))</t>
  </si>
  <si>
    <t>This project was supported by NSFC (61272353).</t>
  </si>
  <si>
    <t>978-981-10-6893-5; 978-981-10-6892-8</t>
  </si>
  <si>
    <t>10.1007/978-981-10-6893-5_18</t>
  </si>
  <si>
    <t>BK4OD</t>
  </si>
  <si>
    <t>WOS:000437036300018</t>
  </si>
  <si>
    <t>Khandelwal, D; Shanbhag, D; Shriyan, A; Thorve, R; Borse, Y</t>
  </si>
  <si>
    <t>Khandelwal, Dhruv; Shanbhag, Devika; Shriyan, Aditya; Thorve, Rugved; Borse, Yogita</t>
  </si>
  <si>
    <t>LeMeNo: Personalised News using Machine Learning</t>
  </si>
  <si>
    <t>2018 FOURTH INTERNATIONAL CONFERENCE ON COMPUTING COMMUNICATION CONTROL AND AUTOMATION (ICCUBEA)</t>
  </si>
  <si>
    <t>4th International Conference on Computing Communication Control and Automation (ICCUBEA)</t>
  </si>
  <si>
    <t>AUG 16-18, 2018</t>
  </si>
  <si>
    <t>Pune, INDIA</t>
  </si>
  <si>
    <t>IEEE Pune Sect,Pimpri Chinchwad Educ Trusts, Pimpri Chinchwad Coll Engn</t>
  </si>
  <si>
    <t>News; Events; Recommender System; Machine Learning; NLP; Preference Management</t>
  </si>
  <si>
    <t>In today's information era, people are keen to know about various topics &amp; events but are unable to keep up because of lack of time &amp; information overload. Inspired by the need to say Let me know, 'LeMeNo' aims to be an application that provides personalized news &amp; event updates to its users without losing out on time or having to go through irrelevant content. This paper presents the event-based approach used by LeMeNo for News Recommendation based on user interest. The Recommendation System is based on both news &amp; users interests. News articles are recommended based on machine learning techniques like clustering of similar articles, predicting their category, content similarity &amp; keyword extraction. The system learns user interests based on time spent on reading an article, whether user likes/dislikes the article as well as user specified levels of interest in various topics. The proposed system provides a unique Event Timeline feature, which filters out multiple news articles related to an event, displays them in chronological order &amp; appends new upcoming related articles, thus providing a journey of that event.</t>
  </si>
  <si>
    <t>[Khandelwal, Dhruv; Shanbhag, Devika; Shriyan, Aditya; Thorve, Rugved; Borse, Yogita] KJ Somaiya Coll Engn, Informat Technol, Mumbai, Maharashtra, India</t>
  </si>
  <si>
    <t>Somaiya Vidyavihar University; K J Somaiya College of Engineering</t>
  </si>
  <si>
    <t>Khandelwal, D (corresponding author), KJ Somaiya Coll Engn, Informat Technol, Mumbai, Maharashtra, India.</t>
  </si>
  <si>
    <t>dhruv.khandelwal@somaiya.edu; devika.shanbhag@somaiya.edu; aditya.shriyan@somaiya.edu; rugved.t@somaiya.edu; yogitaborse@somaiya.edu</t>
  </si>
  <si>
    <t>Borse, Yogita/ABG-2395-2021</t>
  </si>
  <si>
    <t>978-1-5386-5257-2</t>
  </si>
  <si>
    <t>Automation &amp; Control Systems; Computer Science, Theory &amp; Methods; Telecommunications</t>
  </si>
  <si>
    <t>Automation &amp; Control Systems; Computer Science; Telecommunications</t>
  </si>
  <si>
    <t>BO0XJ</t>
  </si>
  <si>
    <t>WOS:000493801500172</t>
  </si>
  <si>
    <t>Zhang, W; Wu, D; Yang, WD; Cai, YM</t>
  </si>
  <si>
    <t>Zhang, Wei; Wu, Dan; Yang, Wendong; Cai, Yueming</t>
  </si>
  <si>
    <t>Caching on the Move: A User Interest-Driven Caching Strategy for D2D Content Sharing</t>
  </si>
  <si>
    <t>IEEE TRANSACTIONS ON VEHICULAR TECHNOLOGY</t>
  </si>
  <si>
    <t>D2D caching; mobility awareness; interest prediction; submodular maximization; matroid; knapsack constraint</t>
  </si>
  <si>
    <t>NETWORKS; MOBILITY</t>
  </si>
  <si>
    <t>Device-to-device (D2D) content sharing helps to accommodate the exponentially surge in mobile data traffic. However, how to cache in mobile users is crucial to ensure the above advantages. There are three issues that have not been fully considered in the previous works. First, the ignorance of mobility cannot depict the random connectivity of mobile users in D2D content sharing. Second, the lack of the diverse and complete information on user interest leads to unsatisfied demands of users. Third, caching a complete content will be wasteful due to the limited cache capacity, which is also not likely to be obtained in one connection. Regarding the three issues, we construct not only a user mobility model, which helps to provide the contact opportunity for the users sharing contents, but also a user interest prediction model, which combines the social proximity and the dynamic content popularity. Moreover, we exploit the maximum distance separable code to encode the contents into smaller partitions. Accordingly, we formulate a mobility-aware and user interest-driven caching problem as a 0-1 multiple knapsack problem. Due to its NP-hard property, we prove that this problem falls into the category of monotone sub-modular function over one matroid and multiple knapsack constraints. Then, we develop a corresponding algorithm based on a greedy approach, which approximates the optimum within a constant factor in polynomial time. Numerical results demonstrate the performance and the effectiveness of our proposed algorithm.</t>
  </si>
  <si>
    <t>[Zhang, Wei; Wu, Dan; Yang, Wendong; Cai, Yueming] Army Engn Univ PLA, Nanjing 210007, Jiangsu, Peoples R China; [Zhang, Wei] Space Engn Univ PLA, Beijing 101416, Peoples R China</t>
  </si>
  <si>
    <t>Army Engineering University of PLA; Space Engineering University</t>
  </si>
  <si>
    <t>Wu, D (corresponding author), Army Engn Univ PLA, Nanjing 210007, Jiangsu, Peoples R China.</t>
  </si>
  <si>
    <t>greenery_jul@sina.com; wujing1958725@126.com; allenby.dong@163.com; caiym@vip.sina.com</t>
  </si>
  <si>
    <t>Zhang, Wei/IWM-6351-2023</t>
  </si>
  <si>
    <t>Zhang, Wei/0000-0002-8332-9949</t>
  </si>
  <si>
    <t>National Natural Science Foundation of China [61671474]; Jiangsu Provincial Natural Science Fund for Excellent Young Scholars [BK20170089]; Jiangsu Provincial Natural Science Fund for Outstanding Young Scholars [BK20180028]</t>
  </si>
  <si>
    <t>National Natural Science Foundation of China(National Natural Science Foundation of China (NSFC)); Jiangsu Provincial Natural Science Fund for Excellent Young Scholars; Jiangsu Provincial Natural Science Fund for Outstanding Young Scholars</t>
  </si>
  <si>
    <t>This work was supported in part by the National Natural Science Foundation of China under Grant 61671474, in part by the Jiangsu Provincial Natural Science Fund for Excellent Young Scholars under Grant BK20170089, and in part by the Jiangsu Provincial Natural Science Fund for Outstanding Young Scholars underGrant BK20180028. The review of this paper was coordinated by Prof. S. He.</t>
  </si>
  <si>
    <t>0018-9545</t>
  </si>
  <si>
    <t>1939-9359</t>
  </si>
  <si>
    <t>IEEE T VEH TECHNOL</t>
  </si>
  <si>
    <t>IEEE Trans. Veh. Technol.</t>
  </si>
  <si>
    <t>10.1109/TVT.2019.2895682</t>
  </si>
  <si>
    <t>Engineering, Electrical &amp; Electronic; Telecommunications; Transportation Science &amp; Technology</t>
  </si>
  <si>
    <t>Engineering; Telecommunications; Transportation</t>
  </si>
  <si>
    <t>HP7BX</t>
  </si>
  <si>
    <t>WOS:000461843300074</t>
  </si>
  <si>
    <t>Agarwal, S; Singhal, A</t>
  </si>
  <si>
    <t>Agarwal, Shikha; Singhal, Archana</t>
  </si>
  <si>
    <t>Handling Skewed Results In News Recommendations by Focused Analysis of Semantic User Profiles</t>
  </si>
  <si>
    <t>PROCEEDINGS OF THE 2014 INTERNATIONAL CONFERENCE ON RELIABILTY, OPTIMIZATION, &amp; INFORMATION TECHNOLOGY (ICROIT 2014)</t>
  </si>
  <si>
    <t>International Conference on Optimization, Reliability, and Information Technology (ICROIT)</t>
  </si>
  <si>
    <t>FEB 06-08, 2014</t>
  </si>
  <si>
    <t>Faridabad, INDIA</t>
  </si>
  <si>
    <t>IEEE,Manav Rachna Int Univ, Fac Engn &amp; Technol, Dept Comp Sci &amp; Engn</t>
  </si>
  <si>
    <t>Ontology; IPTC; RSS news feeds; User profile; Focussed Analysis; Personalization</t>
  </si>
  <si>
    <t>To provide personalized services of digital product NEWS, complete understanding of user profile is very essential and crucial. It is observed that user interest in online news reading is very dynamic so we are making two profiles of each user: one for short term (dynamic) interests and one for long term (static) interests. We have designed an online news portal which prioritizes the preferred news topics based on the focused and deep analysis of registered user's profiles, made semantically based on our designed domain ontology. In user profiling system we are capturing user interest both explicitly as well as implicitly. Explicit information has been gathered at the time of registration, following authentication process. Implicit information has been gathered and analyzed based on three factors. T he factors are user's click behavior, recency of session and active duration in user session. Different weight has been given to these factors. Results shows improvement in recommendations in case of short term interests, using our approach as compared to traditional approach, which is based just on the click frequency. Moreover, sometimes sudden spike in short term (dynamic) user interests have been noticed due to various factors like any natural calamity, sports event or political election. T hese are outlier values and causes skewed results in long term static interests of user. Steps have been taken to handle this problem. Results shows that recommendations have been improved in case of long term interests, in terms of precision, recall and f-measure after doing adjustment in the outlier values.</t>
  </si>
  <si>
    <t>[Agarwal, Shikha; Singhal, Archana] Univ Delhi, Delhi 110007, India</t>
  </si>
  <si>
    <t>Agarwal, S (corresponding author), Univ Delhi, Delhi 110007, India.</t>
  </si>
  <si>
    <t>shikha_8june@rediffmail.com; singhal_archana@yahoo.in</t>
  </si>
  <si>
    <t>Agarwal, Shikha/K-4796-2019</t>
  </si>
  <si>
    <t>Agarwal, Shikha/0000-0003-1017-7494</t>
  </si>
  <si>
    <t>978-1-4799-2995-5</t>
  </si>
  <si>
    <t>BC7KA</t>
  </si>
  <si>
    <t>WOS:000354960600016</t>
  </si>
  <si>
    <t>Rafa, T; Kechid, S</t>
  </si>
  <si>
    <t>Rafa, Tahar; Kechid, Samir</t>
  </si>
  <si>
    <t>Semantic Representation of a Geo-Social User Profile for a Personalised Information Retrieval</t>
  </si>
  <si>
    <t>JOURNAL OF INFORMATION &amp; KNOWLEDGE MANAGEMENT</t>
  </si>
  <si>
    <t>Personalised information retrieval; semantic information retrieval; user profile; personal semantics; user interest modelling</t>
  </si>
  <si>
    <t>The user-centred information retrieval needs to introduce semantics into the user modelling for a meaningful representation of user interests. The semantic representation of the user interests helps to improve the identification of the user's future cognitive needs. In this paper, we present a semantic-based approach for a personalised information retrieval. This approach is based on the design and the exploitation of a user profile to represent the user and his interests. In this user profile, we combine an ontological semantics issued from WordNet ontology, and a personal semantics issued from the different user interactions with the search system and with his social and situational contexts of his previous searches. The personal semantics considers the co-occurrence relations between relevant components of the user profile as semantic links. The user profile is used to improve two important phases of the information search process: (i) expansion of the initial user query and (ii) adaptation of the search results to the user interests.</t>
  </si>
  <si>
    <t>[Rafa, Tahar] Univ MEDEA, Dept Math &amp; Comp Sci, Medea, Algeria; [Rafa, Tahar; Kechid, Samir] USTHB, LRIA Lab, Dept Comp Sci, Algiers, Algeria</t>
  </si>
  <si>
    <t>Universite Yahia Fares Medea; University Science &amp; Technology Houari Boumediene</t>
  </si>
  <si>
    <t>Rafa, T (corresponding author), Univ MEDEA, Dept Math &amp; Comp Sci, Medea, Algeria.;Rafa, T (corresponding author), USTHB, LRIA Lab, Dept Comp Sci, Algiers, Algeria.</t>
  </si>
  <si>
    <t>rafa.tahar@gmail.com; kechidsam@yahoo.fr</t>
  </si>
  <si>
    <t>/AAD-5580-2019</t>
  </si>
  <si>
    <t>Directorate General for Scientific Research and Technological Development (DGRSDT) [C0662300]</t>
  </si>
  <si>
    <t>Directorate General for Scientific Research and Technological Development (DGRSDT)</t>
  </si>
  <si>
    <t>We would like to express our special thanks of gratitude to the Directorate General for Scientific Research and Technological Development (DGRSDT) for the support of this work under the grant number C0662300.</t>
  </si>
  <si>
    <t>0219-6492</t>
  </si>
  <si>
    <t>1793-6926</t>
  </si>
  <si>
    <t>J INF KNOWL MANAG</t>
  </si>
  <si>
    <t>J. Inf. Knowl. Manag.</t>
  </si>
  <si>
    <t>10.1142/S0219649221500441</t>
  </si>
  <si>
    <t>UZ8KJ</t>
  </si>
  <si>
    <t>WOS:000702448000013</t>
  </si>
  <si>
    <t>Zhongming, MA; Pant, G; Sheng, ORL</t>
  </si>
  <si>
    <t>Zhongming, M. A.; Pant, Gautam; Sheng, Olivia R. Liu</t>
  </si>
  <si>
    <t>Interest-based personalized search</t>
  </si>
  <si>
    <t>algorithms; performance; personalized search; user interest; user interface; World Wide Web; information retrieval; Open Directory</t>
  </si>
  <si>
    <t>WEB SEARCH; ALGORITHM; CONTEXT</t>
  </si>
  <si>
    <t>Web search engines typically provide search results without considering user interests or context. We propose a personalized search approach that can easily extend a conventional search engine on the client side. Our mapping framework automatically maps a set of known user interests onto a group of categories in the Open Directory Project (ODP) and takes advantage of manually edited data available in ODP for training text classifiers that correspond to, and therefore categorize and personalize search results according to user interests. In two sets of controlled experiments, we compare our personalized categorization system (PCAT) with a list interface system (LIST) that mimics a typical search engine and with a nonpersonalized categorization system (CAT). In both experiments, we analyze system performances on the basis of the type of task and query length. We find that PCAT is preferable to LIST for information gathering types of tasks and for searches with short queries, and PCAT outperforms CAT in both information gathering and finding types of tasks, and for searches associated with free-form queries. From the subjects' answers to a questionnaire, we find that PCAT is perceived as a system that can find relevant Web pages quicker and easier than LIST and CAT.</t>
  </si>
  <si>
    <t>Univ Utah, Sch Accounting &amp; Informat Syst, Salt Lake City, UT 84112 USA</t>
  </si>
  <si>
    <t>Utah System of Higher Education; University of Utah</t>
  </si>
  <si>
    <t>Zhongming, MA (corresponding author), Univ Utah, Sch Accounting &amp; Informat Syst, Salt Lake City, UT 84112 USA.</t>
  </si>
  <si>
    <t>zhongming.ma@business.utah.edu; gautam.pant@business.utah.edu; olivia.sheng@business.utah.edu</t>
  </si>
  <si>
    <t>10.1145/1198296.1198301</t>
  </si>
  <si>
    <t>140SW</t>
  </si>
  <si>
    <t>WOS:000244528000005</t>
  </si>
  <si>
    <t>Sasaki, K; Yoshikawa, T; Furuhashi, T</t>
  </si>
  <si>
    <t>Sasaki, Kentaro; Yoshikawa, Tomohiro; Furuhashi, Takeshi</t>
  </si>
  <si>
    <t>Twitter-TTM: An Efficient Online Topic Modeling for Twitter considering Dynamics of User Interests and Topic Trends</t>
  </si>
  <si>
    <t>2014 JOINT 7TH INTERNATIONAL CONFERENCE ON SOFT COMPUTING AND INTELLIGENT SYSTEMS (SCIS) AND 15TH INTERNATIONAL SYMPOSIUM ON ADVANCED INTELLIGENT SYSTEMS (ISIS)</t>
  </si>
  <si>
    <t>Joint 7th International Conference on Soft Computing and Intelligent Systems (SCIS) and 15th International Symposium on Advanced Intelligent Systems (ISIS)</t>
  </si>
  <si>
    <t>DEC 03-06, 2014</t>
  </si>
  <si>
    <t>Kitakyushu, JAPAN</t>
  </si>
  <si>
    <t>Japan Soc Fuzzy Theory &amp; Intelligent informat,Korean Inst Intelligent Syst,Int Fuzzy Syst Assoc,N Amer Fuzzy Informat Proc Soc,IEEE Syst, Man, &amp; Cybernet Soc,IEEE Computat Intelligence Soc,World Federat Soft Comp,IEEE SMC Japan Chapter</t>
  </si>
  <si>
    <t>Latent Dirichlet Allocation (LDA) is a topic model which has been applied to various fields. It has been also applied to user profiling or event summarization on Twitter. In the application of LDA to tweet collection, it generally treats aggregated all tweets of a user as a single document. On the other hand, Twitter-LDA which assumes a single tweet consists of a single topic has been proposed and showed that it is superior to the former way in topic semantic coherence. However, Twitter-LDA has a problem that it is not capable of online inference. In this paper, we extend Twitter-LDA in the following two points. First, we model the generation process of tweets more accurately by estimating the ratio between topic words and general words for each user. Second, we enable it to estimate dynamics of user interests and topic trends in online based on Topic Tracking Model (TTM) which models consumer purchase behaviors.</t>
  </si>
  <si>
    <t>[Sasaki, Kentaro; Yoshikawa, Tomohiro; Furuhashi, Takeshi] Nagoya Univ, Chikusa Ku, Furo Cho, Nagoya, Aichi 4648601, Japan</t>
  </si>
  <si>
    <t>Nagoya University</t>
  </si>
  <si>
    <t>Sasaki, K (corresponding author), Nagoya Univ, Chikusa Ku, Furo Cho, Nagoya, Aichi 4648601, Japan.</t>
  </si>
  <si>
    <t>sasaki@cmplx.cse.nagoya-u.ac.jp; yoshikawa@cse.nagoya-u.ac.jp; furuhashi@cse.nagoya-u.ac.jp</t>
  </si>
  <si>
    <t>978-1-4799-5955-6</t>
  </si>
  <si>
    <t>BF4EU</t>
  </si>
  <si>
    <t>WOS:000380798000081</t>
  </si>
  <si>
    <t>Hu, JT; Li, S</t>
  </si>
  <si>
    <t>Chen, G; Liu, F; Shojafar, M</t>
  </si>
  <si>
    <t>Hu, Jia-Ting; Li, Sheng</t>
  </si>
  <si>
    <t>An Information Recommendation Method Based on User Interest Model</t>
  </si>
  <si>
    <t>FUZZY SYSTEM AND DATA MINING</t>
  </si>
  <si>
    <t>International Conference on Fuzzy System and Data Mining (FSDM)</t>
  </si>
  <si>
    <t>DEC 12-15, 2015</t>
  </si>
  <si>
    <t>Ontology; User interest model; Travel recommendation; Travelogue mining</t>
  </si>
  <si>
    <t>Most of the existing works on travel recommendations are based on check-in data or photos. From a distinct point of view, the present research pays attention to network travelogues that contain a large number of users' evaluation information on tourism items. By analyzing the sentiment inclinations, demographic information and user's web access actions, a hybrid user interest model based on ontology is established. When a query is submitted, neighbors who have similar sentiment inclinations are found by this model, and then the interest degree of tourism items that are located in the same category of target query item can be predicted according to the user's historical behavior. The results show that our hybrid ontology model can make tourism item recommendations more effectively than the standard or pure ontology models, and better solve the cold start problem.</t>
  </si>
  <si>
    <t>[Hu, Jia-Ting; Li, Sheng] Zhongnan Univ Econ &amp; Law, Sch Informat &amp; Safety Engn, Wuhan, Peoples R China</t>
  </si>
  <si>
    <t>Li, S (corresponding author), Zhongnan Univ Econ &amp; Law, Sch Informat &amp; Safety Engn, Wuhan, Peoples R China.</t>
  </si>
  <si>
    <t>lisheng@znufe.edu.cn</t>
  </si>
  <si>
    <t>978-1-61499-619-4; 978-1-61499-618-7</t>
  </si>
  <si>
    <t>10.3233/978-1-61499-619-4-284</t>
  </si>
  <si>
    <t>BF6WZ</t>
  </si>
  <si>
    <t>WOS:000383745100039</t>
  </si>
  <si>
    <t>Sun, YR; Xie, J; Wang, Y; Chan, TO; Sun, ZY</t>
  </si>
  <si>
    <t>Sun, Yeran; Xie, Jing; Wang, Yu; Chan, Ting On; Sun, Zhao-Yong</t>
  </si>
  <si>
    <t>Mapping local-scale working population and daytime population densities using points-of-interest and nighttime light satellite imageries</t>
  </si>
  <si>
    <t>GEO-SPATIAL INFORMATION SCIENCE</t>
  </si>
  <si>
    <t>Nighttime light imagery; point-of-interest; working population; daytime population; convolutional neural network</t>
  </si>
  <si>
    <t>TRAVEL; LEVEL; CHINA; MODEL</t>
  </si>
  <si>
    <t>In this study, we proposed a multi-source approach for mapping local-scale population density of England. Specifically, we mapped both the working and daytime population densities by integrating the multi-source data such as residential population density, point-of-interest density, point-of-interest category mix, and nighttime light intensity. It is demonstrated that combining remote sensing and social sensing data provides a plausible way to map annual working or daytime population densities. In this paper, we trained models with England-wide data and subsequently tested these models with Wales-wide data. In addition, we further tested the models with England-wide data at a higher level of spatial granularity. Particularly, the random forest and convolutional neural network models were adopted to map population density. The estimated results and validation suggest that the three built models have high prediction accuracies at the local authority district level. It is shown that the convolutional neural network models have the greatest prediction accuracies at the local authority district level though they are most time-consuming. The models trained with the data at the local authority district level are less appropriately applicable to test data at a higher level of spatial granularity. The proposed multi-source approach performs well in mapping local-scale population density. It indicates that combining remote sensing and social sensing data is advantageous to mapping socioeconomic variables.</t>
  </si>
  <si>
    <t>[Sun, Yeran] Univ Lincoln, Sch Life &amp; Environm Sci, Dept Geog, Lincoln, England; [Xie, Jing; Chan, Ting On] Sun Yat Sen Univ, Sch Geog &amp; Planning, Guangzhou, Peoples R China; [Wang, Yu] Tianjin Univ, Sch Architecture, Dept Urban &amp; Rural Planning, Tianjin, Peoples R China; [Sun, Zhao-Yong] Xian Univ Technol, Sch Econ &amp; Management, Xian, Peoples R China</t>
  </si>
  <si>
    <t>University of Lincoln; Sun Yat Sen University; Tianjin University; Xi'an University of Technology</t>
  </si>
  <si>
    <t>Xie, J (corresponding author), Sun Yat Sen Univ, Sch Geog &amp; Planning, Guangzhou, Peoples R China.</t>
  </si>
  <si>
    <t>xiej95@mail.sysu.edu.cn</t>
  </si>
  <si>
    <t>sun, yeran/GLR-4116-2022; Xie, Jing/AAX-1302-2021; Sun, Zhao-Yong/HKE-7864-2023; Wang, Yu/OVY-2891-2025</t>
  </si>
  <si>
    <t>sun, yeran/0000-0002-6847-614X; Sun, Zhao-Yong/0000-0002-8191-9283; Wang, Yu/0000-0001-8890-5434; Xie, Jing/0000-0003-3787-9648; Chan, Ting On/0000-0002-3318-7540;</t>
  </si>
  <si>
    <t>1009-5020</t>
  </si>
  <si>
    <t>1993-5153</t>
  </si>
  <si>
    <t>GEO-SPAT INF SCI</t>
  </si>
  <si>
    <t>Geo-Spat. Inf. Sci.</t>
  </si>
  <si>
    <t>10.1080/10095020.2023.2273826</t>
  </si>
  <si>
    <t>NOV 2023</t>
  </si>
  <si>
    <t>P1U2C</t>
  </si>
  <si>
    <t>WOS:001102184400001</t>
  </si>
  <si>
    <t>Díaz, JJS; Zuñiga, VEC; Gonzalez, EA; Rodríguez, SCT; Ayerbe, MPC; Cortes, ISA; Rumpf, RPM; Arias, LOM; Parra, JE; Fernández, JJD</t>
  </si>
  <si>
    <t>Diaz, John Jaime Sprockel; Zuniga, Victoria Eugenia Coral; Gonzalez, Eliana Angarita; Rodriguez, Sebastian Camilo Tabares; Ayerbe, Maria Paula Carrillo; Cortes, Ivan Santiago Acuna; Rumpf, Ruddy Paola Montoya; Arias, Luis Oswaldo Martinez; Parra, Jhon Edisson; Fernandez, Juan Jose Diaztagle</t>
  </si>
  <si>
    <t>Obesity and the obesity paradox in patients with severe COVID-19</t>
  </si>
  <si>
    <t>MEDICINA INTENSIVA</t>
  </si>
  <si>
    <t>COVID-19; Prognosis; Death; Intensive care</t>
  </si>
  <si>
    <t>MORTALITY; SARS-COV-2; PREVALENCE; PNEUMONIA; PROGNOSIS; WEIGHT; IMPACT</t>
  </si>
  <si>
    <t>Objective: To test the presence of the obesity paradox in two cohorts of patients hospitalized for COVID-19. Design: Two multicenter prospective cohorts. Setting: Three fourth level institutions. Patients: Adults hospitalized in the general ward for confirmed COVID-19 in the three institu-tions and those admitted to one of the 9 critical care units of one of the institutions. Interventions: None. Main variables of interest: Categorized weight and its relationship with admission to the ICU in hospitalized patients and death in the ICU. Result: Of 402 hospitalized patients, 30.1% were obese. Of these, 36.1% were admitted to the ICU vs. 27.1% of non-obese patients. Of the 302 ICU patients, 46.4% were obese. Of these, mortality was 45.0% vs. 52.5% for non-obese. The requirement to transfer hospitalized patients to the ICU admission get a HR of 1.47 (95%CI 0.87-2.51, p = 0.154) in the multivariate analysis. In intensive care patients, an HR of 0.99 (95%CI: 0.92-1.07, p = 0.806) was obtained to the association of obesity with mortality. Conclusions: The present study does not demonstrate an association between obesity and risk of inpatient transfer to intensive care or death of intensive care patients due to COVID-19 therefore, the presence of an obesity paradox is not confirmed.(c) 2023 Published by Elsevier Espana, S.L.U.</t>
  </si>
  <si>
    <t>[Diaz, John Jaime Sprockel; Arias, Luis Oswaldo Martinez; Fernandez, Juan Jose Diaztagle] San Jose Hosp, Internal Med Dept, Bogota, Colombia; [Diaz, John Jaime Sprockel; Zuniga, Victoria Eugenia Coral; Gonzalez, Eliana Angarita; Rodriguez, Sebastian Camilo Tabares; Ayerbe, Maria Paula Carrillo; Cortes, Ivan Santiago Acuna; Rumpf, Ruddy Paola Montoya; Arias, Luis Oswaldo Martinez; Fernandez, Juan Jose Diaztagle] Univ Fdn Hlth Sci, Bogota, Colombia; [Diaz, John Jaime Sprockel; Parra, Jhon Edisson] El Tunal Hosp, Intens Care Unit, Comprehens Hlth Serv Southern Subnetwork, Bogota, Colombia; [Fernandez, Juan Jose Diaztagle] Natl Univ Colombia Bogota, Sch Med, Dept Physiol Sci, Bogota, Colombia</t>
  </si>
  <si>
    <t>Fundacion Universitaria de Ciencias de la Salud (FUCS); Fundacion Universitaria de Ciencias de la Salud (FUCS)</t>
  </si>
  <si>
    <t>Díaz, JJS (corresponding author), San Jose Hosp, Internal Med Dept, Bogota, Colombia.;Díaz, JJS (corresponding author), Univ Fdn Hlth Sci, Bogota, Colombia.;Díaz, JJS (corresponding author), El Tunal Hosp, Intens Care Unit, Comprehens Hlth Serv Southern Subnetwork, Bogota, Colombia.</t>
  </si>
  <si>
    <t>jjsprockel@fucsalud.edu.co</t>
  </si>
  <si>
    <t>CORAL ZUÑIGA, VICTORIA ELENA/0000-0002-6786-7771; Montoya Rumpf, Ruddy Paola/0000-0002-1559-2470; Acuña Cortés, Santiago/0000-0001-5762-3434; Sprockel Díaz, John Jaime/0000-0002-7021-6769</t>
  </si>
  <si>
    <t>Fundacin Universitaria de Ciencias de la Salud (Health Sciences University Foundation) [DI-I-0631-20]</t>
  </si>
  <si>
    <t>Fundacin Universitaria de Ciencias de la Salud (Health Sciences University Foundation)</t>
  </si>
  <si>
    <t>The current study received funding from the call for proposals under Research Promotion number DI-I-0631-20 of the research division of the Fundacion Universitaria de Ciencias de la Salud (Health Sciences University Foundation)</t>
  </si>
  <si>
    <t>ELSEVIER ESPANA SLU</t>
  </si>
  <si>
    <t>Carrer de Tarragona, 161 15th floor, BARCELONA, SPAIN</t>
  </si>
  <si>
    <t>0210-5691</t>
  </si>
  <si>
    <t>1578-6749</t>
  </si>
  <si>
    <t>MED INTENSIVA</t>
  </si>
  <si>
    <t>Med. Intensiv.</t>
  </si>
  <si>
    <t>10.1016/j.medin.2023.03.001</t>
  </si>
  <si>
    <t>OCT 2023</t>
  </si>
  <si>
    <t>Critical Care Medicine</t>
  </si>
  <si>
    <t>W5CP5</t>
  </si>
  <si>
    <t>WOS:001091806500001</t>
  </si>
  <si>
    <t>Jimenez-Berenguel, A; Gil, C; Garcia-Rubio, C; Forné, J; Campo, C</t>
  </si>
  <si>
    <t>Jimenez-Berenguel, Andrea; Gil, Cesar; Garcia-Rubio, Carlos; Forne, Jordi; Campo, Celeste</t>
  </si>
  <si>
    <t>DNS Query Forgery: A Client-Side Defense Against Mobile App Traffic Profiling</t>
  </si>
  <si>
    <t>Domain Name System; Privacy; HTTP; Forgery; Data privacy; Telecommunication traffic; Metadata; Reviews; Mobile applications; Servers; DNS traffic; data perturbation techniques; privacy-enhancing technologies; query forgery; user privacy; user profiling</t>
  </si>
  <si>
    <t>PRIVACY; SUPPRESSION</t>
  </si>
  <si>
    <t>Mobile applications generate DNS queries that expose user behavioral patterns to network observers, creating privacy vulnerabilities even when communications are encrypted. Network eavesdroppers and DNS resolvers can analyze domain name sequences to profile users based on their app usage patterns. This paper proposes a client-side defense mechanism based on DNS query forgery to obfuscate user DNS-based profiles. Our method applies a query forgery technique that consists of injecting false DNS queries into genuine traffic streams. We mathematically model user profiles as probability distributions over interest categories and analyze the optimal proportion of false queries needed to achieve desired privacy levels. We evaluate three query forgery strategies: Uniform, TrackMeNot-based, and Optimized, finding that the Optimized strategy using KL divergence is the most effective. To validate our approach, we develop a novel methodology for generating synthetic user traces, creating a dataset of 1,000 users by mapping real app traffic data onto individual user profiles. Our analysis reveals that 50% privacy improvement is achievable with less than 20% traffic overhead, while 100% privacy protection requires approximately 40-60% additional traffic. We further propose a modular system architecture for practical implementation on mobile devices. This work offers a client-side privacy solution that operates without third-party trust requirements, empowering users to defend against traffic analysis without compromising application functionality.</t>
  </si>
  <si>
    <t>[Jimenez-Berenguel, Andrea; Garcia-Rubio, Carlos; Campo, Celeste] Univ Carlos III Madrid, Dept Ingn Telematica, Leganes 28911, Madrid, Spain; [Gil, Cesar; Forne, Jordi] Univ Politecn Cataluna, Dept Telematic Engn, Barcelona 08034, Spain</t>
  </si>
  <si>
    <t>Universidad Carlos III de Madrid; Universitat Politecnica de Catalunya</t>
  </si>
  <si>
    <t>Jimenez-Berenguel, A (corresponding author), Univ Carlos III Madrid, Dept Ingn Telematica, Leganes 28911, Madrid, Spain.</t>
  </si>
  <si>
    <t>andrejim@pa.uc3m.es</t>
  </si>
  <si>
    <t>Forne, Jordi/L-1557-2014; Campo, Celeste/L-1824-2014; García Rubio, Carlos/L-8306-2014</t>
  </si>
  <si>
    <t>Forne, Jordi/0000-0002-8401-3292; Jiménez-Berenguel, Anea/0009-0005-5093-5394; Gil Espinasa, César/0000-0001-5369-0832; Campo, Celeste/0000-0003-1788-890X; García Rubio, Carlos/0000-0002-4635-722X</t>
  </si>
  <si>
    <t>COMPROMISE Project through Ministerio de Ciencia, Innovacion y Universidades (MICIU)/Agencia Estatal de Investigacion (AEI) [PID2020-113795RB-C32, PID2020-113795RB-C31]; QURSA Project through MICIU/AEI; European Union NextGenerationEU/Recovery, Transformation and Resilience Plan (PRTR) [TED2021-130369B-C32]; MOBILYTICS Project through MICIU/AEI; European Union NextGenerationEU/PRTR [TED2021-129782B-I00]; SISCOM Project - Generalitat de Catalunya through the Agencia de Gestio d'Ajuts Universitaris i de Recerca (AGAUR) [2021 SGR 01413]; DISCOVERY Project through MICIU/AEI [PID2023-148716OB-C33, PID2023-148716OB-C32]; Fondo Europeo de Desarrollo Regional (FEDER); Union Europea (UE); Instituto Nacional de Ciberseguridad (INCIBE); Universidad Carlos III de Madrid [C114/23]</t>
  </si>
  <si>
    <t>COMPROMISE Project through Ministerio de Ciencia, Innovacion y Universidades (MICIU)/Agencia Estatal de Investigacion (AEI); QURSA Project through MICIU/AEI; European Union NextGenerationEU/Recovery, Transformation and Resilience Plan (PRTR); MOBILYTICS Project through MICIU/AEI; European Union NextGenerationEU/PRTR(European Union (EU)); SISCOM Project - Generalitat de Catalunya through the Agencia de Gestio d'Ajuts Universitaris i de Recerca (AGAUR); DISCOVERY Project through MICIU/AEI; Fondo Europeo de Desarrollo Regional (FEDER)(European Union (EU)Spanish Government); Union Europea (UE); Instituto Nacional de Ciberseguridad (INCIBE); Universidad Carlos III de Madrid</t>
  </si>
  <si>
    <t>This work was supported in part by COMPROMISE Project through Ministerio de Ciencia, Innovacion y Universidades (MICIU)/Agencia Estatal de Investigacion (AEI)/10.13039/501100011033 under Grant PID2020-113795RB-C32 and Grant PID2020-113795RB-C31; in part by QURSA Project through MICIU/AEI/10.13039/501100011033 and European Union NextGenerationEU/Recovery, Transformation and Resilience Plan (PRTR) under Grant TED2021-130369B-C32; in part by MOBILYTICS Project through MICIU/AEI/10.13039/501100011033 and European Union NextGenerationEU/PRTR under Grant TED2021-129782B-I00; in part by SISCOM Project funded by the Generalitat de Catalunya through the Agencia de Gestio d'Ajuts Universitaris i de Recerca (AGAUR) under Grant 2021 SGR 01413; in part by DISCOVERY Project through MICIU/AEI/10.13039/501100011033 under Grant PID2023-148716OB-C33 and Grant PID2023-148716OB-C32; and in part by Fondo Europeo de Desarrollo Regional (FEDER), Union Europea (UE), and the I-Shaper Strategic Project, a collaboration agreement between the Instituto Nacional de Ciberseguridad (INCIBE) and the Universidad Carlos III de Madrid, an initiative framework of PRTR through European Union (Next Generation) under Grant C114/23.</t>
  </si>
  <si>
    <t>10.1109/ACCESS.2025.3633695</t>
  </si>
  <si>
    <t>I7482</t>
  </si>
  <si>
    <t>Green Submitted, Green Accepted, gold</t>
  </si>
  <si>
    <t>WOS:001626857700020</t>
  </si>
  <si>
    <t>Oztoprak, K</t>
  </si>
  <si>
    <t>Oztoprak, Kasim</t>
  </si>
  <si>
    <t>Subscriber Profiling for Connection Service Providers by Considering Individuals and Different Timeframes</t>
  </si>
  <si>
    <t>IEICE TRANSACTIONS ON COMMUNICATIONS</t>
  </si>
  <si>
    <t>subscriber categorization; internet usage characteristics; personalized policies</t>
  </si>
  <si>
    <t>Connection Service Providers (CSP) are wishing to increase their Return on Investment (ROI) by utilizing the data assets generated by tracking subscriber behaviors. This results in the ability to apply personalized policies, monitor and control the service traffic to subscribers and gain more revenue through the usage of subscriber data with ad networks. In this paper, a system is proposed to monitor and analyze the Internet access of the subscribers of a regional SP in order to classify the subscribers into interest categories from the Interactive Advertising Bureau (IAB) categories. The study employs the categorization engine to build category vectors for all individuals using Internet services through the subscription. The proposal makes it easy to detect changes in the interests of individuals/subscribers over time.</t>
  </si>
  <si>
    <t>[Oztoprak, Kasim] KTO Karatay Univ, Dept Comp Engn, Konya, Turkey</t>
  </si>
  <si>
    <t>KTO Karatay University</t>
  </si>
  <si>
    <t>Oztoprak, K (corresponding author), KTO Karatay Univ, Dept Comp Engn, Konya, Turkey.</t>
  </si>
  <si>
    <t>kasim.oztoprak@karatay.edu.tr</t>
  </si>
  <si>
    <t>0916-8516</t>
  </si>
  <si>
    <t>1745-1345</t>
  </si>
  <si>
    <t>IEICE T COMMUN</t>
  </si>
  <si>
    <t>IEICE Trans. Commun.</t>
  </si>
  <si>
    <t>E99B</t>
  </si>
  <si>
    <t>10.1587/transcom.2015EBP3467</t>
  </si>
  <si>
    <t>DT5ZD</t>
  </si>
  <si>
    <t>WOS:000381561300015</t>
  </si>
  <si>
    <t>Peng, HL; Zhang, YJ; Sun, H; Hao, W; Dai, Q</t>
  </si>
  <si>
    <t>Peng, Huailiang; Zhang, Yujun; Sun, Hao; Hao, Wei; Dai, Qiong</t>
  </si>
  <si>
    <t>Interest-Aware Social Bot Detection with Contrastive Hard Sample Mining</t>
  </si>
  <si>
    <t>2024 IEEE INTERNATIONAL CONFERENCE ON HIGH PERFORMANCE COMPUTING AND COMMUNICATIONS, HPCC</t>
  </si>
  <si>
    <t>26th International Conference on High Performance Computing and Communications-HPCC-Annual</t>
  </si>
  <si>
    <t>DEC 13-15, 2024</t>
  </si>
  <si>
    <t>Institute of Electrical and Electronics Engineers Inc,Huazhong University of Science &amp; Technology</t>
  </si>
  <si>
    <t>social bot detection; contrastive learning; hard sample mining</t>
  </si>
  <si>
    <t>Social bots frequently engage in malicious activities like spreading misinformation and phishing on major social media platforms, significantly impacting the fairness and security of these platforms. Therefore, detecting social bots has become a very critical task. However, we observe two challenges for bot detection methods: neglected discrepancies under various interests (e.g., politics, entertainment) and challenging cases in the real world (e.g., carefully camouflaged bots, individualized genuine users). To tackle these issues, we propose BotCHMIA, a novel interest-aware social bot detection method enhanced with challenging cases. Specifically, to enhance feature representations by various user interests, we propose an interest-aware feature collaboration that utilizes a series of expert networks and an interest adapter to acquire user interest-specific information and fuse it with task-specific feature representations extracted by a bot detection projection. Additionally, we estimate sample hardness during the training process based on the model's classification confidence and improve existing supervised contrastive loss with randomly selected challenging cases, namely hard samples, to enhance the discriminability of user feature representations. We conduct extensive experiments on two real social bot datasets, and the results demonstrate the practical benefits gained from our proposed detection method.</t>
  </si>
  <si>
    <t>[Peng, Huailiang; Zhang, Yujun] Chinese Acad Sci, Inst Comp Technol, Beijing 100190, Peoples R China; [Peng, Huailiang; Sun, Hao; Hao, Wei; Dai, Qiong] Chinese Acad Sci, Inst Informat Engn, Beijing 100085, Peoples R China; [Peng, Huailiang; Zhang, Yujun] Univ Chinese Acad Sci, Beijing 100049, Peoples R China</t>
  </si>
  <si>
    <t>Chinese Academy of Sciences; Nanjing Institute of Geology &amp; Paleontology, CAS; Institute of Computing Technology, CAS; Chinese Academy of Sciences; Institute of Information Engineering, CAS; Chinese Academy of Sciences; University of Chinese Academy of Sciences, CAS</t>
  </si>
  <si>
    <t>Zhang, YJ (corresponding author), Chinese Acad Sci, Inst Comp Technol, Beijing 100190, Peoples R China.;Zhang, YJ (corresponding author), Univ Chinese Acad Sci, Beijing 100049, Peoples R China.</t>
  </si>
  <si>
    <t>penghuailiang19b@ict.ac.cn; nrcyujun@ict.ac.cn; sunhao2022@iie.ac.cn; haowei@iie.ac.cn; daiqiong@iie.ac.cn</t>
  </si>
  <si>
    <t>979-8-3315-4047-0; 979-8-3315-4046-3</t>
  </si>
  <si>
    <t>10.1109/HPCC64274.2024.00136</t>
  </si>
  <si>
    <t>BA5YR</t>
  </si>
  <si>
    <t>WOS:001752244100125</t>
  </si>
  <si>
    <t>Saba, VK; Pravikoff, DS; Pletzke, CJ</t>
  </si>
  <si>
    <t>Electronic access to military/uniformed services nursing research</t>
  </si>
  <si>
    <t>MILITARY MEDICINE</t>
  </si>
  <si>
    <t>The Graduate School of Nursing of the Uniformed Services University of the Health Sciences, with the help of Cinahl Information Systems, has created a virtual electronic military/uniformed services nursing research (EMUSNR) database. This database is an integral component of the newly created specific interest category for military and uniformed services, which will tag all their documents in the Cumulative Index of Nursing and Allied Health Literature database. The virtual research database will allow easy access to military/uniformed services nursing research documents completed by students at the Graduate School of Nursing and final reports of the TriService Nursing Research Program. The EMUSNR offers electronic searching and retrieval of citations to the nursing research documents. The citations will be fully indexed, consisting of an informative abstract, unique subject headings, cited references, and other research concepts. Individuals both in and out of the military and uniformed services around the world will benefit from this new resource.</t>
  </si>
  <si>
    <t>Uniformed Serv Univ Hlth Sci, Grad Sch Nursing, Bethesda, MD 20814 USA</t>
  </si>
  <si>
    <t>Uniformed Services University of the Health Sciences - USA</t>
  </si>
  <si>
    <t>Saba, VK (corresponding author), Uniformed Serv Univ Hlth Sci, Grad Sch Nursing, 4301 Jones Bridge Rd, Bethesda, MD 20814 USA.</t>
  </si>
  <si>
    <t>ASSN MILITARY SURG US</t>
  </si>
  <si>
    <t>9320 OLD GEORGETOWN RD, BETHESDA, MD 20814 USA</t>
  </si>
  <si>
    <t>0026-4075</t>
  </si>
  <si>
    <t>MIL MED</t>
  </si>
  <si>
    <t>Milit. Med.</t>
  </si>
  <si>
    <t>10.1093/milmed/165.11.835</t>
  </si>
  <si>
    <t>373GF</t>
  </si>
  <si>
    <t>WOS:000165279900010</t>
  </si>
  <si>
    <t>Yang, QH; Xie, J; Yuan, DL</t>
  </si>
  <si>
    <t>Yang Qinghong; Xie Jing; Yuan Dule</t>
  </si>
  <si>
    <t>The Research of Personalized Learning System Based on Ontology</t>
  </si>
  <si>
    <t>10TH INTERNATIONAL CONFERENCE ON COMPUTER SCIENCE &amp; EDUCATION (ICCSE 2015)</t>
  </si>
  <si>
    <t>10th International Conference on Computer Science and Education (ICCSE)</t>
  </si>
  <si>
    <t>JUL 22-24, 2015</t>
  </si>
  <si>
    <t>Brunel Univ London, Cambridge, ENGLAND</t>
  </si>
  <si>
    <t>IEEE,CCSE,Inst Elect &amp; Elect Engineers, UK Sect,Natl Res Council Comp Educ Coll &amp; Univ,Cambridge Univ, Fitzwilliam Coll,Inst Elect &amp; Elect Engineers, Ireland Sect</t>
  </si>
  <si>
    <t>Brunel Univ London</t>
  </si>
  <si>
    <t>Ontology; semantic similarity; user model; personalized learning system</t>
  </si>
  <si>
    <t>This paper mainly introduces the ontology building, put forward a calculating method of semantic similarity based on ontology, and apply it to build user interest model, learning resource model and personalized recommendation model. Based on the above work, we build a personalized learning system based on ontology. Finally the validity of the model were verified by contrast experiment.</t>
  </si>
  <si>
    <t>[Yang Qinghong; Xie Jing; Yuan Dule] Jiangxi Normal Univ, Coll Comp Informat Engn, Nanchang, Peoples R China</t>
  </si>
  <si>
    <t>Yang, QH (corresponding author), Jiangxi Normal Univ, Coll Comp Informat Engn, Nanchang, Peoples R China.</t>
  </si>
  <si>
    <t>yangqh120@163.com; xiejing90126@126.com; yudule@126.com</t>
  </si>
  <si>
    <t>978-1-4799-6600-4</t>
  </si>
  <si>
    <t>BF1NI</t>
  </si>
  <si>
    <t>WOS:000380412500085</t>
  </si>
  <si>
    <t>Schnabel, T; Ramos, G; Amershi, S</t>
  </si>
  <si>
    <t>Schnabel, Tobias; Ramos, Gonzalo; Amershi, Saleema</t>
  </si>
  <si>
    <t>Who doesn't like dinosaurs? Finding and Eliciting Richer Preferences for Recommendation</t>
  </si>
  <si>
    <t>RECSYS 2020: 14TH ACM CONFERENCE ON RECOMMENDER SYSTEMS</t>
  </si>
  <si>
    <t>14th ACM Conference on Recommender Systems (RECSYS)</t>
  </si>
  <si>
    <t>SEP 22-26, 2020</t>
  </si>
  <si>
    <t>user preferences; onboarding experiences; user control</t>
  </si>
  <si>
    <t>PERSONALIZATION; FEEDBACK</t>
  </si>
  <si>
    <t>Real-world recommender systems often allow users to adjust the presented content through a variety of preference elicitation techniques such as liking or interest profiles. These elicitation techniques trade-off time and effort to users with the richness of the signal they provide to learning component driving the recommendations. In this paper, we explore this trade-off, seeking new ways for people to express their preferences with the goal of improving communication channels between users and the recommender system. Through a need-finding study, we observe the patterns in how people express their preferences during curation task, propose a taxonomy for organizing them, and point out research opportunities. We present a case study that illustrates how using this taxonomy to design an onboarding experience can lead to more accurate machine-learned recommendations while maintaining user satisfaction under low effort.</t>
  </si>
  <si>
    <t>[Schnabel, Tobias; Ramos, Gonzalo; Amershi, Saleema] Microsoft, Redmond, WA 98052 USA</t>
  </si>
  <si>
    <t>Microsoft</t>
  </si>
  <si>
    <t>Schnabel, T (corresponding author), Microsoft, Redmond, WA 98052 USA.</t>
  </si>
  <si>
    <t>toschnab@microsoft.com; goramos@microsoft.com; samershi@microsoft.com</t>
  </si>
  <si>
    <t>978-1-4503-7583-2</t>
  </si>
  <si>
    <t>10.1145/3383313.3412267</t>
  </si>
  <si>
    <t>BS6JF</t>
  </si>
  <si>
    <t>WOS:000748895000044</t>
  </si>
  <si>
    <t>Huang, C; Wang, D; Tao, J</t>
  </si>
  <si>
    <t>Huang, Chao; Wang, Dong; Tao, Jun</t>
  </si>
  <si>
    <t>An Unsupervised Approach to Inferring the Localness of People Using Incomplete Geotemporal Online Check-In Data</t>
  </si>
  <si>
    <t>Localness of people; unsupervised learning; online social networks; crowdsourcing; maximum likelihood estimation; GPU implementation</t>
  </si>
  <si>
    <t>Inferring the localness of people is to classify people who are local residents in a city from people who visit the city by analyzing online check-in points that are contributed by online users. This information is critical for the urban planning, user profiling, and localized recommendation systems. Supervised learning approaches have been developed to infer the location of people in a city by assuming the availability of high-quality training datasets with complete geotemporal information. In this article, we develop an unsupervised model to accurately identify local people in a city by using the incomplete online check-in data that are publicly available. In particular, we develop an incomplete geotemporal expectation maximization (IGT-EM) scheme, which incorporates a set of hidden variables to represent the localness of people and a set of estimation parameters to represent the likelihood of venues to attract local and nonlocal people, respectively. Our solution can accurately classify local people from nonlocal nones without requiring any training data. We also implement a parallel IGT-EM algorithm by leveraging the computing power of a graphic processing unit (GPU) that consists of 2,496 cores. In the evaluation, we compare our new approach with the existing solutions through four real-world case studies using data from the New York City, Chicago, Boston, and Washington, DC. The results show that our approach can identify the local people and significantly outperform the compared baselines in estimation accuracy and execution time.</t>
  </si>
  <si>
    <t>[Huang, Chao; Wang, Dong; Tao, Jun] Univ Notre Dame, 214 B Cushing, Notre Dame, IN 46556 USA; [Huang, Chao] 100 Univ Village Apt A, Notre Dame, IN 46556 USA; [Tao, Jun] 2007 Coachmans Trail, South Bend, IN 46637 USA</t>
  </si>
  <si>
    <t>University of Notre Dame</t>
  </si>
  <si>
    <t>Huang, C (corresponding author), Univ Notre Dame, 214 B Cushing, Notre Dame, IN 46556 USA.;Huang, C (corresponding author), 100 Univ Village Apt A, Notre Dame, IN 46556 USA.</t>
  </si>
  <si>
    <t>chuang7@nd.edu; dwang5@nd.edu; Jtao1@nd.edu</t>
  </si>
  <si>
    <t>National Science Foundation [CBET-1637251, CNS-1566465, IIS-1447795]; Army Research Office [W911NF-16-1-0388]</t>
  </si>
  <si>
    <t>National Science Foundation(National Science Foundation (NSF)); Army Research Office(Army Research Office)</t>
  </si>
  <si>
    <t>This material is based on work supported by the National Science Foundation under grants CBET-1637251, CNS-1566465, and IIS-1447795, and the Army Research Office under grant W911NF-16-1-0388. The views and conclusions contained in this document are those of the authors and should not be interpreted as representing the official policies, either expressed or implied, of the Army Research Office or the U.S. Government. The U.S. Government is authorized to reproduce and distribute reprints for Government purposes notwithstanding any copyright notation here on.</t>
  </si>
  <si>
    <t>10.1145/3022471</t>
  </si>
  <si>
    <t>FL5XE</t>
  </si>
  <si>
    <t>WOS:000414319000009</t>
  </si>
  <si>
    <t>Oróstica, K; Poblete, B</t>
  </si>
  <si>
    <t>Orostica, Karen; Poblete, Barbara</t>
  </si>
  <si>
    <t>Mining the Relationship Between Car Theft and Places of Social Interest in Santiago Chile</t>
  </si>
  <si>
    <t>COMPANION OF THE WORLD WIDE WEB CONFERENCE (WWW 2019 )</t>
  </si>
  <si>
    <t>pattern extraction; car theft; Google Maps</t>
  </si>
  <si>
    <t>Recent work suggests that certain places can be more attractive for car theft based how many people regularly visit them, as well as other factors. In this sense, we must also consider the city or district itself where vehicles are stolen. All cities have different cultural and socioeconomic characteristics that influence car theft patterns. In particular, the distribution of public services and places attract a large crowd could play a key role in the occurrence of car theft. Santiago, a city that displays drastic socioeconomic differences among its districts, presents increasingly-high car theft rates. This represents a serious issue for the city, as for any other major city, which -at least for Santiago-has not been analyzed in depth using quantitative approaches. In this work, we present a preliminary study of how places that create social interest, such as restaurants, bars, schools, and shopping malls, increase car theft frequency in Santiago. We also study if some types of places are more attractive than others for this type of crime. To evaluate this, we propose to analyze car theft points (CTP) from insurance companies and their relationship with places of social interest (PSI) extracted from Google Maps, using a proximity based approach. Our findings show a high correlation between CTP and PSI for all of the social interest categories that we studied in the different districts of the Santiago. In particular our work contributes to the understanding of the social factors that are associated to car thefts.</t>
  </si>
  <si>
    <t>[Orostica, Karen] Univ Chile, Dept Chem Engn Biotechnol &amp; Mat, Santiago, Chile; [Poblete, Barbara] Univ Chile, Dept Comp Sci, IMFD, Santiago, Chile</t>
  </si>
  <si>
    <t>Universidad de Chile; Universidad de Chile</t>
  </si>
  <si>
    <t>Oróstica, K (corresponding author), Univ Chile, Dept Chem Engn Biotechnol &amp; Mat, Santiago, Chile.</t>
  </si>
  <si>
    <t>korostica@ing.uchile.cl; bpoblete@dcc.uchile.cl</t>
  </si>
  <si>
    <t>Oróstica, karen/AAH-7437-2021; Poblete, Barbara/H-8450-2013</t>
  </si>
  <si>
    <t>Oróstica, karen/0000-0002-1403-3917; Poblete, Barbara/0000-0002-7669-645X</t>
  </si>
  <si>
    <t>[21182123]</t>
  </si>
  <si>
    <t>Funding support national scholarship conicyt 21182123.</t>
  </si>
  <si>
    <t>978-1-4503-6675-5</t>
  </si>
  <si>
    <t>10.1145/3308558.3316464</t>
  </si>
  <si>
    <t>BN1GH</t>
  </si>
  <si>
    <t>WOS:000474353100127</t>
  </si>
  <si>
    <t>Ceravolo, P</t>
  </si>
  <si>
    <t>Meersman, R; Tari, Z</t>
  </si>
  <si>
    <t>Managing identities via interactions between ontologies</t>
  </si>
  <si>
    <t>ON THE MOVE TO MEANINGFUL INTERNET SYSTEMS 2003: OTM 2003 WORKSHOPS</t>
  </si>
  <si>
    <t>OTM Confederated International Workshops HCT-SWWA/IPW/JTRES/WORM/WMS and WRSM 2003</t>
  </si>
  <si>
    <t>NOV 03-07, 2003</t>
  </si>
  <si>
    <t>CATANIA, ITALY</t>
  </si>
  <si>
    <t>Rmit Univ, Sch comp Sci &amp; Informat Technol,Vrije Univ Brussels, Dept Comp Sci,Univ Catania</t>
  </si>
  <si>
    <t>ontology; identity management; multiple identities</t>
  </si>
  <si>
    <t>In this paper, we describe how an identity management system can be based on user ontologies in order to deal with complex attributes that are needed to model user interests or relationships. The problem of computing efficient bindings between ontology based metadata and XML based standards like SAML is also discussed.</t>
  </si>
  <si>
    <t>Univ Milan, Dept Informat Technol, I-260130 Crema, Italy</t>
  </si>
  <si>
    <t>Ceravolo, P (corresponding author), Univ Milan, Dept Informat Technol, Via Bramante 65, I-260130 Crema, Italy.</t>
  </si>
  <si>
    <t>pceravolo@crema.unimi.it</t>
  </si>
  <si>
    <t>Ceravolo, Paolo/AAT-5121-2020</t>
  </si>
  <si>
    <t>Ceravolo, Paolo/0000-0002-4519-0173</t>
  </si>
  <si>
    <t>3-540-20494-6</t>
  </si>
  <si>
    <t>BY25Y</t>
  </si>
  <si>
    <t>WOS:000188513300073</t>
  </si>
  <si>
    <t>Rajpoot, AK; Nand, P; Abidi, AI</t>
  </si>
  <si>
    <t>Rajpoot, Abha Kiran; Nand, Parma; Abidi, Ali Imam</t>
  </si>
  <si>
    <t>Optimizing sentiment strength detection for classification for airline opinion texts</t>
  </si>
  <si>
    <t>JOURNAL OF INTERDISCIPLINARY MATHEMATICS</t>
  </si>
  <si>
    <t>TF-IDF; Textual classification; Web 2.0; Deep learning; Machine learning; Riccatti equation; Burgers' equation; Integrable systems; Inverse problems</t>
  </si>
  <si>
    <t>Short text is rapidly expanding, and it is critical to understand why. Unlike traditional documents, short text is short and sparse, making machine learning and text mining algorithms difficult to apply. The process of identifying and categorizing ideas expressed in a text into positive, negative, and neutral polarities is referred to as sentiment analysis. The selection of features for machine learning is critical. The evaluation of search engines is a critical topic in the field of information retrieval. Researchers can determine whether their new algorithms add value or should be scrapped by effectively evaluating their algorithms. Organizations create cutting-edge methods for assessing their performance. Social tags have become an important source of information in web 2.0 for making personalized recommendations by identifying user interests and preferences. The purpose of this research is to systematically represent the actual topics of tags, the content of items, and user interest in specific topics via popular tags based on the content of the tags, items, and topics. The goal of this paper is to propose an innovative method for identifying user topic interests using popular tags. This paper proposes a method for extracting the main features of short text at various granularity levels. One aspect of how the content of items is represented in this paper is through the use of popular tags, but the representation of user interests is also discussed. By analysing a small dataset of short text classifications, we were able to compare our proposed method to a state-of-the-art baseline. We reduced the classification error by 20% using two different analysis methods, while the other method reduced it by 16.68%. The original tags of users are used to generate topic interests, from which we identify popular tags. The popular tags are then used to generate topic interests using an autoencoder approach.</t>
  </si>
  <si>
    <t>[Rajpoot, Abha Kiran; Nand, Parma; Abidi, Ali Imam] Sharda Univ, Dept Comp Sci &amp; Engn, Greater Noida 201306, Uttar Pradesh, India</t>
  </si>
  <si>
    <t>Sharda University</t>
  </si>
  <si>
    <t>Rajpoot, AK (corresponding author), Sharda Univ, Dept Comp Sci &amp; Engn, Greater Noida 201306, Uttar Pradesh, India.</t>
  </si>
  <si>
    <t>akrajpoot@gmail.com; parma.nand@sharda.ac.in; ali.abidi@sharda.ac.in</t>
  </si>
  <si>
    <t>Abidi, Ali/0000-0002-7420-0027; Rajpoot, Abha Kiran/0000-0002-0643-3646</t>
  </si>
  <si>
    <t>TARU PUBLICATIONS</t>
  </si>
  <si>
    <t>G-159, PUSHKAR ENCLAVE, PASHCHIM VIHAR, NEW DELHI, 110 063, INDIA</t>
  </si>
  <si>
    <t>0972-0502</t>
  </si>
  <si>
    <t>2169-012X</t>
  </si>
  <si>
    <t>J INTERDISCIP MATH</t>
  </si>
  <si>
    <t>J. Interdiscip. Math.</t>
  </si>
  <si>
    <t>10.1080/09720502.2021.2015093</t>
  </si>
  <si>
    <t>0T6FD</t>
  </si>
  <si>
    <t>WOS:000759244500001</t>
  </si>
  <si>
    <t>Li, Z; Xu, S; Wang, TY</t>
  </si>
  <si>
    <t>Li, Zhen; Xu, Shuo; Wang, Tianyu</t>
  </si>
  <si>
    <t>A Method of Interest Degree Mining Based on Behavior Data Analysis</t>
  </si>
  <si>
    <t>Numerical analysis; user social media application preferences; big data; interest degree mining analysis</t>
  </si>
  <si>
    <t>Based on big data, this paper starts from the behavior data of users on social media, and studies and explores the core issues of user modeling under personalized services. Focusing on the goal of user interest modeling, this paper proposes corresponding improvement measures for the existing interest model, which has great difference in interest description among different users and it is difficult to find the user interest change in time. For the above problems, this paper takes user-generated content and user behavior information as the analysis object, and uses natural language processing, knowledge warehouse, data fusion and other methods and techniques to numerically analyze user interest mining based on text mining and multi-source data fusion. We propose a user interest label space mapping method to avoid data sparse problem caused by too many dimensions in interest analysis. At the same time, we propose a method to extract and blend the long-term and short-term interests, and realize the comprehensive evaluation of interests. In the analysis of the big data phase, the user preference social property application preference value law, it is expected to achieve user Internet social media application preference data mining from the perspective of big data.</t>
  </si>
  <si>
    <t>[Li, Zhen] China Univ Min &amp; Technol, Sch Architecture &amp; Design, Xuzhou, Jiangsu, Peoples R China; [Xu, Shuo; Wang, Tianyu] China Univ Min &amp; Technol, Sch Comp Sci &amp; Technol, Xuzhou, Jiangsu, Peoples R China</t>
  </si>
  <si>
    <t>China University of Mining &amp; Technology; China University of Mining &amp; Technology</t>
  </si>
  <si>
    <t>Li, Z (corresponding author), China Univ Min &amp; Technol, Sch Architecture &amp; Design, Xuzhou, Jiangsu, Peoples R China.</t>
  </si>
  <si>
    <t>lizhenmusic@cumt.edu.cn</t>
  </si>
  <si>
    <t>Wang, Tianyu/JYP-7447-2024</t>
  </si>
  <si>
    <t>Fundamental Research Fund for The Central Universities [2019QNB06]</t>
  </si>
  <si>
    <t>Fundamental Research Fund for The Central Universities</t>
  </si>
  <si>
    <t>This work was supported by the Fundamental Research Fund for The Central Universities (2019QNB06).</t>
  </si>
  <si>
    <t>10.1142/S0218001420590302</t>
  </si>
  <si>
    <t>NJ9AL</t>
  </si>
  <si>
    <t>WOS:000566336400014</t>
  </si>
  <si>
    <t>Doncheva, J; Smrikarov, A; Vassilev, T</t>
  </si>
  <si>
    <t>Doncheva, Julia; Smrikarov, Angel; Vassilev, Tsvetomir</t>
  </si>
  <si>
    <t>ATTOSECOND LEARNING - A METAPHOR OF TODAY'S EDUCATION</t>
  </si>
  <si>
    <t>STRATEGIES FOR POLICY IN SCIENCE AND EDUCATION-STRATEGII NA OBRAZOVATELNATA I NAUCHNATA POLITIKA</t>
  </si>
  <si>
    <t>Bulgarian</t>
  </si>
  <si>
    <t>&amp; acy;ttosecond learning; &amp; acy;rtsteps platform; new education concepts</t>
  </si>
  <si>
    <t>Attosecond learning, illuminated through the prism of digitization, embodies the essence of innovation in education adapting to the rapidly changing digital world. Just as the attosecond symbolizes a brief but powerful moment in time capable of triggering significant changes, so digitalized education must not only be flexible and adaptable, but also integrate technologies that provide an adequate response to ever-changing social needs. Similarly, effective digital learning should produce immediate results in terms of student engagement, understanding, and application of knowledge. To achieve this, educators must use a variety of strategies and tools, such as interactive lessons, technology, and personalized learning, to create a dynamic learning environment that sustains student interest and engagement.</t>
  </si>
  <si>
    <t>[Doncheva, Julia; Smrikarov, Angel; Vassilev, Tsvetomir] Angel Kanchev Univ Ruse, 8 Studentska St, Ruse 7017, Bulgaria</t>
  </si>
  <si>
    <t>University of Ruse</t>
  </si>
  <si>
    <t>Doncheva, J (corresponding author), Angel Kanchev Univ Ruse, 8 Studentska St, Ruse 7017, Bulgaria.</t>
  </si>
  <si>
    <t>jdoncheva@uni-ruse.bg; asmrikarov@ecs.uni-ruse.bg; tvassilev@uni-ruse.bg</t>
  </si>
  <si>
    <t>Doncheva, Julia/U-9513-2019; Vassilev, Tzvetomir/R-6320-2016</t>
  </si>
  <si>
    <t>Vassilev, Tzvetomir/0000-0002-0067-7316</t>
  </si>
  <si>
    <t>European Union-NextGenerationEU [BG-RRP-2.013-0001-C01]</t>
  </si>
  <si>
    <t>European Union-NextGenerationEU</t>
  </si>
  <si>
    <t>This study is financed by the European Union-NextGenerationEU, through the National Recovery and Resilience Plan of the Republic of Bulgaria, project No BG-RRP-2.013-0001-C01.</t>
  </si>
  <si>
    <t>NATSIONALNO IZDATELSTVO AZ BUKI</t>
  </si>
  <si>
    <t>SOFIA</t>
  </si>
  <si>
    <t>BUL TSARIGRADSKO SHOSE, 125, BL 5, SOFIA, 1113, BULGARIA</t>
  </si>
  <si>
    <t>1310-0270</t>
  </si>
  <si>
    <t>1314-8575</t>
  </si>
  <si>
    <t>STRATEG POLICY SCI E</t>
  </si>
  <si>
    <t>Strateg. Policy Sci. Educ.</t>
  </si>
  <si>
    <t>10.53656/str2024-5s-19-ato</t>
  </si>
  <si>
    <t>S1X8X</t>
  </si>
  <si>
    <t>WOS:001396249400019</t>
  </si>
  <si>
    <t>Hwang, SH</t>
  </si>
  <si>
    <t>Hwang, Suk-Hyung</t>
  </si>
  <si>
    <t>A Triadic Approach of Hierarchical Classes Analysis on Folksonomy Mining</t>
  </si>
  <si>
    <t>INTERNATIONAL JOURNAL OF COMPUTER SCIENCE AND NETWORK SECURITY</t>
  </si>
  <si>
    <t>Hierarchical Classes Analysis; Folksonomy; Ontology; Tagging</t>
  </si>
  <si>
    <t>As the number of tagged data on the Web is increased, there are many needs on the folksonomy-based systems to provide some proper functionalities, such as identifying user interests, recommending relevant resources or constructing ontologies for sharing and reusing tag data, etc. However, some proper data mining approaches to folksonomies are necessary to better understand their characteristics and extract valuable information from folksonomies. In this paper, we propose a triadic approach for mining folksonomies based on hierarchical classes analysis, and demonstrate how triadic elements of folksonomies can be analyzed and mined by applying the proposed approach. We also discuss how the results can be used for better understanding of the characteristics of folksonomies.</t>
  </si>
  <si>
    <t>[Hwang, Suk-Hyung] SunMoon Univ, Div Comp &amp; Informat Sci, Comp &amp; Informat Sci, Asan 336840, Chung Nam, South Korea</t>
  </si>
  <si>
    <t>Sun Moon University</t>
  </si>
  <si>
    <t>Hwang, SH (corresponding author), SunMoon Univ, Div Comp &amp; Informat Sci, Comp &amp; Informat Sci, Asan 336840, Chung Nam, South Korea.</t>
  </si>
  <si>
    <t>INT JOURNAL COMPUTER SCIENCE &amp; NETWORK SECURITY-IJCSNS</t>
  </si>
  <si>
    <t>SEOUL</t>
  </si>
  <si>
    <t>DAE-SANG OFFICE 301, SANGDO 5 DONG 509-1, SEOUL, 00000, SOUTH KOREA</t>
  </si>
  <si>
    <t>1738-7906</t>
  </si>
  <si>
    <t>INT J COMPUT SCI NET</t>
  </si>
  <si>
    <t>Int. J. Comput. Sci. Netw. Secur.</t>
  </si>
  <si>
    <t>AUG 30</t>
  </si>
  <si>
    <t>V1O4S</t>
  </si>
  <si>
    <t>WOS:000217089700027</t>
  </si>
  <si>
    <t>Becker, ES; Keller, MM</t>
  </si>
  <si>
    <t>Becker, Eva S.; Keller, Melanie M.</t>
  </si>
  <si>
    <t>This lesson was interesting-don't you agree? Heterogeneity in situational interest and correlates to class- and lesson-specific factors</t>
  </si>
  <si>
    <t>ZEITSCHRIFT FUR ERZIEHUNGSWISSENSCHAFT</t>
  </si>
  <si>
    <t>German</t>
  </si>
  <si>
    <t>Heterogeneity; Situational interest; Multilevel analysis; Adaptive instruction</t>
  </si>
  <si>
    <t>SELF-CONCEPT; STUDENTS; ACHIEVEMENT; MOTIVATION; TEACHER; EMOTIONS; ANTECEDENTS; MATHEMATICS; BELIEFS; IMPACT</t>
  </si>
  <si>
    <t>Dealing with heterogeneity in the classroom is a crucial demand that is placed on teachers. Besides stable interindividual differences in the student body, there are also differences that arise at a situational level especially with regard to motivational-affective variables. The aim of the study is to examine class- and lesson-specific correlates (class composition in terms of individual interest, instructional quality and adaptive instructions) of students' situational interest and additionally to focus on the extent of heterogeneity between students in a class. The study used a questionnaire- and diary-design and collected data from 41 classes (879 students) in 307 mathematic lessons. Results from hierarchical regression analyses showed that variance in mean-level situational interest from a class was explained by lesson-specific instructional quality and adaptive instruction whereas class composition variables (class-specific individual interest) showed no significant relations. Lessons with a smaller heterogeneity in students' situational interest were associated with higher reports on teacher enthusiasm and adaptive instructions.</t>
  </si>
  <si>
    <t>[Becker, Eva S.] Univ Zurich, Inst Erziehungswissensch, Kantonsschulstr 3, CH-8001 Zurich, Switzerland; [Keller, Melanie M.] IPN Leibniz Inst Die Padag Nat Wissensch &amp; Math, Olshausenstr 62, D-24118 Kiel, Germany</t>
  </si>
  <si>
    <t>University of Zurich</t>
  </si>
  <si>
    <t>Becker, ES (corresponding author), Univ Zurich, Inst Erziehungswissensch, Kantonsschulstr 3, CH-8001 Zurich, Switzerland.</t>
  </si>
  <si>
    <t>eva.becker@ife.uzh.ch; keller@leibniz-ipn.de</t>
  </si>
  <si>
    <t>Becker, Eva/IZB-8041-2023</t>
  </si>
  <si>
    <t>Becker, Eva/0000-0001-6080-1481</t>
  </si>
  <si>
    <t>University of Zurich(University of Zurich)</t>
  </si>
  <si>
    <t>Open access funding provided by University of Zurich</t>
  </si>
  <si>
    <t>SPRINGER VIEWEG-SPRINGER FACHMEDIEN WIESBADEN GMBH</t>
  </si>
  <si>
    <t>WIESBADEN</t>
  </si>
  <si>
    <t>ABRAHAM-LINCOLN STASSE 46, WIESBADEN, 65189, GERMANY</t>
  </si>
  <si>
    <t>1434-663X</t>
  </si>
  <si>
    <t>1862-5215</t>
  </si>
  <si>
    <t>Z ERZIEHWISS</t>
  </si>
  <si>
    <t>Z. Erziehwiss.</t>
  </si>
  <si>
    <t>10.1007/s11618-022-01091-2</t>
  </si>
  <si>
    <t>3B1VC</t>
  </si>
  <si>
    <t>Green Accepted, hybrid</t>
  </si>
  <si>
    <t>WOS:000791635000002</t>
  </si>
  <si>
    <t>Purificato, E; Boratto, L; De Luca, EW</t>
  </si>
  <si>
    <t>Purificato, Erasmo; Boratto, Ludovico; De Luca, Ernesto William</t>
  </si>
  <si>
    <t>Toward a Responsible Fairness Analysis: From Binary to Multiclass and Multigroup Assessment in Graph Neural Network-Based User Modeling Tasks</t>
  </si>
  <si>
    <t>MINDS AND MACHINES</t>
  </si>
  <si>
    <t>User modeling; User profiling; Algorithmic fairness; Bias detection; Graph neural networks; Responsible artificial intelligence</t>
  </si>
  <si>
    <t>User modeling is a key topic in many applications, mainly social networks and information retrieval systems. To assess the effectiveness of a user modeling approach, its capability to classify personal characteristics (e.g., the gender, age, or consumption grade of the users) is evaluated. Due to the fact that some of the attributes to predict are multiclass (e.g., age usually encompasses multiple ranges), assessing fairness in user modeling becomes a challenge since most of the related metrics work with binary attributes. As a workaround, the original multiclass attributes are usually binarized to meet standard fairness metrics definitions where both the target class and sensitive attribute (such as gender or age) are binary. However, this alters the original conditions, and fairness is evaluated on classes that differ from those used in the classification. In this article, we extend the definitions of four existing fairness metrics (related to disparate impact and disparate mistreatment) from binary to multiclass scenarios, considering different settings where either the target class or the sensitive attribute includes more than two groups. Our work endeavors to bridge the gap between formal definitions and real use cases in bias detection. The results of the experiments, conducted on four real-world datasets by leveraging two state-of-the-art graph neural network-based models for user modeling, show that the proposed generalization of fairness metrics can lead to a more effective and fine-grained comprehension of disadvantaged sensitive groups and, in some cases, to a better analysis of machine learning models originally deemed to be fair. The source code and the preprocessed datasets are available at the following link: https://github.com/erasmopurif/toward-responsible-fairness-analysis.</t>
  </si>
  <si>
    <t>[Purificato, Erasmo; De Luca, Ernesto William] Otto von Guericke Univ, Magdeburg, Germany; [Boratto, Ludovico] Univ Cagliari, Cagliari, Italy; [Purificato, Erasmo; De Luca, Ernesto William] Georg Eckert Inst, Leibniz Inst Educ Media, Braunschweig, Germany</t>
  </si>
  <si>
    <t>Otto von Guericke University; University of Cagliari; Georg Eckert Institut</t>
  </si>
  <si>
    <t>Purificato, E (corresponding author), Otto von Guericke Univ, Magdeburg, Germany.;Purificato, E (corresponding author), Georg Eckert Inst, Leibniz Inst Educ Media, Braunschweig, Germany.</t>
  </si>
  <si>
    <t>erasmo.purificato@acm.org; ludovico.boratto@acm.org; ernesto.deluca@ovgu.de</t>
  </si>
  <si>
    <t>Purificato, Erasmo/HKF-7484-2023</t>
  </si>
  <si>
    <t>Purificato, Erasmo/0000-0002-5506-3020</t>
  </si>
  <si>
    <t>Projekt DEAL</t>
  </si>
  <si>
    <t>Projekt DEAL(Projekt DEAL)</t>
  </si>
  <si>
    <t>Open Access funding enabled and organized by Projekt DEAL.</t>
  </si>
  <si>
    <t>0924-6495</t>
  </si>
  <si>
    <t>1572-8641</t>
  </si>
  <si>
    <t>MIND MACH</t>
  </si>
  <si>
    <t>Minds Mach.</t>
  </si>
  <si>
    <t>JUL 17</t>
  </si>
  <si>
    <t>10.1007/s11023-024-09685-x</t>
  </si>
  <si>
    <t>ZM7A7</t>
  </si>
  <si>
    <t>WOS:001275770700001</t>
  </si>
  <si>
    <t>Khan, SA; Ishtiaq, M; Nazir, M; Shaheen, M</t>
  </si>
  <si>
    <t>Khan, Sajid Ali; Ishtiaq, Muhammad; Nazir, Muhammad; Shaheen, Muhammad</t>
  </si>
  <si>
    <t>Face recognition under varying expressions and illumination using particle swarm optimization</t>
  </si>
  <si>
    <t>JOURNAL OF COMPUTATIONAL SCIENCE</t>
  </si>
  <si>
    <t>Face recognition; Face expressions; Local binary pattern; Wavelets; Variant illumination; Particle swarm optimization</t>
  </si>
  <si>
    <t>COMPLEX; FUSION</t>
  </si>
  <si>
    <t>Social networks generate enormous amounts of visual data. Mining of such data in recommender systems is extremely important. User profiling is carried out in recommender systems to build the holistic persona of the user. Identification and grouping of images in these systems is carried out using face recognition. It is one of the most appropriate biometric features in such situations. Ever since the first use of face recognition in security and surveillance systems, researchers have developed many methods with improved accuracy. Face recognition under variant illumination is still an open issue and diverging facial expressions reduces the accuracy even further. State of the art methods produced an average accuracy of 90%.In this study, a computationally intelligent and efficient method based on particle swarm optimization (PSO) is developed. It utilizes the features extracted from texture and wavelet domain. Discrete Wavelet Transform provides the advantage of extracting relevant features and thereby reducing computational time and an increase in recognition accuracy rate. We apply particle swarm optimization technique to select informative wavelet sub-band. Furthermore, the proposed technique uses Discrete Fourier Transform to compensate the translational variance problem of the discrete wavelet transform. The proposed method has been tested on the CK, MMI and JAFFE databases. Experimental results are compared with existing techniques and the results indicate that the proposed technique is more robust to illumination and variation in expressions, average accuracy obtained over the CK, MMI and JAFFE datasets is 98.6%, 95.5%, and 98.8% respectively. (C) 2018 Elsevier B.V. All rights reserved.</t>
  </si>
  <si>
    <t>[Khan, Sajid Ali; Ishtiaq, Muhammad; Shaheen, Muhammad] Fdn Univ Islamabad, Dept Software Engn, Rawalpindi Campus, Rawalpindi, Pakistan; [Khan, Sajid Ali] SZABIST, Dept Comp Sci, Islamabad, Pakistan; [Nazir, Muhammad] HITEC Univ, Dept Comp Sci &amp; Engn, Taxila, Pakistan</t>
  </si>
  <si>
    <t>Shaheed Zulfikar Ali Bhutto Institute of Science &amp; Technology; HITEC University</t>
  </si>
  <si>
    <t>Khan, SA (corresponding author), Fdn Univ Islamabad, Dept Software Engn, Rawalpindi Campus, Rawalpindi, Pakistan.</t>
  </si>
  <si>
    <t>sajidalibn@gmail.com</t>
  </si>
  <si>
    <t>Ali, Sajid/GLS-7322-2022; Shaheen, Muhammad/AGH-3143-2022; Ishtiaq, Muhammad/GSN-4278-2022</t>
  </si>
  <si>
    <t>Shaheen, Muhammad/0000-0003-3647-1261;</t>
  </si>
  <si>
    <t>1877-7503</t>
  </si>
  <si>
    <t>1877-7511</t>
  </si>
  <si>
    <t>J COMPUT SCI-NETH</t>
  </si>
  <si>
    <t>J. Comput. Sci.</t>
  </si>
  <si>
    <t>10.1016/j.jocs.2018.08.005</t>
  </si>
  <si>
    <t>GZ2UC</t>
  </si>
  <si>
    <t>WOS:000449242900010</t>
  </si>
  <si>
    <t>Jain, DK; Kumar, A; Sharma, V</t>
  </si>
  <si>
    <t>Jain, Deepak Kumar; Kumar, Akshi; Sharma, Vibhuti</t>
  </si>
  <si>
    <t>Tweet recommender model using adaptive neuro-fuzzy inference system</t>
  </si>
  <si>
    <t>FUTURE GENERATION COMPUTER SYSTEMS-THE INTERNATIONAL JOURNAL OF ESCIENCE</t>
  </si>
  <si>
    <t>Recommender system; Twitter; ANFIS; Fuzzy logic</t>
  </si>
  <si>
    <t>NETWORKS; TWITTER; ANFIS</t>
  </si>
  <si>
    <t>Twitter is a ubiquitous, socially engaging and a rapid communication medium. To filter the relevant information like news, hashtags, links, followers, retweets for better user experience recommender systems have been extensively used on Twitter. Uncertainty in user preference, fuzziness in the rating process and the imprecision associated with the voluminous and varied Twitter data are some of the difficulties associated which impede enhanced recommendations. This research put forwards an Adaptive Neuro-Fuzzy Inference System (ANFIS) based tweet recommender model to handle the uncertainty, impreciseness and vagueness in item features and user's behavior. The proposed hybrid content-based and collaborative filtering based recommended model learns the interests of source and target users to categorize tweets. The users are characterized as source user and target user to whom the tweet is to be recommended. The interests of the source and target user are extracted and the correlation between user interests is established which along with the category of the target tweet are then used to build the neuro-fuzzy model. The results show that the proposed model predicts the recommendation score correctly most of the time with the satisfactory Root Mean Square Error (RMSE) value indicating the fitness of the designed ANFIS model. (c) 2020 Elsevier B.V. All rights reserved.</t>
  </si>
  <si>
    <t>[Jain, Deepak Kumar] Chongqing Univ Posts &amp; Telecommun, Key Lab Intelligent Air Ground Cooperat Control U, Coll Automat, Chongqing, Peoples R China; [Kumar, Akshi; Sharma, Vibhuti] Delhi Technol Univ, Dept Comp Sci &amp; Engn, Delhi, India</t>
  </si>
  <si>
    <t>Chongqing University of Posts &amp; Telecommunications; Delhi Technological University</t>
  </si>
  <si>
    <t>Kumar, A (corresponding author), Delhi Technol Univ, Dept Comp Sci &amp; Engn, Delhi, India.</t>
  </si>
  <si>
    <t>deepak@cqupt.edu.cn; akshikumar@dce.ac.in; official1101@gmail.com</t>
  </si>
  <si>
    <t>Kumar, Akshi/Y-9314-2019</t>
  </si>
  <si>
    <t>Kumar, Akshi/0000-0003-4263-7168</t>
  </si>
  <si>
    <t>0167-739X</t>
  </si>
  <si>
    <t>1872-7115</t>
  </si>
  <si>
    <t>FUTURE GENER COMP SY</t>
  </si>
  <si>
    <t>Futur. Gener. Comp. Syst.</t>
  </si>
  <si>
    <t>10.1016/j.future.2020.04.001</t>
  </si>
  <si>
    <t>NM0XK</t>
  </si>
  <si>
    <t>WOS:000567827900011</t>
  </si>
  <si>
    <t>ARTIFICIAL INTELLIGENCE TO THE RESCUE OF ELEARNING</t>
  </si>
  <si>
    <t>EDULEARN14: 6TH INTERNATIONAL CONFERENCE ON EDUCATION AND NEW LEARNING TECHNOLOGIES</t>
  </si>
  <si>
    <t>6th International Conference on Education and New Learning Technologies (EDULEARN)</t>
  </si>
  <si>
    <t>elearning; machine learning; social network; crowdsourcing; personal learning environment</t>
  </si>
  <si>
    <t>The use of technology to customize and personalize the eLearning process is one way to overcome a number of issues and difficulties associated with delivery and effectiveness of eLearning. The rise of massive open online courses or MOOCs attempted to address the mass education exodus that the advent of the World-Wide Web brought about. These were even more supported by a favourable international market and an escalation in information and communications technology in general. To address this unfavourable conjecture towards eLearning, a number of techniques will be investigated to explore their potential at adding value to what eLearning can offer. The techniques include CrowdSourcing (CS) as a concept that harnesses socially-mediated collaborations, playing a key role in such a scenario. The use of Personal Learning Environments (PLE) to bring together the different sources and techniques will also be investigated as a potential proof-of-concept environment. And finally, techniques from the Artificial Intelligence (AI) domain will be factored in as they will contribute to automatise the user-profiling process to adjust the content accordingly].</t>
  </si>
  <si>
    <t>978-84-617-0557-3</t>
  </si>
  <si>
    <t>BE0SP</t>
  </si>
  <si>
    <t>WOS:000366837207006</t>
  </si>
  <si>
    <t>Schoenherr, J; Martella, AM</t>
  </si>
  <si>
    <t>Schoenherr, Johanna; Martella, Amedee Marchand</t>
  </si>
  <si>
    <t>When choice matters: Effects on interest and performance across mathematical problem types</t>
  </si>
  <si>
    <t>Choice; Interest; Problem solving; Motivation; Mathematics</t>
  </si>
  <si>
    <t>INTRINSIC MOTIVATION; ACHIEVEMENT; PERSONALIZATION; STUDENTS; MODELS</t>
  </si>
  <si>
    <t>Background: Given the decline in students' interest in mathematics during secondary school, autonomy-supportive interventions such as choice may help counteract this trend. Aims: This study investigates the effects of within-context choice on task-specific interest and performance in solving problems with and without real-world connections (termed real-world and intra-mathematical problems, respectively). Sample: Participants were 132 ninth-and tenth-grade students who were randomly assigned to either a group with choice options (n = 49) or one of two no-choice groups with a fixed option (n = 42 and 41). Method: Participants first reported their individual interest in mathematics. They then rated their anticipatory task-specific interest after reading each real-world and intra-mathematical problem and selecting (choice condition) or receiving (no-choice condition) a task option. These ratings were made before solving each problem. Results: Task-specific interest was higher in the choice condition than in the no-choice conditions. These differences did not vary with students' individual interest in mathematics but did depend on problem type, with larger differences observed for intra-mathematical than for real-world problems. No differences between conditions were observed for problem-solving performance. Conclusions: Our findings suggest that within-context choice can support task-specific interest in secondary mathematics classrooms, particularly for intra-mathematical problems. They further indicate that choice effects may depend on problem type and available task options.</t>
  </si>
  <si>
    <t>[Schoenherr, Johanna] Osnabruck Univ, Inst Math, Albrechtstr 28a, D-49076 Osnabruck, Germany; [Martella, Amedee Marchand] Univ Georgia, Dept Educ Psychol, Aderhold Hall, Athens, GA USA</t>
  </si>
  <si>
    <t>University Osnabruck; University System of Georgia; University of Georgia</t>
  </si>
  <si>
    <t>Schoenherr, J (corresponding author), Osnabruck Univ, Inst Math, Albrechtstr 28a, D-49076 Osnabruck, Germany.</t>
  </si>
  <si>
    <t>johanna.schoenherr@uni-osnabrueck.de; amedee.martella@uga.edu</t>
  </si>
  <si>
    <t>1873-3263</t>
  </si>
  <si>
    <t>10.1016/j.learninstruc.2026.102452</t>
  </si>
  <si>
    <t>AUG 2026</t>
  </si>
  <si>
    <t>MN0NM</t>
  </si>
  <si>
    <t>WOS:001846128300001</t>
  </si>
  <si>
    <t>Mironov, VV</t>
  </si>
  <si>
    <t>Mironov, V. V.</t>
  </si>
  <si>
    <t>Scientometric Analysis of Subjective Interest of Participants in a Scientific Event to Reports Presented and the Event As a Whole</t>
  </si>
  <si>
    <t>SCIENTIFIC AND TECHNICAL INFORMATION PROCESSING</t>
  </si>
  <si>
    <t>new scientometric indexes; scientific interest; data processing; objective analysis of subjective data; scientific event efficiency; event grading</t>
  </si>
  <si>
    <t>The paper describes the creation of a new scientometric methodology for analyzing the subjective interest of direct participants in scientific events (conferences, symposia, forums, and others) in reports presented at them and in these events as a whole. The methodology corresponds to the methodology of the Hirsch citation index and, at the same time, introduces significant additions and changes to it. In particular, the methodology provides a quantitative measure of the it-is-interesting quality category. The average event interest is determined. Votes of interest in papers are calculated and used as the basis for drawing the event interest square. The length of a side of this square depicts the event interest index (I-index). I-indices are used as the basis for proposing an event-grading methodology (or logic). This methodology forms categories of quality, such as excellent, good, average, and poor. The theory is embodied in the INTERES software suite. This suite makes real-time calculations of various numerical indicators of the event itself and its participants. The winners of the event in the author's interest category are invited by representatives of scientific journals to publish reports in the form of scientific articles.</t>
  </si>
  <si>
    <t>[Mironov, V. V.] Ryazan State Radio Engn Univ, Ryazan 390005, Russia; [Mironov, V. V.] Lab Syst Anal, Ryazan, Russia; [Mironov, V. V.] Foton Res Inst, Ryazan 390005, Russia</t>
  </si>
  <si>
    <t>Mironov, VV (corresponding author), Ryazan State Radio Engn Univ, Ryazan 390005, Russia.;Mironov, VV (corresponding author), Lab Syst Anal, Ryazan, Russia.;Mironov, VV (corresponding author), Foton Res Inst, Ryazan 390005, Russia.</t>
  </si>
  <si>
    <t>mironov1vv@mail.ru</t>
  </si>
  <si>
    <t>/V-7785-2017</t>
  </si>
  <si>
    <t>We deeply thank Kristina Valentinovna Mironova, a Candidate in Engineering and a senior expert at a top IT company, for useful advice in problem-solving and for viewing and analyzing the extensive online information on the issue in question</t>
  </si>
  <si>
    <t>PLEIADES PUBLISHING LTD</t>
  </si>
  <si>
    <t>TORTOLA</t>
  </si>
  <si>
    <t>TROPIC ISLE BLDG, PO BOX 3331. ROAD TOWN, TORTOLA, BRITISH VIRGIN ISL</t>
  </si>
  <si>
    <t>0147-6882</t>
  </si>
  <si>
    <t>1934-8118</t>
  </si>
  <si>
    <t>SCI TECH INF PROCESS</t>
  </si>
  <si>
    <t>Sci. Tech. Inf. Process.</t>
  </si>
  <si>
    <t>10.3103/S0147688224700047</t>
  </si>
  <si>
    <t>C6D2J</t>
  </si>
  <si>
    <t>WOS:001290247200009</t>
  </si>
  <si>
    <t>Zhu, WQ</t>
  </si>
  <si>
    <t>Zhu, Wenqiang</t>
  </si>
  <si>
    <t>Topic recommendation system using personalized fuzzy logic interest set</t>
  </si>
  <si>
    <t>Personalized fuzzy logic; interest model; recommendation of interest resources; collaborative recommendation</t>
  </si>
  <si>
    <t>First, the recommendation system and its advantages are introduced in detail, and based on the characteristics of the intelligent topic logical interest set resource and user behavior in the existing intelligent topic logical interest set resource platform, a personalized fuzzy logic model of the intelligent topic logical interest set resource is established and adapted to it. The personalized fuzzy logic user personalized fuzzy logic interest model of personalized fuzzy logic is designed, and the user personalized fuzzy logic interest transfer method is designed to simulate the user learning process. Secondly, on the basis of the established model, according to the idea of collaborative filtering, the personalized fuzzy logic user's personalized fuzzy logic interest value and the user's rating of resources are respectively predicted, and the two prediction results are combined to recommend resources to the user. Finally, the ontology is applied to user interest description, and a method based on personalized fuzzy logic user rough interest vector and nearest neighbor concept aggregation is proposed to find fine-grained user interest and recommend interest resources. Experimental tests show that this method can better describe the composition and development of user interests, making the recommendation effect of interest resources for specific users more accurate and reliable. The problem of collaborative recommendation in personalized fuzzy logic systems is further studied, the basic principles and typical technologies of collaborative recommendation are analyzed, and the collaborative recommendation method based on users with similar interests and the collaborative recommendation method based on weighted association rules are proposed.</t>
  </si>
  <si>
    <t>[Zhu, Wenqiang] Jiangxi Univ Finance &amp; Econ, Sch Software &amp; Internet Things Engn, Nanchang, Jiangxi, Peoples R China</t>
  </si>
  <si>
    <t>Zhu, WQ (corresponding author), Jiangxi Univ Finance &amp; Econ, Sch Software &amp; Internet Things Engn, Nanchang, Jiangxi, Peoples R China.</t>
  </si>
  <si>
    <t>stbrook@yeah.net</t>
  </si>
  <si>
    <t>National Natural Science Foundation of China [71662014, 61602219, 71861013]</t>
  </si>
  <si>
    <t>Supported by the National Natural Science Foundation of China (Grant No. 71662014, 61602219, 71861013).</t>
  </si>
  <si>
    <t>10.3233/JIFS-189329</t>
  </si>
  <si>
    <t>QH1ZP</t>
  </si>
  <si>
    <t>WOS:000618076700100</t>
  </si>
  <si>
    <t>Thorson, K; Cotter, K; Medeiros, M; Pak, C</t>
  </si>
  <si>
    <t>Thorson, Kjerstin; Cotter, Kelley; Medeiros, Mel; Pak, Chankyung</t>
  </si>
  <si>
    <t>Algorithmic inference, political interest, and exposure to news and politics on Facebook</t>
  </si>
  <si>
    <t>INFORMATION COMMUNICATION &amp; SOCIETY</t>
  </si>
  <si>
    <t>Social media; political communication; customization; algorithmic inference; political exposure</t>
  </si>
  <si>
    <t>SELECTIVE EXPOSURE; MEDIA EXPOSURE; ECHO CHAMBERS; SOCIAL MEDIA</t>
  </si>
  <si>
    <t>The visibility of news and politics in a Facebook newsfeed depends on the actions of a diverse set of actors: users, their friends, content publishers such as news organizations, advertisers, and algorithms. The focus of this paper is on untangling the role of this last actor from the others. We ask, how does Facebook algorithmically infer what users are interested in, and how do interest inferences shape news exposure? We weave together survey data and interest categorization data from participants' Facebook accounts to audit the algorithmic interest classification system on Facebook. These data allow us to model the role of algorithmic inference in shaping content exposure. We show that algorithmic sorting out' of users has consequences for who is exposed to news and politics on Facebook. People who are algorithmically categorized as interested in news or politics are more likely to attract this kind of content into their feeds - above and beyond their self-reported interest in civic content.</t>
  </si>
  <si>
    <t>[Thorson, Kjerstin; Cotter, Kelley; Medeiros, Mel] Michigan State Univ, Coll Commun Arts &amp; Sci, E Lansing, MI 48824 USA; [Pak, Chankyung] Univ Amsterdam, Amsterdam Sch Commun Res, Amsterdam, Netherlands</t>
  </si>
  <si>
    <t>Michigan State University; University of Amsterdam</t>
  </si>
  <si>
    <t>Thorson, K (corresponding author), Michigan State Univ, Coll Commun Arts &amp; Sci, E Lansing, MI 48824 USA.</t>
  </si>
  <si>
    <t>thorsonk@msu.edu</t>
  </si>
  <si>
    <t>Medeiros, Mel/0000-0002-0910-5672; Cotter, Kelley/0000-0003-1243-0131; Pak, Chankyung/0000-0003-4348-6939</t>
  </si>
  <si>
    <t>1369-118X</t>
  </si>
  <si>
    <t>1468-4462</t>
  </si>
  <si>
    <t>INFORM COMMUN SOC</t>
  </si>
  <si>
    <t>Info. Commun. Soc.</t>
  </si>
  <si>
    <t>10.1080/1369118X.2019.1642934</t>
  </si>
  <si>
    <t>JUL 2019</t>
  </si>
  <si>
    <t>Communication; Sociology</t>
  </si>
  <si>
    <t>SW5XP</t>
  </si>
  <si>
    <t>Y</t>
  </si>
  <si>
    <t>N</t>
  </si>
  <si>
    <t>WOS:000477630400001</t>
  </si>
  <si>
    <t>Han, ZY; Chen, XT; Miao, KP; Wang, XX; Li, QL</t>
  </si>
  <si>
    <t>Han, Zhongya; Chen, Xiangtang; Miao, Kepao; Wang, Xiaoxiang; Li, Qinlin</t>
  </si>
  <si>
    <t>Predicting product information diffusion for sustainable quality management in industry 4.0: an improved Bass model approach</t>
  </si>
  <si>
    <t>Industry 4.0; Product information diffusion; The interest decay effect; Improved bass model</t>
  </si>
  <si>
    <t>POPULARITY PREDICTION; NEWS; BEHAVIOR; PRICE</t>
  </si>
  <si>
    <t>In the era of Industry 4.0, accurately predicting the popularity of product information is vital for optimizing marketing strategies and supporting sustainable business growth. Although the classical Bass model has been widely used in diffusion research, it overlooks two critical aspects of modern digital environments: the heterogeneity in user decision-making and the temporal decay of user interest. To address these limitations, we propose an enhanced Bass model that integrates a two-phase diffusion framework. This model accounts for user conversion across heterogeneous information sources and incorporates an interest decay mechanism by relaxing the assumption of constant influence coefficients. We validate the model using movie trailer data from the Weibo platform. The results show that our model significantly outperforms the classical Bass model as well as its power-function and exponential-function variants in predicting information popularity. Further analysis reveals that both internal and external influences decay over time, with internal diffusion also shaped by social pressure. These findings offer valuable insights for improving data-driven diffusion models and enhancing digital marketing effectiveness. Future research may explore model applicability across different product categories and social media platforms.</t>
  </si>
  <si>
    <t>[Han, Zhongya; Chen, Xiangtang; Miao, Kepao; Wang, Xiaoxiang; Li, Qinlin] Wenzhou Univ Technol, Sch Econ &amp; Management, Wenzhou 325035, Peoples R China</t>
  </si>
  <si>
    <t>Wenzhou University of Technology</t>
  </si>
  <si>
    <t>Chen, XT (corresponding author), Wenzhou Univ Technol, Sch Econ &amp; Management, Wenzhou 325035, Peoples R China.</t>
  </si>
  <si>
    <t>Chengxiangtang@wzut.edu.cn</t>
  </si>
  <si>
    <t>Major Humanities and Social Sciences Research Project in Zhejiang higher education institutions [2024QN058]; Zhejiang Provincial Educational Science Planning Research Project [GH2024813]; Wenzhou University of Technology [ky202315]</t>
  </si>
  <si>
    <t>Major Humanities and Social Sciences Research Project in Zhejiang higher education institutions; Zhejiang Provincial Educational Science Planning Research Project; Wenzhou University of Technology</t>
  </si>
  <si>
    <t>This research was supported by Major Humanities and Social Sciences Research Project in Zhejiang higher education institutions, Grant No. 2024QN058; Zhejiang Provincial Educational Science Planning Research Project, Grant No. GH2024813; Wenzhou University of Technology, Grant No. ky202315.</t>
  </si>
  <si>
    <t>10.1038/s41598-025-09129-1</t>
  </si>
  <si>
    <t>5BI0B</t>
  </si>
  <si>
    <t>WOS:001531607500002</t>
  </si>
  <si>
    <t>Gu, XT; Yang, H; Tang, J; Zhang, J; Zhang, FJ; Liu, DB; Hall, W; Fu, X</t>
  </si>
  <si>
    <t>Gu, Xiaotao; Yang, Hong; Tang, Jie; Zhang, Jing; Zhang, Fanjin; Liu, Debing; Hall, Wendy; Fu, Xiao</t>
  </si>
  <si>
    <t>Profiling Web users using big data</t>
  </si>
  <si>
    <t>Information extraction; Factor graph model; User profiling; Big data</t>
  </si>
  <si>
    <t>Profiling Web users is a fundamental issue for Web mining and social network analysis. Its basic tasks include extracting basic information, mining user preferences, and inferring user demographics (Tang et al. in ACM Trans Knowl Discov Data 5(1):2:1-2:44, 2010). Although methodologies for handling the three tasks are different, they all usually contain two stages: first identify relevant pages (data) of a user and then use machine learning models (e.g., SVM, CRFs, or DL) to extract/mine/infer profile attributes from each page. The methods were successful in the traditional Web, but are facing more and more challenges with the rapid evolution of the Web each persons information is distributed over the Web and is changing dynamically. As a result, available data for a user on the Web is redundant, and some sources may be out-of-date or incorrect. The traditional two-stage method suffers from data inconsistency and error propagation between the two stages. In this paper, we revisit the problem of Web user profiling in the big data era and propose a simple but very effective approach, referred to as MagicFG, for profiling Web users by leveraging the power of big data. To avoid error propagation, the approach processes all the extracting/mining/inferring subtasks in one unified framework. To improve the profiling performance, we present the concept of contextual credibility. The proposed framework also supports the incorporation of human knowledge. It defines human knowledge as Markov logics statements and formalizes them into a factor graph model. The MagicFG method has been deployed in an online system AMiner.org for profiling millions of researchers-e.g., extracting E-mail, inferring Gender, and mining research interests. Our empirical study in the real system shows that the proposed method offers significantly improved (+4-6%; p &lt;&lt; 0.01, t test) profiling performance in comparison with several baseline methods using rules, classification, and sequential labeling.</t>
  </si>
  <si>
    <t>[Gu, Xiaotao; Yang, Hong; Tang, Jie; Zhang, Fanjin; Liu, Debing] Tsinghua Univ, Dept Comp Sci, Beijing, Peoples R China; [Zhang, Jing] Renmin Univ, Dept Comp Sci, Beijing, Peoples R China; [Hall, Wendy] Huawei Technol Co Ltd, Shenzhen, Peoples R China; [Fu, Xiao] Univ Southampton, Elect &amp; Comp Sci, Southampton, Hants, England</t>
  </si>
  <si>
    <t>Tsinghua University; Renmin University of China; Huawei Technologies; University of Southampton</t>
  </si>
  <si>
    <t>Tang, J (corresponding author), Tsinghua Univ, Dept Comp Sci, Beijing, Peoples R China.</t>
  </si>
  <si>
    <t>gxt13@mails.tsinghua.edu.cn; yangh13@mails.tsinghua.edu.cn; jietang@tsinghua.edu.cn; zhang-jing@ruc.edu.cn; zfjsail@smail.nju.edu.cn; debingliu@tsinghua.edu.cn; wh@ecs.soton.ac.uk; xiao.fu@huawei.com</t>
  </si>
  <si>
    <t>Hall, Wendy/0000-0003-4327-7811</t>
  </si>
  <si>
    <t>National Basic Research Program of China [2014CB340506]; National Natural Science Foundation of China [61631013, 61561130160]; MSRA; Royal Society-Newton Advanced Fellowship Award</t>
  </si>
  <si>
    <t>National Basic Research Program of China(National Basic Research Program of China); National Natural Science Foundation of China(National Natural Science Foundation of China (NSFC)); MSRA; Royal Society-Newton Advanced Fellowship Award(Royal Society UK)</t>
  </si>
  <si>
    <t>The work is supported by the National Basic Research Program of China (2014CB340506), National Natural Science Foundation of China (61631013, 61561130160), a research fund supported by MSRA, and the Royal Society-Newton Advanced Fellowship Award.</t>
  </si>
  <si>
    <t>MAR 22</t>
  </si>
  <si>
    <t>10.1007/s13278-018-0495-0</t>
  </si>
  <si>
    <t>GA2TE</t>
  </si>
  <si>
    <t>WOS:000428177100002</t>
  </si>
  <si>
    <t>Sun, H</t>
  </si>
  <si>
    <t>Sun, Hui</t>
  </si>
  <si>
    <t>Research on interest reading recommendation method of intelligent library based on big data technology</t>
  </si>
  <si>
    <t>WEB INTELLIGENCE</t>
  </si>
  <si>
    <t>Big data technology; intelligent library; interest reading recommendation; data mining</t>
  </si>
  <si>
    <t>In order to overcome the problems of inaccurate recommendation results and high response delay existing in traditional recommendation methods, this paper proposes an interest reading recommendation method based on big data technology for intelligent library. Build the recommendation platform of intelligent library, design the cataloging subsystem, book category setting subsystem, new book storage subsystem and new journal storage subsystem. Through big data processing technology, users' reading interest in each subsystem is clustered and fully mined. Based on the results of reading interest mining, the user interest model is established according to the semantic topic and the updating scheme of user interest model is designed. Combined with the user's score, we recommend the reading target which accords with the user's reading interest to the user. The experimental results show that compared with the traditional recommendation method, the proposed method can achieve high-precision reading recommendation with low response delay, and the minimum delay is only 0.019.</t>
  </si>
  <si>
    <t>[Sun, Hui] Lib Changchun Normal Univ, Changchun 130032, Peoples R China</t>
  </si>
  <si>
    <t>Sun, H (corresponding author), Lib Changchun Normal Univ, Changchun 130032, Peoples R China.</t>
  </si>
  <si>
    <t>fengqinsun@21cn.com</t>
  </si>
  <si>
    <t>Jilin Provincial Education Department Foundation [JJKH20170668SK]</t>
  </si>
  <si>
    <t>Jilin Provincial Education Department Foundation</t>
  </si>
  <si>
    <t>This work was supported by Jilin Provincial Education Department Foundation under grant no. 'JJKH20170668SK'. The Project name is 'Research on Library Disciplinary Service Strategy in Big Data Environment'</t>
  </si>
  <si>
    <t>2405-6456</t>
  </si>
  <si>
    <t>2405-6464</t>
  </si>
  <si>
    <t>WEB INTELL</t>
  </si>
  <si>
    <t>Web Intell.</t>
  </si>
  <si>
    <t>10.3233/WEB-200434</t>
  </si>
  <si>
    <t>MA2KY</t>
  </si>
  <si>
    <t>WOS:000541746700004</t>
  </si>
  <si>
    <t>Wu, ZH; Chen, YF; Zhang, J</t>
  </si>
  <si>
    <t>Wu Zenghong; Chen Yufen; Zhang Jun</t>
  </si>
  <si>
    <t>Personalized Map Service User Interest Acquisition Based on Browse Behavior</t>
  </si>
  <si>
    <t>2012 INTERNATIONAL CONFERENCE ON CONTROL ENGINEERING AND COMMUNICATION TECHNOLOGY (ICCECT 2012)</t>
  </si>
  <si>
    <t>International Conference on Control Engineering and Communication Technology (ICCECT)</t>
  </si>
  <si>
    <t>DEC 07-09, 2012</t>
  </si>
  <si>
    <t>personalized map service; domain ontology; browse behavior; user experiment; interest mining algorithm</t>
  </si>
  <si>
    <t>Browse behavior indicates users' real intention and interest, behavior analysis is an effective way to acquire knowledge of templates and adaptive rules for personalized map service. In this paper, an experiment for single user was introduced, which was carried out in a personalized map service prototype system. Then, an algorithm for user interest mining based on browse behavior was presented, according to which user's browse behavior log in database was analyzed, the interest vector and the corresponding interestingness were obtained, which were important knowledge for personalized navigation and recommendation in web map service.</t>
  </si>
  <si>
    <t>[Wu Zenghong] Mil Transportat Univ, Tianjin, Peoples R China; [Chen Yufen] Zhengzhou Inst Surveying &amp; Mapping, Zhengzhou, Peoples R China; [Zhang Jun] MOT, 1 Flying Serv Beihai, Yantai, Peoples R China</t>
  </si>
  <si>
    <t>Engineering University of the Joint Logistics Support Force, PLA; PLA Information Engineering University</t>
  </si>
  <si>
    <t>Wu, ZH (corresponding author), Mil Transportat Univ, Tianjin, Peoples R China.</t>
  </si>
  <si>
    <t>wzh_81@163.com; cyfbeijing@163.com; jun_zh@163.com</t>
  </si>
  <si>
    <t>978-1-4673-4499-9; 978-0-7695-4881-4</t>
  </si>
  <si>
    <t>10.1109/ICCECT.2012.225</t>
  </si>
  <si>
    <t>Automation &amp; Control Systems; Operations Research &amp; Management Science</t>
  </si>
  <si>
    <t>BEF33</t>
  </si>
  <si>
    <t>WOS:000316387300221</t>
  </si>
  <si>
    <t>Padia, P; Lim, KH; Chan, J; Harwood, A</t>
  </si>
  <si>
    <t>Baru, C; Huan, J; Khan, L; Hu, XH; Ak, R; Tian, Y; Barga, R; Zaniolo, C; Lee, K; Ye, YF</t>
  </si>
  <si>
    <t>Padia, Prarthana; Lim, Kwan Hui; Chan, Jeffrey; Harwood, Aaron</t>
  </si>
  <si>
    <t>Sentiment-Aware and Personalized Tour Recommendation</t>
  </si>
  <si>
    <t>2019 IEEE INTERNATIONAL CONFERENCE ON BIG DATA (BIG DATA)</t>
  </si>
  <si>
    <t>DEC 09-12, 2019</t>
  </si>
  <si>
    <t>IEEE Comp Soc,IEEE,Baidu,Very,Ankura</t>
  </si>
  <si>
    <t>Tour Recommendations; Trip Planning; Recommendation Systems; Personalization; Sentiment Analysis</t>
  </si>
  <si>
    <t>ORIENTEERING PROBLEM; SYSTEM</t>
  </si>
  <si>
    <t>Itinerary planning is one of the most important tasks in tourism. A well-planned itinerary enhances the tourist experience and their visit satisfaction in new cities. However, the task of planning personalized tour itineraries is complicated by tourists with different interest preferences. Furthermore, there is an added complexity of recommending an itinerary with discrete budget, time and cost. Due to an increase in web-technologies and online geo-location services, there is emerging research targeting itinerary recommendation based on each tourist's interest, preferences and trip constraints. While several research works consider tourist interest, they adopt a simple measure based on the number of times a tourist has visited a place or the number of photos taken by the tourist at a place. Our research proposes an improved sentiment-aware personalized tour planner that considers each tourist's interests based on his/her sentiments on specific categories relative to his/her overall preferences. Unlike the previous approaches that do not consider the actual opinion based preferences, our proposed approach determines user interests based on their sentiments associated with their written text about a place of their visit. This interest measure is based on the intuition that users are more likely to post favorable comments about places they like. Using a dataset from Twitter, we compare our proposed algorithm against the baseline and experimental results show that our algorithm obtained superior performance in terms of tour precision, recall, Fl-score and overall popularity.</t>
  </si>
  <si>
    <t>[Padia, Prarthana; Harwood, Aaron] Univ Melbourne, Sch Comp &amp; Informat Syst, Melbourne, Vic, Australia; [Lim, Kwan Hui] Singapore Univ Technol &amp; Design, Informat Syst Technol &amp; Design Pillar, Singapore, Singapore; [Chan, Jeffrey] RMIT Univ, Sch Sci, Melbourne, Vic, Australia</t>
  </si>
  <si>
    <t>University of Melbourne; Singapore University of Technology &amp; Design; Royal Melbourne Institute of Technology (RMIT)</t>
  </si>
  <si>
    <t>Padia, P (corresponding author), Univ Melbourne, Sch Comp &amp; Informat Syst, Melbourne, Vic, Australia.</t>
  </si>
  <si>
    <t>ppadia@student.unimelb.edu.au; kwanhui_lim@sutd.edu.sg; jeffrey.chan@rmit.edu.au; aharwood@unimelb.edu.au</t>
  </si>
  <si>
    <t>Singapore University of Technology and Design [SRG-ISTD-2018-140, PIE-SGP-HC-2019-01]</t>
  </si>
  <si>
    <t>Singapore University of Technology and Design(Singapore University of Technology &amp; Design)</t>
  </si>
  <si>
    <t>This research is funded in part by the Singapore University of Technology and Design under grants SRG-ISTD-2018-140 and PIE-SGP-HC-2019-01.</t>
  </si>
  <si>
    <t>978-1-7281-0858-2</t>
  </si>
  <si>
    <t>10.1109/bigdata47090.2019.9006442</t>
  </si>
  <si>
    <t>BP4WK</t>
  </si>
  <si>
    <t>WOS:000554828700106</t>
  </si>
  <si>
    <t>Vijay, J; Sridhar, R</t>
  </si>
  <si>
    <t>Vijay, Jobi; Sridhar, Rajeswari</t>
  </si>
  <si>
    <t>EBV: Encoded Binary Vector for Efficient Information Retrieval, Query Processing and Recommendation for Travel and Tourism Domain EBV for Travel and Tourism Recommendation</t>
  </si>
  <si>
    <t>Information retrieval (IR); Encoded bit vector; Most significant bit (MSB); Least significant bit (LSB); Tripadvisor; Recommendation system</t>
  </si>
  <si>
    <t>SOCIAL MEDIA; SYSTEMS; REVIEWS</t>
  </si>
  <si>
    <t>The rise in business and electronic transactions using the web as a medium has driven the widespread use of recommendation systems across all domains. Recommendation systems generate suggestions for the travel and tourism industry, particularly hotels or services, centered on user interests and preferences. Relevant information collection, organization, processing vast quantities of string data, efficient data retrieval, and computational complexity in handling information overload are key issues to be addressed in a recommendation system. This work proposes a novel approach, using encoded bit vectors, to process information on hotel amenities and features extracted from Tripadvisor. Hotel amenities at different locations are organized and stored, based on the priority of the location, using the most significant bit and least significant bit. The amenities are prioritized dynamically thereafter, based on the location, and unique amenities accorded greater preference than the ones routinely offered at most hotels. Encoded bit vectors are utilized for information retrieval and precise hotel recommendations made, based on user interest rather than the string processing method that is ineffective where scalable data are concerned. Finally, the recommended hotels are ranked with user-centric personalized recommendations. These high-speed, efficient, and scalable algorithms are ideal for incrementally updating data. They also facilitate fast, flawless IR and query processing, along with appropriate hotel recommendations. The theoretical evaluation shows that the proposed method aids quick query processing and retrieval. The experimental assessment shows that hotels recommended by the proposed bit vector recommendation system have a higher accuracy on par with user and expert recommendations.</t>
  </si>
  <si>
    <t>[Vijay, Jobi] Anna Univ, Dept Comp Sci &amp; Engn, Chennai, Tamil Nadu, India; [Sridhar, Rajeswari] Natl Inst Technol, Dept Comp Sci &amp; Engn, Trichy, India</t>
  </si>
  <si>
    <t>Anna University; Anna University Chennai; National Institute of Technology (NIT System); National Institute of Technology Tiruchirappalli</t>
  </si>
  <si>
    <t>Vijay, J (corresponding author), Anna Univ, Dept Comp Sci &amp; Engn, Chennai, Tamil Nadu, India.</t>
  </si>
  <si>
    <t>jobivijay2010@gmail.com; srajeswari@nitt.edu</t>
  </si>
  <si>
    <t>Sridhar, Rajeswari/X-3210-2019</t>
  </si>
  <si>
    <t>10.1007/s13369-020-04982-w</t>
  </si>
  <si>
    <t>QE2KD</t>
  </si>
  <si>
    <t>WOS:000576783400004</t>
  </si>
  <si>
    <t>Anwaar, F; Iltaf, N; Afzal, H; Nawaz, R</t>
  </si>
  <si>
    <t>Anwaar, Fahad; Iltaf, Naima; Afzal, Hammad; Nawaz, Raheel</t>
  </si>
  <si>
    <t>HRS-CE: A hybrid framework to integrate content embeddings in recommender systems for cold start items</t>
  </si>
  <si>
    <t>Recommender system; Collaborative filtering; Word2vec; Cold start; User profile; Natural language processing</t>
  </si>
  <si>
    <t>Recommender systems (RSs) provide the personalized recommendations to users for specific items in a wide range of applications such as e-commerce, media recommendations and social networking applications. Collaborative Filtering (CF) and Content Based (CB) Filtering are two methods which have been employed in implementing the recommender systems. CF suffers from Cold Start (CS) problem where no rating records (Complete Cold Start CSS) or very few records (Incomplete Cold Start ICS) are available for newly coming users and items. The performance of CB methods relies on good feature extraction methods so that the item descriptions can be used to measure items similarity as well as for user profiling. This paper addresses the CS problem by providing a novel way of integrating content embeddings in CF. The proposed algorithm (HRS-CE) generates the user profiles that depict the type of content in which a particular user is interested. The word embedding model (Word2Vec) is used to produce distributed representation of items descriptions. The higher representation for an item description, obtained using content embeddings, are combined with similarity techniques to perform rating predictions. The proposed method is evaluated on two public benchmark datasets (MovieLens 100k and MovieLens 20M). The results demonstrate that the proposed model outperforms the state of the art recommender system models for CS items. (C) 2018 Elsevier B.V. All rights reserved.</t>
  </si>
  <si>
    <t>[Anwaar, Fahad; Iltaf, Naima; Afzal, Hammad] Natl Univ Sci &amp; Technol, Islamabad, Pakistan; [Nawaz, Raheel] Manchester Metropolitan Univ, Sch Comp Math &amp; Digital Technol, Manchester, Lancs, England</t>
  </si>
  <si>
    <t>National University of Sciences &amp; Technology - Pakistan; Manchester Metropolitan University</t>
  </si>
  <si>
    <t>Afzal, H (corresponding author), Natl Univ Sci &amp; Technol, Islamabad, Pakistan.</t>
  </si>
  <si>
    <t>fahadanwaar.mscs22@students.mcs.edu.pk; naima@mcs.edu.pk; hammad.afzal@mcs.edu.pk; r.nawaz@mmu.ac.uk</t>
  </si>
  <si>
    <t>Afzal, Hammad/R-6584-2018; Nawaz, Raheel/AAX-5293-2021</t>
  </si>
  <si>
    <t>Afzal, Hammad/0000-0001-9583-5585; Nawaz, Raheel/0000-0001-9588-0052</t>
  </si>
  <si>
    <t>10.1016/j.jocs.2018.09.008</t>
  </si>
  <si>
    <t>HD8NV</t>
  </si>
  <si>
    <t>WOS:000452814700002</t>
  </si>
  <si>
    <t>Anisotropic propagation of user interests in ontology-based user models</t>
  </si>
  <si>
    <t>User model; Ontology; Conceptual hierarchy; Propagation of interests</t>
  </si>
  <si>
    <t>This work contributes to the development of ontology-based user models, devised as overlays over conceptual hierarchies derived from domain ontologies. We tackle the problem of propagation of user interests in such a conceptual hierarchy. In addition to accounting for the hierarchical structure of the domain and the type and amount of feedback provided by the user, the principal contributions introduced in this work are: (i) horizontal propagation which enables propagation among siblings, in addition to vertical propagation among ancestors and descendants; (ii) anisotropic vertical propagation which permits user interests to be propagated differently upward and downward; (iii) con text-dependance which introduces the possibility to propagate differently according to various contexts for specific applications; (iv) support for dynamic ontology maintenance, i.e. preserving the user interest values when adding or removing a node from the conceptual hierarchy. Our approach supports finer recommendation modalities and contributes to the resolution of the cold start problem, since it allows for propagation from a small number of initial concepts to other related domain concepts by exploiting the conceptual hierarchy of the domain. A field evaluation confirmed the effectiveness of our approach w.r.t. the traditional vertical propagation. (c) 2013 Elsevier Inc. All rights reserved.</t>
  </si>
  <si>
    <t>[Cena, Federica; Likavec, Silvia; Osborne, Francesco] Univ Turin, Dipartimento Informat, I-10149 Turin, Italy</t>
  </si>
  <si>
    <t>Osborne, F (corresponding author), Univ Turin, Dipartimento Informat, Corso Svizzera 185, I-10149 Turin, Italy.</t>
  </si>
  <si>
    <t>NOV 20</t>
  </si>
  <si>
    <t>10.1016/j.ins.2013.07.006</t>
  </si>
  <si>
    <t>226MV</t>
  </si>
  <si>
    <t>WOS:000325041400003</t>
  </si>
  <si>
    <t>Kruse, B; Manning, JG; Schultz, G; Fraknoi, A</t>
  </si>
  <si>
    <t>Jensen, JB; Manning, JG; Gibbs, MG; Daon, D</t>
  </si>
  <si>
    <t>Kruse, Brian; Manning, James G.; Schultz, Greg; Fraknoi, Andrew</t>
  </si>
  <si>
    <t>What Would Galileo Do? An Update on the Galileo Teacher Training Program</t>
  </si>
  <si>
    <t>CONNECTING PEOPLE TO SCIENCE: A NATIONAL CONFERENCE ON SCIENCE EDUCATION AND PUBLIC OUTREACH</t>
  </si>
  <si>
    <t>Astronomical Society of the Pacific Conference Series</t>
  </si>
  <si>
    <t>123rd Annual Meeting of the Astronomical-Society-of-the-Pacific</t>
  </si>
  <si>
    <t>JUL 30-AUG 03, 2011</t>
  </si>
  <si>
    <t>Amer Geophys Union, Baltimore, MD</t>
  </si>
  <si>
    <t>Space Telescope Sci Inst,NASA Lunar Sci Inst,NASAs Explorat Program,Infrared Process &amp; Anal Ctr,NASAs Herschel Sci Ctr,Spitzer Sci Ctr,Stratospher Observ Infrared Astron,NASAs Chandra XRay Observ,Univ Chicago Press,Natl Radio Astron Observ,Ball Aerospace,Capitol Coll,Sky Skan,Univ Wyoming CAPER Team,Amer Astron Soc,AAS Educ Off,Solar Dynam Observ,Seiler Instrument,Explore Sci,Pratt St Ale House,MWT Assoc Inc,Amer Elements,Charlesbridge,Celestron</t>
  </si>
  <si>
    <t>Amer Geophys Union</t>
  </si>
  <si>
    <t>The Galileo Teacher Training Program (GTTP) is a heritage program of the International Year of Astronomy (IYA) and Beyond that provides professional development for teachers in grades 3-12. At the core of every GTTP workshop are activities inspired by Galileo's iconic observations, IYA and NASA resources and activities, activities related to fundamental concepts to assist teachers in meeting their curriculum goals, and the inclusion of resources adaptable for use in the classroom. GTTP actively utilizes a hands-on, inquiry based collaborative activity model of learning, modeling effective techniques for engaging student interest and promoting scientific literacy for both content and process. This article includes lessons learned from the pilot and following workshops and plans to take the concept forward in flexible and adaptive ways.</t>
  </si>
  <si>
    <t>[Kruse, Brian; Manning, James G.; Schultz, Greg; Fraknoi, Andrew] Astron Soc Pacific, San Francisco, CA 94066 USA</t>
  </si>
  <si>
    <t>Kruse, B (corresponding author), Astron Soc Pacific, 390 Ashton Ave, San Francisco, CA 94066 USA.</t>
  </si>
  <si>
    <t>ASTRONOMICAL SOC PACIFIC</t>
  </si>
  <si>
    <t>390 ASHTON AVE, SAN FRANCISCO, CA 94112 USA</t>
  </si>
  <si>
    <t>978-1-58381-796-4</t>
  </si>
  <si>
    <t>ASTR SOC P</t>
  </si>
  <si>
    <t>Astronomy &amp; Astrophysics</t>
  </si>
  <si>
    <t>BCC39</t>
  </si>
  <si>
    <t>WOS:000309700200026</t>
  </si>
  <si>
    <t>Beauvisage, T; Beuscart, JS; Coavoux, S; Mellet, K</t>
  </si>
  <si>
    <t>Beauvisage, Thomas; Beuscart, Jean-Samuel; Coavoux, Samuel; Mellet, Kevin</t>
  </si>
  <si>
    <t>How online advertising targets consumers: The uses of categories and algorithmic tools by audience planners</t>
  </si>
  <si>
    <t>NEW MEDIA &amp; SOCIETY</t>
  </si>
  <si>
    <t>Audience segments; big data; categorization; media planning; online advertising; social categories</t>
  </si>
  <si>
    <t>DATABASES; IDENTITY</t>
  </si>
  <si>
    <t>Recent innovations in online advertising facilitate the use of a wide variety of data sources to build micro-segments of consumers, and delegate the manufacture of audience segments to machine learning algorithms. Both techniques promise to replace demographic targeting, as part of a post-demographic turn driven by big data technologies. This article empirically investigates this transformation in online advertising. We show that targeting categories are assessed along three criteria: efficiency, communicability, and explainability. The relative importance of these objectives helps explain the lasting role of demographic categories, the development of audience segments specific to each advertiser, and the difficulty in generalizing interest categories associated with big data. These results underline the importance of studying the impact of advanced big data and AI technologies in their organizational and professional contexts of appropriation, and of paying attention to the permanence of the categorizations that make the social world intelligible.</t>
  </si>
  <si>
    <t>[Beauvisage, Thomas; Beuscart, Jean-Samuel; Coavoux, Samuel] Orange Labs SENSE, Lannion, France; [Mellet, Kevin] CSO Sci Po, Paris, France; [Mellet, Kevin] CSO Sci Po, 19 Rue Amelie, F-75007 Paris, France</t>
  </si>
  <si>
    <t>Orange SA</t>
  </si>
  <si>
    <t>Mellet, K (corresponding author), CSO Sci Po, 19 Rue Amelie, F-75007 Paris, France.</t>
  </si>
  <si>
    <t>kevin.mellet@sciencespo.fr</t>
  </si>
  <si>
    <t>; Coavoux, Samuel/AAV-5125-2021</t>
  </si>
  <si>
    <t>Beuscart, Jean-Samuel/0009-0000-3339-872X; Beauvisage, Thomas/0000-0003-3884-2345; Coavoux, Samuel/0000-0001-7991-3555; Mellet, Kevin/0000-0002-2200-0170</t>
  </si>
  <si>
    <t>French National Research Agency [ANR-15-CE38-0001]; Agence Nationale de la Recherche (ANR) [ANR-15-CE38-0001] Funding Source: Agence Nationale de la Recherche (ANR)</t>
  </si>
  <si>
    <t>French National Research Agency(Agence Nationale de la Recherche (ANR)); Agence Nationale de la Recherche (ANR)(Agence Nationale de la Recherche (ANR))</t>
  </si>
  <si>
    <t>The authors disclosed receipt of the following financial support for the research, authorship, and/or publication of this article: This research was carried out as part of the Algodiv research project (ANR-15-CE38-0001) funded by the French National Research Agency.</t>
  </si>
  <si>
    <t>1461-4448</t>
  </si>
  <si>
    <t>1461-7315</t>
  </si>
  <si>
    <t>NEW MEDIA SOC</t>
  </si>
  <si>
    <t>New Media Soc.</t>
  </si>
  <si>
    <t>10.1177/14614448221146174</t>
  </si>
  <si>
    <t>JAN 2023</t>
  </si>
  <si>
    <t>G4D0X</t>
  </si>
  <si>
    <t>WOS:000913109400001</t>
  </si>
  <si>
    <t>Campbel, LO; Hartshorne, R</t>
  </si>
  <si>
    <t>Personalised e-Learning</t>
  </si>
  <si>
    <t>PROCEEDINGS OF THE 12TH INTERNATIONAL CONFERENCE ON E-LEARNING (ICEL 2017)</t>
  </si>
  <si>
    <t>Proceedings of the International Conference on e-Learning</t>
  </si>
  <si>
    <t>12th International Conference on E-Learning (ICEL)</t>
  </si>
  <si>
    <t>JUN 01-02, 2017</t>
  </si>
  <si>
    <t>Univ Cent Florida, Coll Educ &amp; Human Performance, Morgridge Int Reading Ct, Orlando, FL</t>
  </si>
  <si>
    <t>Univ Cent Florida, Coll Educ &amp; Human Performance, Morgridge Int Reading Ct</t>
  </si>
  <si>
    <t>customisation; learner-profiling; artificial intelligence; crowdsourcing</t>
  </si>
  <si>
    <t>PARTICIPATION</t>
  </si>
  <si>
    <t>This paper reports on a case study whereby a novel,learning environment was employed and tested during an empirical study within a higher education institution. The proposed dynamic environment investigates the pedagogical effect of personalising e-learning through the combination of a number of techniques, user profiling, customisation and use of social networks. Each technique employed addresses a specific e-learning issue while strongly grounded within a distinctive learning theory. These three theories of learning bring together the three aspects of personal learning environments, portfolios and networks to form an interesting educational phenomenon that is worth investigating from an academic and pedagogical point of view. The case study reports how the empirical study was conducted including participant recruitment, data collection instruments employed, data analysis methods applied, and the full set of results extracted. A strong correlation between the techniques employed and the effectiveness of the proposed e-learning system was reported as the participants indicated an overwhelming bias towards the use of the dynamic environment especially as the learners' motivation increased over the period of the empirical study. The results also gave a positive indication towards an enhanced effectiveness of the dynamic e-learning environment as the combination of investigated variables have shed light on this intricate and multifaceted matter. The outcomes from this case study are not intended to simplify or curtail the complexities of e-learning; they have barely scratched the surface of an intricate concept that at face value helps and assists future researchers in investigating the evolution of this learning medium.</t>
  </si>
  <si>
    <t>matthew.montebello@um.edu.mt</t>
  </si>
  <si>
    <t>2048-8882</t>
  </si>
  <si>
    <t>978-1-911218-36-4</t>
  </si>
  <si>
    <t>PR INT CONF ELEARN</t>
  </si>
  <si>
    <t>BM4NY</t>
  </si>
  <si>
    <t>WOS:000463647100021</t>
  </si>
  <si>
    <t>Zhao, C; Zhao, M; Guan, Y</t>
  </si>
  <si>
    <t>Gottumukkala, R; Ning, X; Dong, G; Raghavan, V; Aluru, S; Karypis, G; Miele, L; Wu, X</t>
  </si>
  <si>
    <t>Zhao, Chao; Zhao, Min; Guan, Yi</t>
  </si>
  <si>
    <t>Constructing a Hierarchical User Interest Structure based on User Profiles</t>
  </si>
  <si>
    <t>2017 17TH IEEE INTERNATIONAL CONFERENCE ON DATA MINING WORKSHOPS (ICDMW 2017)</t>
  </si>
  <si>
    <t>17th IEEE International Conference on Data Mining (ICDMW)</t>
  </si>
  <si>
    <t>NOV 18-21, 2017</t>
  </si>
  <si>
    <t>New Orleans, LA</t>
  </si>
  <si>
    <t>IEEE,IEEE Comp Soc,Cisco Syst,Citigroup Inc,Natl Sci Fdn</t>
  </si>
  <si>
    <t>The interests of individual Internet users fall into a hierarchical structure which is useful in regards to building personalized searches and recommendations. Most studies on this subject construct the interest hierarchy of a single person from the document perspective. In this study, we constructed the user interest hierarchy via user profiles. We organized 433,397 user interests, referred to here as attentions, into a user attention network (UAN) from 200 million user profiles; we then applied the Louvain algorithm to detect hierarchical clusters in these attentions. Finally, a 26-level hierarchy with 34,676 clusters were obtained. We found that these attention clusters were aggregated according to certain topics as opposed to the hyponymy-relation based conceptual ontologies. The topics can be entities or concepts, and the relations were not restrained by hyponymy. The concept relativity encapsulated in the user's interest can be captured by labeling the attention clusters with corresponding concepts.</t>
  </si>
  <si>
    <t>[Zhao, Chao; Guan, Yi] Harbin Inst Technol, Sch Comp Sci &amp; Technol, Harbin, Heilongjiang, Peoples R China; [Zhao, Min] Baidu Inc, Beijing, Peoples R China</t>
  </si>
  <si>
    <t>Harbin Institute of Technology; Baidu</t>
  </si>
  <si>
    <t>Zhao, C (corresponding author), Harbin Inst Technol, Sch Comp Sci &amp; Technol, Harbin, Heilongjiang, Peoples R China.</t>
  </si>
  <si>
    <t>zhaochaocs@gmail.com; zhaomin@baidu.com; guanyi@hit.edu.cn</t>
  </si>
  <si>
    <t>Zhao, Chao/HKF-4437-2023; Guan, Yi/F-2947-2019</t>
  </si>
  <si>
    <t>978-1-5386-3800-2</t>
  </si>
  <si>
    <t>10.1109/ICDMW.2017.26</t>
  </si>
  <si>
    <t>BJ5EP</t>
  </si>
  <si>
    <t>WOS:000425845700020</t>
  </si>
  <si>
    <t>Kilari, VT; Xue, GL; Li, LJ</t>
  </si>
  <si>
    <t>Kilari, Vishnu Teja; Xue, Guoliang; Li, Lingjun</t>
  </si>
  <si>
    <t>Host Based Detection of Advanced MiniDuke Style Bots in Smartphones through User Profiling</t>
  </si>
  <si>
    <t>2015 IEEE GLOBAL COMMUNICATIONS CONFERENCE (GLOBECOM)</t>
  </si>
  <si>
    <t>DEC 06-10, 2015</t>
  </si>
  <si>
    <t>IEEE,QUALCOMM,Keysight Technologies,Huawei,Natl Instruments,Intel,InterDigital,LG Elect,IEEE Big Data,IEEE Stand Assoc,ViaSat,IEEE Commun Soc</t>
  </si>
  <si>
    <t>botnets; host based detection; smartphones</t>
  </si>
  <si>
    <t>One of the latest trends of realizing innovative Command and Control (C&amp;C) channels involves leveraging Online Social Networks (OSNs) as a C&amp;C channel. The number of botnets targeting the smartphones and the sophistication of those botnets have progressively increased. Due to their mobility, smartphones connect to a variety of networks which makes it harder for network-centric detection of botnets in smartphones. This paper approaches the problem of detecting bot traffic from a hostbased detection perspective. In this paper, we first propose an innovative C&amp;C that leverages public information in OSNs combined with a Username Generation Algorithm. We then propose a new system to detect the bots that leverage the above mentioned type of C&amp;C channel. Our insight is that the user generated web traffic on the smartphones will be significantly different from the requests made by the bots that leverage OSNs as C&amp;C channel. Our approach involves building a profile of the smartphone user based on his web usage and then comparing that profile to subsequent usage to detect anomalous behavior. The Preprocessing phase clusters the web usage based on domains and extracts relevant features. In the next step, we use classification algorithm to build the user profile and assign a score of mismatch to the domains compared to the user behavior. If the score crosses a threshold, then the traffic to that domain is perceived to be different from normal user traffic to that domain and the user will be notified. Based on his response, the model will be updated to incorporate the change into it. We implemented a prototype bot and detection system and evaluated it on real-world user traffic. Our system reports an accuracy of 76%, with false positive rate of less than 1%.</t>
  </si>
  <si>
    <t>[Kilari, Vishnu Teja; Xue, Guoliang; Li, Lingjun] Arizona State Univ, Tempe, AZ 85287 USA</t>
  </si>
  <si>
    <t>Kilari, VT (corresponding author), Arizona State Univ, Tempe, AZ 85287 USA.</t>
  </si>
  <si>
    <t>vkilari@asu.edu; xue@asu.edu; lingjunl@asu.edu</t>
  </si>
  <si>
    <t>978-1-4799-5952-5</t>
  </si>
  <si>
    <t>10.1109/GLOCOM.2015.7417011</t>
  </si>
  <si>
    <t>BF5OL</t>
  </si>
  <si>
    <t>WOS:000382389300072</t>
  </si>
  <si>
    <t>Yalcin, H</t>
  </si>
  <si>
    <t>Yalcin, Hulya</t>
  </si>
  <si>
    <t>Extracting User Profiles From Mobile Data</t>
  </si>
  <si>
    <t>2017 IEEE INTERNATIONAL BLACK SEA CONFERENCE ON COMMUNICATIONS AND NETWORKING (BLACKSEACOM)</t>
  </si>
  <si>
    <t>International Black Sea Conference on Communications and Networking</t>
  </si>
  <si>
    <t>5th IEEE International Black Sea Conference on Communications and Networking (IEEE BlackSeaCom)</t>
  </si>
  <si>
    <t>JUN 05-08, 2017</t>
  </si>
  <si>
    <t>User profiles; mobile data; mobile apps; probabilistic model</t>
  </si>
  <si>
    <t>As smartphones have been increasingly adopted by mobile phone users, the applications market for mobile operating systems also developed into a giant market for advertising business. Smartphone companies allow third parties to develop apps to provide different services to users and third party app developers publish these applications in app markets relevant to the mobile operating system. Users download from a range of app categories including games, productivity, education, social networking, etc. Processing smartphone data is very appealing, since app usage on a mobile phone indicates important clues about the lifestyle and interests of the user. Although processing the data collected from smartphones is very attractive, usually the data is not available to the research community. Usually governmental organizations impose regulations on the telecommunications companies as far as the disclosure of the data collected by these companies. The data to be serviced publicly has to be organized such that it is anonymized and the identity of the customers cannot be tracked. In this paper, we propose a probabilistic model to predict the user profile of a customer, namely gender and age, based on usage behaviors of mobile applications, phone brand and model. The probabilistic model infers these demographics from the statistical characteristics profiled from a huge pool of information hidden in a dataset provided by TalkingData company. Building the probabilistic model on this dataset is a more practicable user profiling method, since it can be used to deliver personalized services without posing privacy risks to the users and it eliminates the necessity for continuously tracking users' online activities or smartphone usage and maintaining historical records. Our experimental results indicate that promising information can be tracked down through the proposed approach, especially information about user tendencies which are of crucial importance to the targeted advertisement.</t>
  </si>
  <si>
    <t>[Yalcin, Hulya] Istanbul Tech Univ, Elect &amp; Telecommun Engn Dept, Visual Intelligence Lab, Istanbul, Turkey</t>
  </si>
  <si>
    <t>Istanbul Technical University</t>
  </si>
  <si>
    <t>Yalcin, H (corresponding author), Istanbul Tech Univ, Elect &amp; Telecommun Engn Dept, Visual Intelligence Lab, Istanbul, Turkey.</t>
  </si>
  <si>
    <t>hulyayalcin@itu.edu.tr</t>
  </si>
  <si>
    <t>PEKER, HÜLYA/NRY-6765-2025</t>
  </si>
  <si>
    <t>Istanbul Technical University Scientific Research Fund [39412, 36109]</t>
  </si>
  <si>
    <t>Istanbul Technical University Scientific Research Fund(Istanbul Technical University)</t>
  </si>
  <si>
    <t>This work is funded by the grants of Istanbul Technical University Scientific Research Fund (project numbers 39412 and 36109).</t>
  </si>
  <si>
    <t>2375-8236</t>
  </si>
  <si>
    <t>978-1-5090-5049-9</t>
  </si>
  <si>
    <t>INT BLACK SEA CONF</t>
  </si>
  <si>
    <t>BJ8AP</t>
  </si>
  <si>
    <t>WOS:000427892400045</t>
  </si>
  <si>
    <t>BAYLON, GJD; CHUNG, F</t>
  </si>
  <si>
    <t>THE CONTINUING MEDICAL-EDUCATION NEEDS OF ANESTHETISTS</t>
  </si>
  <si>
    <t>CANADIAN JOURNAL OF ANAESTHESIA-JOURNAL CANADIEN D ANESTHESIE</t>
  </si>
  <si>
    <t>EDUCATION, CONTINUING</t>
  </si>
  <si>
    <t>REHABILITATION</t>
  </si>
  <si>
    <t>Learning needs assessment is the term applied to the process of identifying or diagnosing a learner's educational needs. It is the foundation of a systematic continuing medical education (CME) programme. Needs assessment has been identified as the most pressing problem of medical education directors in North America. Furthermore, the CME learning needs, interests or motivations of anaesthetists have never been studied. The amount of time and effort required for needs assessment is probably a major deterrent to this activity. The investigators adopted simple and straightforward means of assessing the perceived learning needs  and topic interests of anaesthetists. Questionnaires were sent by mail to anaesthetists practicing in teaching and non-teaching hospitals in the Toronto area. The questionnaire presented a list of CME content areas. The respondents were asked to indicate on scale of 1 to 10 their Current Expertise, Ideal-Desired Expertise, and Interest-Motivation levels for each content area. Need Score for each content area was calculated by taking the difference between Ideal and Current Expertise responses. A total of 101/305 anaesthetists (29%) responded to the survey. Most of the respondents had been in anaesthesia practice for less than ten years. Regional nerve block, acute pain control, and medicolegal considerations received high overall ranks in both the need and interest categories. Paediatric anaesthesia, anaesthesia for trauma surgery and thoracic anaesthesia had top ranks among the subspecialty fields. Regional anaesthesia techniques received higher need and interest ranks than intravenous and inhalational techniques. The learning needs of anaesthetists of a large urban centre have been identified, and this information is useful to CME planners.</t>
  </si>
  <si>
    <t>UNIV TORONTO,TORONTO HOSP,DEPT ANAESTHESIA,399 BATHURST ST,TORONTO M5T 2S8,ONTARIO,CANADA</t>
  </si>
  <si>
    <t>University of Toronto; University Health Network Toronto</t>
  </si>
  <si>
    <t>Baylon, Godofredo Jose/M-2096-2017; Chung, Frances/F-5618-2015</t>
  </si>
  <si>
    <t>Baylon, Godofredo Jose/0000-0002-0692-0866; Chung, Frances/0000-0001-9576-3606</t>
  </si>
  <si>
    <t>CANADIAN ANAESTHETISTS SOC INC</t>
  </si>
  <si>
    <t>1 EGLINTON AVE EAST, SUITE 208, TORONTO ON M4P 3A1, CANADA</t>
  </si>
  <si>
    <t>0832-610X</t>
  </si>
  <si>
    <t>CAN J ANAESTH</t>
  </si>
  <si>
    <t>Can. J. Anaesth.-J. Can. Anesth.</t>
  </si>
  <si>
    <t>10.1007/BF03008223</t>
  </si>
  <si>
    <t>Anesthesiology</t>
  </si>
  <si>
    <t>JN185</t>
  </si>
  <si>
    <t>WOS:A1992JN18500003</t>
  </si>
  <si>
    <t>Öztoprak, K</t>
  </si>
  <si>
    <t>Profiling Subscribers According to Their Internet Usage Characteristics and Behaviors</t>
  </si>
  <si>
    <t>Subscriber Categorization; Internet Usage Characteristics; Personalized Policies</t>
  </si>
  <si>
    <t>Providers (SP) are wishing to increase their Return of Investment (ROI) by utilizing the data assets generated by tracking subscriber behaviors. This results in the ability of applying personalized policies, monitoring and controlling the service traffic to subscribers and gaining more revenues through the usage of subscriber data with ad networks. In this paper, a framework is developed to monitor and analyze the Internet access of the subscribers of a regional SP in order to categorize the subscribers into an interest category from The Interactive Advertising Bureau (IAB) categories. The study employs the categorization engine to build category vectors for all subscribers. The simulation results show that once a subscriber has been classified into a category the click rate for the same subscriber group can be improved by correlating the interests of the subscribers with the advertisements.</t>
  </si>
  <si>
    <t>[Oztoprak, Kasim] KTO Karatay Univ, Dept Comp Engn, TR-42020 Konya, Turkey</t>
  </si>
  <si>
    <t>Öztoprak, K (corresponding author), KTO Karatay Univ, Dept Comp Engn, TR-42020 Konya, Turkey.</t>
  </si>
  <si>
    <t>WOS:000380404600180</t>
  </si>
  <si>
    <t>Analysis of responses to vocational interest items: A study of Australian high school students</t>
  </si>
  <si>
    <t>career interest; measurement; vocational interests; Rasch; Holland</t>
  </si>
  <si>
    <t>The vocational interests of 2,709 male and female high school students in Australia were examined using a Rasch model of item responding. The present study used a national probability sample of Australian youth. Participants completed a 24-item questionnaire that reflected the vocational interest typology of Holland. Item response analysis was used to determine the location of the four questions that comprised each of the vocational scales. Scales and items conformed generally to the measurement model. Infit mean squares centred on 1.0 and separability was satisfactory for all scales (0.85 to 0.99) except the Investigative scale. The analysis of items using a Rasch model provided new information on how individuals responded to items and the complexity of responses within interest categories. It is argued that simple raw scores or summing scores may not offer a valid basis for assessment of interests.</t>
  </si>
  <si>
    <t>Univ Technol Sydney, Sydney, NSW 2007, Australia</t>
  </si>
  <si>
    <t>Athanasou, JA (corresponding author), Univ Technol Sydney, Sydney Post Off Box 123,Broadway, Sydney, NSW 2007, Australia.</t>
  </si>
  <si>
    <t>PSYCHOLOGICAL ASSESSMENT RESOURCES INC</t>
  </si>
  <si>
    <t>ODESSA</t>
  </si>
  <si>
    <t>PO BOX 998, ODESSA, FL 33556 USA</t>
  </si>
  <si>
    <t>WIN</t>
  </si>
  <si>
    <t>10.1177/106907270100900105</t>
  </si>
  <si>
    <t>393TV</t>
  </si>
  <si>
    <t>WOS:000166486500005</t>
  </si>
  <si>
    <t>Wandabwa, Herman M.; Naeem, M. Asif; Mirza, Farhaan; Pears, Russel</t>
  </si>
  <si>
    <t>Multi-interest semantic changes over time in short-text microblogs</t>
  </si>
  <si>
    <t>User profiling; Text mining; Neural Networks; Information retrieval; Short-text microblogs</t>
  </si>
  <si>
    <t>SOCIAL NETWORKS; NEWS MEDIA</t>
  </si>
  <si>
    <t>Consumption of content in short-text microblogs is necessitated to a large extent by individual users and their friendship network interests. Based on the dynamism in the data throughput on such platforms, e.g., Twitter, prevailing conditions are bound to determine the nature of consumed or disseminated content. Therefore, semantic interests differ over time even for individual users. Detecting this semantic change over time is integral in mapping user profiles over a time period, especially in microblogs where only the extrinsic user profile identifiers provide metadata that seldom evolve. This is vital in serving relevant third-party content as well as in the computation of topical interest variations over time. In essence, current, and relevant topics of interest to a user on such a platform may not be representative of the same users' interests a few months later. In our quest to identify the most user-representative interests at any given time, each topical term was modelled as the inner product between word embeddings and a time-based embedding representation of assigned topics at varied time periods. The model was fitted onto tweets as time-series documents. To validate the model, changes in the extracted user-representative interests over time were semantically weighed against a mirrored, time-variant dataset. Interest weights across the time-variant datasets were computed and validated in five sub-topics for a period spanning two and a half years. Linearity in the relationships between the test and validation sets could be identified, more so in emerging topics. A Pearson correlation coefficient as high as 0.871 was achieved in interest change verification over the tested period. (C) 2021 Elsevier B.V. All rights reserved.</t>
  </si>
  <si>
    <t>[Wandabwa, Herman M.; Mirza, Farhaan; Pears, Russel] Auckland Univ Technol, Sch Engn Comp &amp; Math Sci, Auckland, New Zealand; [Naeem, M. Asif] Natl Univ Comp &amp; Emerging Sci NUCES, Dept Comp Sci, Islamabad, Pakistan</t>
  </si>
  <si>
    <t>herman.wandabwa@aut.ac.nz</t>
  </si>
  <si>
    <t>Wandabwa, Herman/0000-0002-2063-1382</t>
  </si>
  <si>
    <t>SEP 27</t>
  </si>
  <si>
    <t>10.1016/j.knosys.2021.107249</t>
  </si>
  <si>
    <t>UB7AY</t>
  </si>
  <si>
    <t>WOS:000685995700004</t>
  </si>
  <si>
    <t>Bhagat, A; Chaudhari, R; Dongre, K</t>
  </si>
  <si>
    <t>Mishra, BK; Bharadi, VA; Nemade, B</t>
  </si>
  <si>
    <t>Bhagat, Amol; Chaudhari, Radhika; Dongre, Kiran</t>
  </si>
  <si>
    <t>Content-based file sharing in peer-to-peer networks using threshold</t>
  </si>
  <si>
    <t>PROCEEDINGS OF INTERNATIONAL CONFERENCE ON COMMUNICATION, COMPUTING AND VIRTUALIZATION (ICCCV) 2016</t>
  </si>
  <si>
    <t>7th International Conference on Communication, Computing and Virtualization (ICCCV)</t>
  </si>
  <si>
    <t>FEB 26-27, 2016</t>
  </si>
  <si>
    <t>Mumbai, INDIA</t>
  </si>
  <si>
    <t>TCET</t>
  </si>
  <si>
    <t>Content-based file sharing; interest extracton; interest oriented file sharing; peer-to-peer network; threshold based sharing</t>
  </si>
  <si>
    <t>In content based file sharing peer-to-peer (P2P) [1] network model nodes share files directly with each other without a centralized server. In such a file sharing system, nodes meet and exchange requests and files in the format of text, short videos, and voice clips in different interest categories. Content is various and large file sharing such as the multimedia content is required with the rapid development of the wireless communication technology. File sharing can also mean having an allocated amount of personal file storage in a common file system. A P2P content based file sharing system, for efficient file searching, threshold takes advantage of node mobility by designating stable nodes, which have the most frequent contact with community members, as community coordinators for intra community searching, and highly mobile nodes that visit other communities frequently as community ambassadors for intercommunity searching. The large file sharing needs more stable end to end path and long transmission time. Last but not least, more relationship between nodes will be used to promote the file sharing process. Content based file sharing is helpful for taking certain decisions during file transmission. These decisions will benefit in proper utilization of network resources. In this paper content-based file sharing scheme using threshold is proposed. The user's interest is determined by the proposed scheme before searching and sharing the files in the peer-to-peer network. The resources in the network are utilized as per the contents of the files to be shared. The performance evaluation show that proposed system significantly lowers transmission cost and improves file sharing success rate compared to current methods. (C) 2016 The Authors. Published by Elsevier B.V.</t>
  </si>
  <si>
    <t>[Bhagat, Amol; Chaudhari, Radhika; Dongre, Kiran] Prof Ram Meghe Coll Engn &amp; Management, Innovat &amp; Entrepreneurship Dev Ctr, Badnera 444701, Amravati, India</t>
  </si>
  <si>
    <t>Bhagat, A (corresponding author), Prof Ram Meghe Coll Engn &amp; Management, Innovat &amp; Entrepreneurship Dev Ctr, Badnera 444701, Amravati, India.</t>
  </si>
  <si>
    <t>Bhagat, Amol/O-2162-2015</t>
  </si>
  <si>
    <t>Bhagat, Amol/0000-0003-2674-6604</t>
  </si>
  <si>
    <t>10.1016/j.procs.2016.03.008</t>
  </si>
  <si>
    <t>BE7GL</t>
  </si>
  <si>
    <t>WOS:000375222800007</t>
  </si>
  <si>
    <t>Hua, W; Zheng, K; Zhou, XF</t>
  </si>
  <si>
    <t>ACM SIGMOD</t>
  </si>
  <si>
    <t>Hua, Wen; Zheng, Kai; Zhou, Xiaofang</t>
  </si>
  <si>
    <t>Microblog Entity Linking with Social Temporal Context</t>
  </si>
  <si>
    <t>SIGMOD'15: PROCEEDINGS OF THE 2015 ACM SIGMOD INTERNATIONAL CONFERENCE ON MANAGEMENT OF DATA</t>
  </si>
  <si>
    <t>ACM SIGMOD International Conference on Management of Data</t>
  </si>
  <si>
    <t>ACM SIGMOD,Assoc Comp Machinery,Microsoft,Oracle,Facebook,Google,IBM Res,SAP,Tableau,Twitter,Intel,RMIT Univ</t>
  </si>
  <si>
    <t>Microblog entity linking; Social temporal context; Entity popularity; Entity recency; User interest</t>
  </si>
  <si>
    <t>Nowadays microblogging sites, such as Twitter and Chinese Sina Weibo, have established themselves as an invaluable information source, which provides a huge collection of manually-generated tweets with broad range of topics from daily life to breaking news. Entity linking is indispensable for understanding and maintaining such information, which in turn facilitates many real-world applications such as tweet clustering and classification, personalized microblog search, and so forth. However, tweets are short, informal and error-prone, rendering traditional approaches for entity linking in documents largely inapplicable. Recent work addresses this problem by utilising information from other tweets and linking entities in a batch manner. Nevertheless, the high computational complexity makes this approach infeasible for real-time applications given the high arrival rate of tweets. In this paper, we propose an efficient solution to link entities in tweets by analyzing their social and temporal context. Our proposed framework takes into consideration three features, namely entity popularity, entity recency, and user interest information embedded in social interactions to assist the entity linking task. Effective indexing structures along with incremental algorithms have also been developed to reduce the computation and maintenance costs of our approach. Experimental results based on real tweet datasets verify the effectiveness and efficiency of our proposals.</t>
  </si>
  <si>
    <t>[Hua, Wen; Zheng, Kai; Zhou, Xiaofang] Univ Queensland, Sch Informat Technol &amp; Elect Engn, Brisbane, Qld, Australia; [Hua, Wen] Renmin Univ China, Sch Informat, Beijing, Peoples R China; [Zheng, Kai; Zhou, Xiaofang] Soochow Univ, Sch Comp Sci &amp; Technol, Suzhou, Jiangsu, Peoples R China</t>
  </si>
  <si>
    <t>University of Queensland; Renmin University of China; Soochow University - China</t>
  </si>
  <si>
    <t>Hua, W (corresponding author), Univ Queensland, Sch Informat Technol &amp; Elect Engn, Brisbane, Qld, Australia.</t>
  </si>
  <si>
    <t>w.hua@uq.edu.au; kevinz@itee.uq.edu.au; zxf@itee.uq.edu.au</t>
  </si>
  <si>
    <t>Zhou, Xiaofang/C-6169-2013; Hua, Wen/U-8730-2019</t>
  </si>
  <si>
    <t>Zhou, Xiaofang/0000-0001-6343-1455; Hua, Wen/0000-0001-5456-7035</t>
  </si>
  <si>
    <t>Australian Research Council (ARC) [DP140103171]; National Natural Science Foundation of China (NSFC) [61472263]</t>
  </si>
  <si>
    <t>Australian Research Council (ARC)(Australian Research Council); National Natural Science Foundation of China (NSFC)(National Natural Science Foundation of China (NSFC))</t>
  </si>
  <si>
    <t>This work was partially supported by the Australian Research Council (ARC) (under Grant DP140103171) and National Natural Science Foundation of China (NSFC) (under Grant 61472263).</t>
  </si>
  <si>
    <t>978-1-4503-2758-9</t>
  </si>
  <si>
    <t>10.1145/2723372.2751522</t>
  </si>
  <si>
    <t>BL5RH</t>
  </si>
  <si>
    <t>WOS:000452535700141</t>
  </si>
  <si>
    <t>Goenka, K; Arpinar, IB; Nural, M</t>
  </si>
  <si>
    <t>Goenka, Kapil; Arpinar, I. Budak; Nural, Mustafa</t>
  </si>
  <si>
    <t>Mobile Web Search Personalization Using Ontological User Profile</t>
  </si>
  <si>
    <t>PROCEEDINGS OF THE 48TH ANNUAL SOUTHEAST REGIONAL CONFERENCE (ACM SE 10)</t>
  </si>
  <si>
    <t>48th ACM Annual Southeast Regional Conference (SE)</t>
  </si>
  <si>
    <t>APR 15-17, 2010</t>
  </si>
  <si>
    <t>Search Personalization; User Profiles; Sematic Web; iPhone</t>
  </si>
  <si>
    <t>Most present day search engines have a deterministic behavior in the sense that they return the same search results for all users who submit the same query at a certain time. They do not take the user!s interests and preferences into account in the retrieval process. Integrating user context in the retrieval process can help deliver more targeted search results, thereby providing a personalized search experience to the user. Personalizing web search involves the process of identifying user interests during interaction with the user, and then using that information to deliver results that are more relevant to the user. In this paper, we present our approach to personalizing web search on a mobile device (iPhone). Our approach involves building an ontological model of user interests on the user!s mobile device based on his interaction with web search results. Personalization of search results is achieved by re-ranking search results returned by a standard search engine (Yahoo) based on proximity to the user!s interest model. The ability to recognize user interests in a completely non-invasive way and the accuracy of personalized results are some of the major advantages of our approach.</t>
  </si>
  <si>
    <t>[Goenka, Kapil; Arpinar, I. Budak; Nural, Mustafa] Univ Georgia, Dept Comp Sci, Athens, GA 30602 USA</t>
  </si>
  <si>
    <t>University System of Georgia; University of Georgia</t>
  </si>
  <si>
    <t>Goenka, K (corresponding author), Univ Georgia, Dept Comp Sci, Athens, GA 30602 USA.</t>
  </si>
  <si>
    <t>kapil.goenka@gmail.com; budak@cs.uga.edu; mvnural@gmail.com</t>
  </si>
  <si>
    <t>Nural, Mustafa/0000-0002-1871-076X</t>
  </si>
  <si>
    <t>978-1-4503-0064-3</t>
  </si>
  <si>
    <t>10.1145/1900008.1900028</t>
  </si>
  <si>
    <t>BH0PU</t>
  </si>
  <si>
    <t>WOS:000395862200013</t>
  </si>
  <si>
    <t>Yamamoto, S; Wakabayashi, K; Kando, N; Satoh, T</t>
  </si>
  <si>
    <t>Yamamoto, Shuhei; Wakabayashi, Kei; Kando, Noriko; Satoh, Tetsuji</t>
  </si>
  <si>
    <t>Twitter user tagging method based on burst time series</t>
  </si>
  <si>
    <t>Twitter; Burst; Hashtag; Time series data; User tagging</t>
  </si>
  <si>
    <t>Purpose - Many Twitter users post tweets that are related to their particular interests. Users can also collect information by following other users. One approach clarifies user interests by tagging labels based on the users. Auser tagging method is important to discover candidate users with similar interests. This paper aims to propose a new user tagging method using the posting time series data of the number of tweets. Design/methodology/approach - Our hypothesis focuses on the relationship between a user's interests and the posting times of tweets: as users have interests, they will post more tweets at the time when events occur compared with general times. The authors assume that hashtags are labeled tags to users and observe their occurrence counts in each timestamp. The authors extract burst timestamps using Kleinberg's burst enumeration algorithm and estimate the burst levels. The authors manage the burst levels as term frequency in documents and calculate the score using typical methods such as cosine similarity, Naive Bayes and term frequency (TF) in a document and inversed document frequency (IDF; TF-IDF). Findings - From the sophisticated experimental evaluations, the authors demonstrate the high efficiency of the tagging method. Naive Bayes and cosine similarity are particular suitable for the user tagging and tag score calculation tasks, respectively. Some users, whose hashtags were appropriately estimated by our methods, experienced higher the maximum value of the number of tweets than other users. Originality/value - Many approaches estimate user interest based on the terms in tweets and apply such graph theory as following networks. The authors propose a new estimation method that uses the time series data of the number of tweets. The merits to estimating user interest using the time series data do not depend on language and can decrease the calculation costs compared with the above-mentioned approaches because the number of features is fewer.</t>
  </si>
  <si>
    <t>[Yamamoto, Shuhei] Univ Tsukuba, Grad Sch Lib Informat &amp; Media Studies, Tsukuba, Ibaraki, Japan; [Wakabayashi, Kei; Satoh, Tetsuji] Univ Tsukuba, Fac Lib Informat &amp; Media Sci, Tsukuba, Ibaraki, Japan; [Kando, Noriko] Natl Inst Informat, Informat &amp; Soc Res Div, Tokyo, Japan</t>
  </si>
  <si>
    <t>University of Tsukuba; University of Tsukuba; Research Organization of Information &amp; Systems (ROIS); National Institute of Informatics (NII) - Japan</t>
  </si>
  <si>
    <t>Yamamoto, S (corresponding author), Univ Tsukuba, Grad Sch Lib Informat &amp; Media Studies, Tsukuba, Ibaraki, Japan.</t>
  </si>
  <si>
    <t>yamahei@ce.slis.tsukuba.ac.jp</t>
  </si>
  <si>
    <t>Wakabayashi, Kei/0000-0001-6898-4833; Yamamoto, Shuhei/0009-0001-1003-9107; Kando, Noriko/0000-0002-2133-0215</t>
  </si>
  <si>
    <t>NII; [25280110]; [15J05599]; Grants-in-Aid for Scientific Research [16H02904, 15J05599] Funding Source: KAKEN</t>
  </si>
  <si>
    <t>NII; ; ; Grants-in-Aid for Scientific Research(Ministry of Education, Culture, Sports, Science and Technology, Japan (MEXT)Japan Society for the Promotion of ScienceGrants-in-Aid for Scientific Research (KAKENHI))</t>
  </si>
  <si>
    <t>This work was supported by Grant-in-Aids for scientific Research No. 25280110 and No. 15J05599 and NIIs strategic open-type collaborative research.</t>
  </si>
  <si>
    <t>10.1108/IJWIS-03-2016-0012</t>
  </si>
  <si>
    <t>DU9RB</t>
  </si>
  <si>
    <t>WOS:000382554100003</t>
  </si>
  <si>
    <t>Xu, J; Wang, HF; Niu, ZY; Wu, H; Che, WX</t>
  </si>
  <si>
    <t>Xu, Jun; Wang, Haifeng; Niu, Zhengyu; Wu, Hua; Che, Wanxiang</t>
  </si>
  <si>
    <t>Knowledge Graph Grounded Goal Planning for Open-Domain Conversation Generation</t>
  </si>
  <si>
    <t>Previous neural models on open-domain conversation generation have no effective mechanisms to manage chatting topics, and tend to produce less coherent dialogs. Inspired by the strategies in human-human dialogs, we divide the task of multi-turn open-domain conversation generation into two sub-tasks: explicit goal (chatting about a topic) sequence planning and goal completion by topic elaboration. To this end, we propose a three-layer Knowledge aware Hierarchical Reinforcement Learning based Model (KnowHRL). Specifically, for the first sub-task, the upper-layer policy learns to traverse a knowledge graph (KG) in order to plan a high-level goal sequence towards a good balance between dialog coherence and topic consistency with user interests. For the second sub-task, the middle-layer policy and the lower-layer one work together to produce an in-depth multi-turn conversation about a single topic with a goal-driven generation mechanism. The capability of goal-sequence planning enables chatbots to conduct proactive open-domain conversations towards recommended topics, which has many practical applications. Experiments demonstrate that our model outperforms state of the art baselines in terms of user-interest consistency, dialog coherence, and knowledge accuracy.</t>
  </si>
  <si>
    <t>[Xu, Jun; Che, Wanxiang] Harbin Inst Technol, Harbin, Peoples R China; [Wang, Haifeng; Niu, Zhengyu; Wu, Hua] Baidu Inc, Beijing, Peoples R China</t>
  </si>
  <si>
    <t>Che, WX (corresponding author), Harbin Inst Technol, Harbin, Peoples R China.</t>
  </si>
  <si>
    <t>jxu@ir.hit.edu.cn; wanghaifeng@baidu.com; niuzhengyu@baidu.com; wu_hua@baidu.com; car@ir.hit.edu.cn</t>
  </si>
  <si>
    <t>XIN, WANG/KGK-5385-2024; niu, zhengyu/OOM-9857-2025</t>
  </si>
  <si>
    <t>National Key Research and Development Project of China [2018AAA0101900]; National Natural Science Foundation of China (NSFC) [61976072]</t>
  </si>
  <si>
    <t>National Key Research and Development Project of China(National Key Research &amp; Development Program of China); National Natural Science Foundation of China (NSFC)(National Natural Science Foundation of China (NSFC))</t>
  </si>
  <si>
    <t>This work is supported by the National Key Research and Development Project of China (No. 2018AAA0101900) and the National Natural Science Foundation of China (NSFC) via grant 61976072.</t>
  </si>
  <si>
    <t>WOS:000668126801096</t>
  </si>
  <si>
    <t>Nanda, A; Omanwar, R; Deshpande, B</t>
  </si>
  <si>
    <t>Skowron, A; Dey, L; Krasuski, A; Li, Y</t>
  </si>
  <si>
    <t>Nanda, Ashish; Omanwar, Rohit; Deshpande, Bharat</t>
  </si>
  <si>
    <t>Implicitly Learning a User Interest Profile for Personalization of Web Search using Collaborative Filtering</t>
  </si>
  <si>
    <t>2014 IEEE/WIC/ACM INTERNATIONAL JOINT CONFERENCES ON WEB INTELLIGENCE (WI) AND INTELLIGENT AGENT TECHNOLOGIES (IAT), VOL 2</t>
  </si>
  <si>
    <t>IEEE/WIC/ACM International Joint Conferences on Web Intelligence (WI) and Intelligent Agent Technologies (WI-IAT)</t>
  </si>
  <si>
    <t>AUG 11-14, 2014</t>
  </si>
  <si>
    <t>Univ Warsaw, Warsaw, POLAND</t>
  </si>
  <si>
    <t>IEEE,Web Intelligence Consortium,Assoc Comp Machinery,IEEE Comp Soc,Univ Warsaw, Polish Math Soc,Warsaw Univ Technol,Dituel,Google,IOS Press, Human Brain Project,Core Technol &amp; Gemius</t>
  </si>
  <si>
    <t>Univ Warsaw</t>
  </si>
  <si>
    <t>personalized web search; ranking; user profile; implicit user interest</t>
  </si>
  <si>
    <t>The increasing abundance of content on the web has made information filtering even more important in helping users find information related to their interests. Personalization of web search is one such effort, that aims at improving the efficiency with which a user finds results relevant to his query. This is done by keeping track of a user's individual interests, and taking it into account while returning search results. We propose a robust user modeling technique that implicitly creates a Dynamic Category Interest Tree (DCIT), using a general ontology of the web and a set of web pages collected over time that give an insight into a user's interests. The DCIT is designed to use a fuzzy classification technique to keep track of what topics a user is interested in, his amount of interest in a topic, as well as reflect his changing interests overtime. The DCIT consists of a general ontology of the web, where each node represents a topic and consists of keywords that are usually used to describe that topic or category. Additional keywords that the user frequently associates with a topic, such as names of important people, organizations, or a specialized terminology, etc. are also incorporated into the relevant topic. We use the Apriori Algorithm to extract these associated words from the user's web history in order to more accurately define the user's categories of interest. The DCIT is initially created by a content based approach using only the browsing history of the user, and is later further enhanced through collaborative filtering using the k-nearest neighbour-based algorithm. We propose a technique to re-rank the results from a search engine according to their relevance to a user, based on his implicitly learned DCIT. According to experimental results, our DCIT based ranking often outperforms search engines such as Google when it comes to retrieving web pages that are more relevant to a user's interest.</t>
  </si>
  <si>
    <t>[Nanda, Ashish; Omanwar, Rohit; Deshpande, Bharat] BITS Pilani, Dept Comp Sci, Zuarinagar, India</t>
  </si>
  <si>
    <t>Birla Institute of Technology &amp; Science Pilani (BITS Pilani)</t>
  </si>
  <si>
    <t>Nanda, A (corresponding author), BITS Pilani, Dept Comp Sci, Goa Campus, Zuarinagar, India.</t>
  </si>
  <si>
    <t>f2010175@goa.bits-pilani.ac.in; h2012060@goa.bits-pilani.ac.in; bmd@goa.bits-pilani.ac.in</t>
  </si>
  <si>
    <t>978-1-4799-4143-8</t>
  </si>
  <si>
    <t>10.1109/WI-IAT.2014.80</t>
  </si>
  <si>
    <t>BD9XF</t>
  </si>
  <si>
    <t>WOS:000365543800008</t>
  </si>
  <si>
    <t>Guo, JW; An, FH</t>
  </si>
  <si>
    <t>Guo, Jiawei; An, Fuhai</t>
  </si>
  <si>
    <t>Exploring the categories of students' interest and their relationships with deep learning in technology supported environments</t>
  </si>
  <si>
    <t>Technology-supported learning environments; Situational interest; Individual interest; Deep learning; Latent profile analysis</t>
  </si>
  <si>
    <t>Interest is not only the starting point to begin a wonderful learning journey for students, but also an important driver for deep learning and continuous progress. This study used latent profile analysis (LPA), multiple logistic regression analysis, and multivariate analysis of variance (MANOVA) to analyze the self-reported questionnaires of 634 junior high school students in China, with the aim of exploring the co-existing categories of situational interest and individual interest in technology-supported learning environments, the associated factors, and their impact on the four elements of deep learning (enjoyment of learning, cognitive commitment, relating ideas, understanding). The study found that the co-existing categories of situational interest and individual interest in technology-supported learning environments included Medium situational interest-Low individual interest group, Medium situational interest-Medium individual interest group, High situational interest-Medium individual interest group, High situational interest-High individual interest group; grade level was correlated with the deepening and stabilizing phases of interest; all four interest categories were correlated with the four elements of deep learning; and the deepening and stabilizing phases of interest were more correlated with the four elements. The results of the study validate that there is heterogeneity in the effects of situational interest and individual interest on deep learning in technology-supported learning environments, and that high situational interest-high individual interest is an important factor in the occurrence of deep learning.</t>
  </si>
  <si>
    <t>[Guo, Jiawei] Hangzhou Normal Univ, Jing Hengyi Sch Educ, Hangzhou, Peoples R China; [An, Fuhai] Hangzhou Normal Univ, Chinese Educ Modernizat Res Inst, Jing Hengyi Sch Educ, Hangzhou 311121, Peoples R China</t>
  </si>
  <si>
    <t>Hangzhou Normal University; Hangzhou Normal University</t>
  </si>
  <si>
    <t>An, FH (corresponding author), Hangzhou Normal Univ, Chinese Educ Modernizat Res Inst, Jing Hengyi Sch Educ, Hangzhou 311121, Peoples R China.</t>
  </si>
  <si>
    <t>afh2006@163.com</t>
  </si>
  <si>
    <t>guo, jiawei/HDN-9119-2022</t>
  </si>
  <si>
    <t>An, Fuhai/0000-0003-4039-0077</t>
  </si>
  <si>
    <t>National Social Science Foundation of China [VPA240005]</t>
  </si>
  <si>
    <t>National Social Science Foundation of China(National Office of Philosophy and Social Sciences)</t>
  </si>
  <si>
    <t>This research was funded by a major project of education under the National Social Science Foundation of China, 2024, Research on the Theoretical Construction of Curriculum Teaching Based on the Practice of Basic Education Curriculum Reform, grant number VPA240005.</t>
  </si>
  <si>
    <t>MAR 26</t>
  </si>
  <si>
    <t>10.1038/s41598-025-95294-2</t>
  </si>
  <si>
    <t>0RT5S</t>
  </si>
  <si>
    <t>WOS:001454462300022</t>
  </si>
  <si>
    <t>Du, GY; Liu, YC; Yu, JJ</t>
  </si>
  <si>
    <t>Du, Guanyao; Liu, Yuchun; Yu, Jianjun</t>
  </si>
  <si>
    <t>Scientific Users' Interest Detection and Collaborators Recommendation</t>
  </si>
  <si>
    <t>2018 IEEE FOURTH INTERNATIONAL CONFERENCE ON BIG DATA COMPUTING SERVICE AND APPLICATIONS (IEEE BIGDATASERVICE 2018)</t>
  </si>
  <si>
    <t>4th IEEE International Conference on Big Data Computing Service and Applications (IEEE BigDataService)</t>
  </si>
  <si>
    <t>MAR 26-29, 2018</t>
  </si>
  <si>
    <t>Bamberg, GERMANY</t>
  </si>
  <si>
    <t>scientific user interest detection; Latent Dirichlet Allocation; Recommendation System; Map-Reduce</t>
  </si>
  <si>
    <t>With the development of science and technology, the academic research is continuously evolving and the subject category is getting more and more refined. Meanwhile, as the internet information technology develops, the communication between researchers is getting closer. Detecting scientific users' interest and finding collaborators with common research interest to them are not only good ways to promote academic cooperation, but also effective personalized service methods to increase scientific users' satisfaction, for instance, recommending review experts and building virtual research teams. In this paper, we propose a scientific user interest detection method that combines cross-collaboration-domain features based on the LDA (Latent Dirichlet Allocation) model, and present the collaborators and the article recommendation algorithms based on it. To further improve the algorithm efficiency for the user interest detection, we construct the distributed LDA model under Hadoop Map-Reduce framework. Experiments on a large scale of Wanfang library and NNSF (National Natural Science Foundation) of China illustrate that, our proposed recommendation algorithm outperforms the collaborative filtering algorithm and the single interest model recommendation algorithm.</t>
  </si>
  <si>
    <t>[Du, Guanyao; Liu, Yuchun; Yu, Jianjun] Chinese Acad Sci, Comp Network Informat Ctr, Beijing, Peoples R China; [Liu, Yuchun] Univ Chinese Acad Sci, Beijing, Peoples R China</t>
  </si>
  <si>
    <t>Chinese Academy of Sciences; Computer Network Information Center, CAS; Chinese Academy of Sciences; University of Chinese Academy of Sciences, CAS</t>
  </si>
  <si>
    <t>Du, GY (corresponding author), Chinese Acad Sci, Comp Network Informat Ctr, Beijing, Peoples R China.</t>
  </si>
  <si>
    <t>duguanyao@cnic.cn; yujj@cnic.ac.cn</t>
  </si>
  <si>
    <t>978-1-5386-5119-3</t>
  </si>
  <si>
    <t>10.1109/BigDataService.2018.00019</t>
  </si>
  <si>
    <t>BQ4QY</t>
  </si>
  <si>
    <t>WOS:000593974100010</t>
  </si>
  <si>
    <t>Nakasone, A; Ishizuka, M</t>
  </si>
  <si>
    <t>Hui, KC; Pan, ZG; Chung, RC; Wang, CCL; Jin, XG; Gobel, S; Li, ECL</t>
  </si>
  <si>
    <t>Nakasone, Arturo; Ishizuka, Mitsuru</t>
  </si>
  <si>
    <t>ISRST: An interest based storytelling model using rhetorical relations</t>
  </si>
  <si>
    <t>TECHNOLOGIES FOR E-LEARNING AND DIGITAL ENTERTAINMENT, PROCEEDINGS</t>
  </si>
  <si>
    <t>2nd International Conference on Technologies for E-Learning and Digital Entertainment (Edutainment 2007)</t>
  </si>
  <si>
    <t>JUN 11-13, 2007</t>
  </si>
  <si>
    <t>interactive storytelling; ontology model; RST; rhetorical relations; user interest</t>
  </si>
  <si>
    <t>Most storytelling model approaches consider stories formed by sequences of a particular type of event. These sequences are mostly constructed using the inherent temporal characteristic of each linked event and this limitation makes it difficult to adapt the models to other kinds of events. In order to develop a more generic model to create storytelling applications, we need to organize events using not only temporal relations, but also relations determined by the rhetorical context of those events. In this paper, we present ISRST, our proposal for a generic storytelling ontology model based on the organization of events using a subset of relations proposed by the Rhetorical Structure Theory and how narrative principles and user interest are applied to these relations to generate coherent stories.</t>
  </si>
  <si>
    <t>[Nakasone, Arturo; Ishizuka, Mitsuru] Univ Tokyo, Dept Informat &amp; Commun Engn, Bunkyo Ku, 7-3-1 Hongo, Tokyo 1138656, Japan</t>
  </si>
  <si>
    <t>University of Tokyo</t>
  </si>
  <si>
    <t>Nakasone, A (corresponding author), Univ Tokyo, Dept Informat &amp; Commun Engn, Bunkyo Ku, 7-3-1 Hongo, Tokyo 1138656, Japan.</t>
  </si>
  <si>
    <t>arturo@mi.ci.i.u-tokyo.ac.jp; ishizuka@i.u-tokyo.ac.jp</t>
  </si>
  <si>
    <t>978-3-540-73010-1</t>
  </si>
  <si>
    <t>Computer Science, Artificial Intelligence; Computer Science, Information Systems; Computer Science, Theory &amp; Methods; Imaging Science &amp; Photographic Technology</t>
  </si>
  <si>
    <t>BGI50</t>
  </si>
  <si>
    <t>WOS:000247340500031</t>
  </si>
  <si>
    <t>Jia, XW; Wang, AS; Li, XY; Xun, GX; Xu, WY; Zhang, AD</t>
  </si>
  <si>
    <t>Jia, Xiaowei; Wang, Aosen; Li, Xiaoyi; Xun, Guangxu; Xu, Wenyao; Zhang, Aidong</t>
  </si>
  <si>
    <t>Multi-modal Learning for Video Recommendation based on Mobile Application Usage</t>
  </si>
  <si>
    <t>mobile data; video recommendation; personalized recommendation</t>
  </si>
  <si>
    <t>The increasing popularity of mobile devices has brought severe challenges to device usability and big data analysis. In this paper we investigate the intellectual recommender system on cell phones by incorporating mobile data analysis. Nowadays with the development of smart phones, more and more applications have emerged on various areas, such as entertainment, education and health care. While these applications have brought great convenience to people's daily life, they also provide tremendous opportunities for analyzing users' interests. In this work we develop an Android background service to collect the user behaviors and analyze their preferences based on their Android application usage. As one of the most intuitive media for visual representation, videos with various types of contents are recommended to users based on a proposed graphical model. The proposed model jointly utilizes the textual descriptions of Android applications and videos, as well as the extracted video content based features. Besides, by analyzing the user's habit of application usage we seamlessly integrate the user's personal interests during the recommendation. The extensive comparisons to multiple baselines reveal the superiority of the proposed model on the recommendation quality. Furthermore, we conduct experiments on personalized recommendation to demonstrate the capacity of the proposed model in effectively analyzing the user's personal interests.</t>
  </si>
  <si>
    <t>[Jia, Xiaowei; Wang, Aosen; Li, Xiaoyi; Xun, Guangxu; Xu, Wenyao; Zhang, Aidong] SUNY Buffalo, Sch Comp Sci &amp; Engn, Buffalo, NY 14260 USA</t>
  </si>
  <si>
    <t>State University of New York (SUNY) System; University at Buffalo, SUNY</t>
  </si>
  <si>
    <t>Jia, XW (corresponding author), SUNY Buffalo, Sch Comp Sci &amp; Engn, Buffalo, NY 14260 USA.</t>
  </si>
  <si>
    <t>xiaoweij@buffalo.edu; aosenwan@buffalo.edu; xiaoyili@buffalo.edu; guangxux@buffalo.edu; wenyaoxu@buffalo.edu; azhang@buffalo.edu</t>
  </si>
  <si>
    <t>; Xu, Wenyao/C-4043-2011; Jia, Xiaowei/OPN-9549-2025</t>
  </si>
  <si>
    <t>Xun, Guangxu/0000-0002-7657-4305;</t>
  </si>
  <si>
    <t>WOS:000380404600099</t>
  </si>
  <si>
    <t>Fanton, M; Mota, HR; Araújo, CDB; da Silva, MS; Canuto, R</t>
  </si>
  <si>
    <t>Fanton, Marcos; Mota, Hugo Ribeiro; Araujo, Carolina de Melo Bomfim; da Silva, Mitieli Seixas; Canuto, Raquel</t>
  </si>
  <si>
    <t>Philosophical research in Brazil: A structural topic modeling approach with a focus on temporal and gender trends</t>
  </si>
  <si>
    <t>METAPHILOSOPHY</t>
  </si>
  <si>
    <t>gender gap; Latin American philosophy; metaphilosophy; scientometrics; structural topic modeling</t>
  </si>
  <si>
    <t>This paper employs structural topic modeling (STM) to describe the academic philosophy landscape in Brazil. Based on a public national database, a corpus consisting of 12,515 abstracts of monographs defended in philosophy graduate programs between 1991 and 2021 was compiled. The final STM model identified 74 meaningful research topics, clustered into 7 thematic categories. This study discusses the prevalence of the most significant topics and categories, their trends across three decades, and their (positive or negative) association with the supervisor's gender. Results show the first empirical evidence that Brazilian philosophical research exhibits a greater focus on philosophers than on specific themes or problems. Moreover, by visualizing the variations in topic prevalence over time, it was possible to track the rise or decline of the major interest categories and topics. Finally, results also show which topics are more influenced or less influenced by gender.</t>
  </si>
  <si>
    <t>[Fanton, Marcos; da Silva, Mitieli Seixas] Fed Univ St Maria, Dept Philosophy, 1000 Roraima Ave, BR-97105900 Santa Maria, Rio Grande do S, Brazil; [Mota, Hugo Ribeiro] Univ Oslo, Dept Philosophy Class Hist Art &amp; Ideas, Oslo, Norway; [Araujo, Carolina de Melo Bomfim] Univ Fed Rio de Janeiro, Dept Philosophy, Rio De Janeiro, Brazil; [Canuto, Raquel] Univ Fed Rio Grande do Norte, Dept Nutr, Natal, Brazil</t>
  </si>
  <si>
    <t>University of Oslo; Universidade Federal do Rio de Janeiro; Universidade Federal Rural do Rio de Janeiro (UFRRJ); Universidade Federal do Rio Grande do Norte</t>
  </si>
  <si>
    <t>Fanton, M (corresponding author), Fed Univ St Maria, Dept Philosophy, 1000 Roraima Ave, BR-97105900 Santa Maria, Rio Grande do S, Brazil.</t>
  </si>
  <si>
    <t>marcos.fanton@ufsm.br</t>
  </si>
  <si>
    <t>; Canuto, Raquel/AAV-8688-2020; Araújo, Carolina/AAB-6941-2021; Fanton, Marcos/HTQ-3835-2023</t>
  </si>
  <si>
    <t>Ribeiro Mota, Hugo/0000-0001-9010-1064; Canuto, Raquel/0000-0002-4042-1913; Seixas da Silva, Mitieli/0000-0003-0492-2072; Araújo, Carolina/0000-0001-6144-8077;</t>
  </si>
  <si>
    <t>Fundacao Carlos Chagas de Apoio a Pesquisa do Estado do Rio de Janeiro (FAPERJ) [E-26-201.027/2021]</t>
  </si>
  <si>
    <t>Fundacao Carlos Chagas de Apoio a Pesquisa do Estado do Rio de Janeiro (FAPERJ)(Fundacao Carlos Chagas Filho de Amparo a Pesquisa do Estado do Rio De Janeiro (FAPERJ))</t>
  </si>
  <si>
    <t>Many thanks to Camila Palhares Barbosa for her thoughtful comments, as well as to Michael Baumtrog for proofreading our manuscript. We are also grateful to Otto Bohlmann for his meticulous editorial feedback and textual review. This research received funds from Fundacao Carlos Chagas de Apoio a Pesquisa do Estado do Rio de Janeiro (FAPERJ), process E-26-201.027/2021.</t>
  </si>
  <si>
    <t>0026-1068</t>
  </si>
  <si>
    <t>1467-9973</t>
  </si>
  <si>
    <t>Metaphilosophy</t>
  </si>
  <si>
    <t>10.1111/meta.12700</t>
  </si>
  <si>
    <t>Philosophy</t>
  </si>
  <si>
    <t>A1F9Q</t>
  </si>
  <si>
    <t>WOS:001274087100001</t>
  </si>
  <si>
    <t>Calegari, S; Pasi, G</t>
  </si>
  <si>
    <t>Calegari, Silvia; Pasi, Gabriella</t>
  </si>
  <si>
    <t>Personal ontologies: Generation of user profiles based on the YAGO ontology</t>
  </si>
  <si>
    <t>User profile; Knowledge representation; Ontology; YAGO</t>
  </si>
  <si>
    <t>MODEL; CONTEXT</t>
  </si>
  <si>
    <t>Personalized search is aimed at tailoring the search outcome to users; to this aim user profiles play an important role: the more faithfully a user profile represents the user interests and preferences, the higher is the probability to improve the search process. In the approaches proposed in the literature, user profiles are formally represented as bags of words, as vectors, or as conceptual taxonomies, generally defined based on external knowledge resources (such as the WordNet and the ODP - Open Directory Project). Ontologies have been more recently considered as a powerful expressive means for knowledge representation. The advantage offered by ontological languages is that they allow a more structured and expressive knowledge representation with respect to the above mentioned approaches. A challenging research activity consists in defining user profiles by a knowledge extraction process from an existing ontology, with the main aim of producing a semantically rich representation of the user interests. In this paper a method to automatically define a personal ontology via a knowledge extraction process from the general purpose ontology YAGO is presented; starting from a set of keywords, which are representatives of the user interests, the process is aimed to define a structured and semantically coherent representation of the user topical interests. In the paper the proposed method is described, as well as some evaluations that show its effectiveness. (C) 2012 Elsevier Ltd. All rights reserved.</t>
  </si>
  <si>
    <t>[Calegari, Silvia; Pasi, Gabriella] Univ Milano Bicocca, DISCo, I-20126 Milan, Italy</t>
  </si>
  <si>
    <t>Calegari, S (corresponding author), Univ Milano Bicocca, DISCo, Vle Sarca 336-14, I-20126 Milan, Italy.</t>
  </si>
  <si>
    <t>calegari@disco.unimib.it; pasi@disco.unimib.it</t>
  </si>
  <si>
    <t>Calegari, Silvia/K-4285-2013; Pasi, Gabriella/JNT-5582-2023</t>
  </si>
  <si>
    <t>Pasi, Gabriella/0000-0002-6080-8170</t>
  </si>
  <si>
    <t>10.1016/j.ipm.2012.07.010</t>
  </si>
  <si>
    <t>125HC</t>
  </si>
  <si>
    <t>WOS:000317529900006</t>
  </si>
  <si>
    <t>Jeong, SY; Kim, JW; Joo, HY; Kim, YS; Moon, JH</t>
  </si>
  <si>
    <t>Jeong, So Yun; Kim, Jae Wook; Joo, Han Young; Kim, Young Seo; Moon, Joo Hyun</t>
  </si>
  <si>
    <t>Identification of public concerns about radiation through a big data analysis of questions posted on a portal site in Korea</t>
  </si>
  <si>
    <t>NUCLEAR ENGINEERING AND TECHNOLOGY</t>
  </si>
  <si>
    <t>Concerns; Radiation; Korean public; Big data analysis; TF-IDF analysis</t>
  </si>
  <si>
    <t>RISK PERCEPTION</t>
  </si>
  <si>
    <t>This paper analyzed the primary concerns about radiation among the Korean public with a big data analysis of questions posted at the section of Knowledge iN on the portal site NAVER in Korea from January 2010 to August 2020. First, we extracted questions about radiation and categorized them into the three categories with TF-IDF analysis: Medical, Career Counseling, and General Interest. The Medical category includes questions about radiation diagnosis or treatment. The Career Counseling category includes questions about entering college and the prospect of finding jobs in radiation-related fields. The General Interest category includes questions about terminology and the basic knowledge of radiation or radioisotopes. Second, we extracted common questions for each category. Finally, we analyzed the temporal change in the numbers of questions for each category to confirm whether there is any correlation between radiation-related events and the number of questions. The analysis results demonstrate that major radiation-related events have little relevance to the number of questions except during March 2011. (c) 2020 Korean Nuclear Society, Published by Elsevier Korea LLC. This is an open access article under the CC BY-NC-ND license (http://creativecommons.org/licenses/by-nc-nd/4.0/).</t>
  </si>
  <si>
    <t>[Jeong, So Yun; Kim, Jae Wook; Joo, Han Young; Kim, Young Seo; Moon, Joo Hyun] Dankook Univ, Dept Nucl Engn, 119 Dandae Ro, Cheonan 31116, Chungnam, South Korea</t>
  </si>
  <si>
    <t>Dankook University</t>
  </si>
  <si>
    <t>Moon, JH (corresponding author), Dankook Univ, Dept Nucl Engn, 119 Dandae Ro, Cheonan 31116, Chungnam, South Korea.</t>
  </si>
  <si>
    <t>jhmoon86@dankook.ac.kr</t>
  </si>
  <si>
    <t>Moon, Joo Hyun/KOC-8488-2024</t>
  </si>
  <si>
    <t>Moon, Joo Hyun/0000-0003-3814-6294; Joo, Han Young/0000-0001-5021-9391</t>
  </si>
  <si>
    <t>National Research Foundation of Korea (NRF) - Korean government (Ministry of Science and ICT) [2020M2D2A2062436]</t>
  </si>
  <si>
    <t>National Research Foundation of Korea (NRF) - Korean government (Ministry of Science and ICT)</t>
  </si>
  <si>
    <t>This work was supported by the National Research Foundation of Korea (NRF) grant funded by the Korean government (Ministry of Science and ICT) . (No. 2020M2D2A2062436) .</t>
  </si>
  <si>
    <t>KOREAN NUCLEAR SOC</t>
  </si>
  <si>
    <t>DAEJEON</t>
  </si>
  <si>
    <t>NUTOPIA BLDG, 342-1 JANGDAE-DONG, DAEJEON, 305-308, SOUTH KOREA</t>
  </si>
  <si>
    <t>1738-5733</t>
  </si>
  <si>
    <t>NUCL ENG TECHNOL</t>
  </si>
  <si>
    <t>Nucl. Eng. Technol.</t>
  </si>
  <si>
    <t>10.1016/j.net.2020.11.029</t>
  </si>
  <si>
    <t>Nuclear Science &amp; Technology</t>
  </si>
  <si>
    <t>SF6DC</t>
  </si>
  <si>
    <t>WOS:000652842800007</t>
  </si>
  <si>
    <t>Etzel, JM; Wille, B; De Fruyt, F; Nagy, G</t>
  </si>
  <si>
    <t>Etzel, Julian M.; Wille, Bart; De Fruyt, Filip; Nagy, Gabriel</t>
  </si>
  <si>
    <t>Linking personality traits to vocational interest profiles via the circumplex: Research synthesis and new applications</t>
  </si>
  <si>
    <t>Vocational interests; Personality traits; Five factor model; Circumplex; Interest profiles</t>
  </si>
  <si>
    <t>HIGHER-ORDER FACTORS; BIG 5 INVENTORY; 5-FACTOR MODEL; SPHERICAL MODEL; INTEREST CONGRUENCE; RIASEC TYPES; WORK VALUES; CAREER; DIMENSIONS; HOLLAND</t>
  </si>
  <si>
    <t>Vocational interests and personality traits are among the most important and widely studied individual differences constructs in vocational psychology. Although many studies have examined their bivariate associations, no study has approached this question from a profile-based perspective. In this study, we close this gap by linking personality traits to vocational interest profiles via the circumplex, an established model for structuring the interrelations between interest domains. We illustrate potential pitfalls of focusing solely on isolated bivariate associations and show how the circumplex makes it possible to summarize and visualize complex correlation patterns in a directly interpretable way. Study 1 presents a meta-analytic reanalysis of the relationships between FFM traits and RIASEC interests (N = 18,291, k = 27). Study 2 uses a latent circumplex model to better understand how strong these associations truly are and to examine their consistency across different interest taxonomies. Specifically, we apply the latent circumplex model to the aggregated data from Study 1 and to two different datasets from Germany (N = 1032) and Belgium (N = 1317). Results were remarkably consistent, demonstrating that personality traits are more strongly associated with profile configurations compared to profile levels. Openness was almost as strongly related to individual differences in interest configurations as a typical interest scale. Similarly strong associations were found for Extraversion and Agreeableness, whereas those with Neuroticism and Conscientiousness were weaker. These results shed new light on how interests and traits can be integrated, with important implications for theory and practice.</t>
  </si>
  <si>
    <t>[Etzel, Julian M.] Univ Psychol, Charlotte Fresenius Hsch, Alte Rabenstr 32, D-20148 Hamburg, Germany; [Wille, Bart; De Fruyt, Filip] Univ Ghent, Ghent, Belgium; [Nagy, Gabriel] Leibniz Inst Sci &amp; Math Educ, Kiel, Germany</t>
  </si>
  <si>
    <t>Ghent University; Leibniz Association; Leibniz Institut fur die Padagogik der Naturwissenschaften und Mathematik an der Universitat Kiel (IPN)</t>
  </si>
  <si>
    <t>Etzel, JM (corresponding author), Univ Psychol, Charlotte Fresenius Hsch, Alte Rabenstr 32, D-20148 Hamburg, Germany.</t>
  </si>
  <si>
    <t>julian.etzel@charlotte-fresenius-uni.de</t>
  </si>
  <si>
    <t>Wille, Bart/Q-4897-2016; De Fruyt, Filip/A-3083-2009</t>
  </si>
  <si>
    <t>10.1016/j.jvb.2025.104191</t>
  </si>
  <si>
    <t>9EP9S</t>
  </si>
  <si>
    <t>WOS:001604519900001</t>
  </si>
  <si>
    <t>Clarke, S; Dunlap, G; FosterJohnson, L; Childs, KE; Wilson, D; White, R; Vera, A</t>
  </si>
  <si>
    <t>Improving the conduct of students with behavioral disorders by incorporating student interests into curricular activities</t>
  </si>
  <si>
    <t>BEHAVIORAL DISORDERS</t>
  </si>
  <si>
    <t>HANDICAPPED STUDENTS; REINFORCERS; PREFERENCES</t>
  </si>
  <si>
    <t>This investigation explored the effects of individualized, curricular accommodations that were developed to reduce the problem behaviors of four students who exhibited behavioral challenges. First, assessments were conducted to identify curricular assignments associated with high levels of problem behavior and to determine the students' individual preferences and interests. This information was then used to modify the assignments in accordance with the students' interests while maintaining the integrity of the instructional objectives. These modifications resulted in reduced levels of problem behavior and elevated rates of desirable behavior for each student. Data on response rate and work completion also favored the interesting assignments. The effects were demonstrated within ongoing academic activities and were replicated through the use of reversal designs. These data contribute to a growing recognition that curricular adaptations which incorporate student interests can exert significant influences on the behavior of students in classroom environments.</t>
  </si>
  <si>
    <t>Clarke, S (corresponding author), UNIV S FLORIDA, FLORIDA MENTAL HLTH INST, DEPT CHILD &amp; FAMILY STUDIES, TAMPA, FL 33620 USA.</t>
  </si>
  <si>
    <t>0198-7429</t>
  </si>
  <si>
    <t>2163-5307</t>
  </si>
  <si>
    <t>BEHAV DISORDERS</t>
  </si>
  <si>
    <t>Behav. Disord.</t>
  </si>
  <si>
    <t>Psychology, Clinical; Education, Special; Psychology, Educational</t>
  </si>
  <si>
    <t>Psychology; Education &amp; Educational Research</t>
  </si>
  <si>
    <t>UA972</t>
  </si>
  <si>
    <t>WOS:A1995UA97200001</t>
  </si>
  <si>
    <t>Yang, XT; Li, YC; Luo, JB</t>
  </si>
  <si>
    <t>Yang, Xitong; Li, Yuncheng; Luo, Jiebo</t>
  </si>
  <si>
    <t>Pinterest Board Recommendation for Twitter Users</t>
  </si>
  <si>
    <t>cross-network recommendation; multi-label classification</t>
  </si>
  <si>
    <t>Pinboard on Pinterest is an emerging media to engage online social media users, on which users post online images for specific topics. Regardless of its significance, there is little previous work specifically to facilitate information discovery based on pinboards. This paper proposes a novel pin board recommendation system for Twitter users. In order to associate contents from the two social media platforms, we propose to use MultiLabel classification to map Twitter user followees to pinboard topics and visual diversification to recommend pinboards given user interested topics. A preliminary experiment on a dataset with 2000 users validated our proposed system.</t>
  </si>
  <si>
    <t>[Yang, Xitong; Li, Yuncheng; Luo, Jiebo] Univ Rochester, Rochester, NY 14623 USA</t>
  </si>
  <si>
    <t>University of Rochester</t>
  </si>
  <si>
    <t>Yang, XT (corresponding author), Univ Rochester, Rochester, NY 14623 USA.</t>
  </si>
  <si>
    <t>xyang35@cs.rochester.edu; yli@cs.rochester.edu; jluo@cs.rochester.edu</t>
  </si>
  <si>
    <t>Luo, Jiebo/AAI-7549-2020</t>
  </si>
  <si>
    <t>Luo, Jiebo/0000-0002-4516-9729</t>
  </si>
  <si>
    <t>10.1145/2733373.2806375</t>
  </si>
  <si>
    <t>WOS:000387861300168</t>
  </si>
  <si>
    <t>User data discovery and aggregation: The CS-UDD algorithm</t>
  </si>
  <si>
    <t>Social web; User profiling; User data discovery; Information retrieval; Entity matching; Entity linkage</t>
  </si>
  <si>
    <t>SYSTEM; INTEROPERABILITY</t>
  </si>
  <si>
    <t>In the social web, people use social systems for sharing content and opinions, for communicating with friends, for tagging, etc. People usually have different accounts and different profiles on all of these systems. Several tools for user data aggregation and people search have been developed and protocols and standards for data portability have been defined. This paper presents an approach and an algorithm, named Cross-System User Data Discovery (CS-UDD), to retrieve and aggregate user data distributed on social websites. It is designed to crawl websites, retrieve profiles that may belong to the searched user, correlate them, aggregate the discovered data and return them to the searcher which may, for example, be an adaptive system. The user attributes retrieved, namely attribute-value pairs, are associated with a certainty factor that expresses the confidence that they are true for the searched user. To test the algorithm, we ran it on two popular social networks, MySpace and Flickr. The evaluation has demonstrated the ability of the CS-UDD algorithm to discover unknown user attributes and has revealed high precision of the discovered attributes. (c) 2014 Elsevier Inc. All rights reserved.</t>
  </si>
  <si>
    <t>[Carmagnola, Francesca; Osborne, Francesco] Univ Turin, Dept Comp Sci, I-10124 Turin, Italy; [Torre, Ilaria] Univ Genoa, Dept Comp Sci Bioengn Robot &amp; Syst Engn, I-16126 Genoa, Italy; [Osborne, Francesco] Open Univ, Knowledge Media Inst, London, England</t>
  </si>
  <si>
    <t>University of Turin; University of Genoa; Open University - UK</t>
  </si>
  <si>
    <t>Torre, I (corresponding author), Univ Genoa, Dept Comp Sci Bioengn Robot &amp; Syst Engn, I-16126 Genoa, Italy.</t>
  </si>
  <si>
    <t>francesca.carmagnola@di.unito.it; francesco.osborne@di.unito.it; ilaria.torre@unige.it</t>
  </si>
  <si>
    <t>JUN 20</t>
  </si>
  <si>
    <t>10.1016/j.ins.2014.02.111</t>
  </si>
  <si>
    <t>AG7YV</t>
  </si>
  <si>
    <t>WOS:000335635600003</t>
  </si>
  <si>
    <t>Halder, S; Lim, KH; Chan, J; Zhang, XZ</t>
  </si>
  <si>
    <t>Halder, Sajal; Lim, Kwan Hui; Chan, Jeffrey; Zhang, Xiuzhen</t>
  </si>
  <si>
    <t>POI recommendation with queuing time and user interest awareness</t>
  </si>
  <si>
    <t>DATA MINING AND KNOWLEDGE DISCOVERY</t>
  </si>
  <si>
    <t>Points of Interest (POI); POI recommendation; Transformer; Multi-tasking; Multi-head attention; Queuing time; User interest</t>
  </si>
  <si>
    <t>Point-of-interest (POI) recommendation is a challenging problem due to different contextual information and a wide variety of human mobility patterns. Prior studies focus on recommendation that considers user travel spatiotemporal and sequential patterns behaviours. These studies do not pay attention to user personal interests, which is a significant factor for POI recommendation. Besides user interests, queuing time also plays a significant role in affecting user mobility behaviour, e.g., having to queue a long time to enter a POI might reduce visitor's enjoyment. Recently, attention-based recurrent neural networks-based approaches show promising performance in the next POI recommendation task. However, they are limited to single head attention, which can have difficulty in finding the appropriate user mobility behaviours considering complex relationships among POI spatial distances, POI check-in time, user interests and POI queuing times. In this research work, we are the first to consider queuing time and user interest awareness factors for next POI recommendation. We demonstrate how it is non-trivial to recommend a next POI and simultaneously predict its queuing time. To solve this problem, we propose a multi-task, multi-head attention transformer model called TLR-M_UI. The model recommends the next POIs to the target users and predicts queuing time to access the POIs simultaneously by considering user mobility behaviours. The proposed model utilises POIs description-based user personal interest that can also solve the new categorical POI cold start problem. Extensive experiments on six real-world datasets show that the proposed models outperform the state-of-the-art baseline approaches in terms of precision, recall, and F1-score evaluation metrics. The model also predicts and minimizes the queuing time. For the reproducibility of the proposed model, we have publicly shared our implementation code at GitHub (https://github.com/sajalhalder/TLR-M_UI).</t>
  </si>
  <si>
    <t>[Halder, Sajal; Chan, Jeffrey; Zhang, Xiuzhen] RMIT Univ, Sch Comp Technol, Melbourne, Vic, Australia; [Lim, Kwan Hui] Singapore Univ Technol &amp; Design, Singapore, Singapore</t>
  </si>
  <si>
    <t>Royal Melbourne Institute of Technology (RMIT); Singapore University of Technology &amp; Design</t>
  </si>
  <si>
    <t>Halder, S (corresponding author), RMIT Univ, Sch Comp Technol, Melbourne, Vic, Australia.</t>
  </si>
  <si>
    <t>sajal.halder@.student.rmit.edu.au; kwanhui_jim@sutd.edu.sg; jeffrey.chan@rmit.edu.au; xiuzhen.zhang@rmit.edu.au</t>
  </si>
  <si>
    <t>; Halder, Sajal/LZF-3500-2025; Lim, Kwan Hui/H-8416-2014</t>
  </si>
  <si>
    <t>Chan, Jeffrey/0000-0002-7865-072X; Halder, Sajal/0000-0002-0965-6255;</t>
  </si>
  <si>
    <t>CAUL</t>
  </si>
  <si>
    <t>Open Access funding enabled and organized by CAUL and its Member Institutions.</t>
  </si>
  <si>
    <t>1384-5810</t>
  </si>
  <si>
    <t>1573-756X</t>
  </si>
  <si>
    <t>DATA MIN KNOWL DISC</t>
  </si>
  <si>
    <t>Data Min. Knowl. Discov.</t>
  </si>
  <si>
    <t>10.1007/s10618-022-00865-w</t>
  </si>
  <si>
    <t>OCT 2022</t>
  </si>
  <si>
    <t>6G4WD</t>
  </si>
  <si>
    <t>WOS:000863549200001</t>
  </si>
  <si>
    <t>Jahari, AF; Shafian, SRM; Husin, H; Razali, N; Irawan, S</t>
  </si>
  <si>
    <t>Jahari, Ahmad Fadhil; Shafian, Siti Rohaida Mohd; Husin, Hazlina; Razali, Norzafirah; Irawan, Sonny</t>
  </si>
  <si>
    <t>Quantification method of suspended solids in micromodel using image analysis</t>
  </si>
  <si>
    <t>JOURNAL OF PETROLEUM EXPLORATION AND PRODUCTION TECHNOLOGY</t>
  </si>
  <si>
    <t>Image analysis; Micromodel; Suspended solids; Formation damage</t>
  </si>
  <si>
    <t>PETROLEUM SYSTEMS; FLOW</t>
  </si>
  <si>
    <t>Micromodel can provide valuable information to improve understanding of pore-scale transport phenomenon and can also be utilized to simulate the transport process at pore scale. This research aims to propose settlement option for quantification of suspended solids in micromodel. The micromodel is used to mimic the formation damage which occurs in reservoir formation that could simultaneously affect enhanced oil recovery. This is done by utilizing visual image interpretation through image analysis on micromodel chip. Following the quantification of suspended solids, the micromodel was injected with brine that eventually forms agglomeration. Images are taken from NIS-Element AR microscope automatically in RGB color profile and then made into grayscale and finally into binary modes. Since the micromodel is simulated in 2D form structure, the quantification method complemented with image analysis is focusing on the quantified area, mu m(2) region of interest categorized into 3 main groups of area B05, M45 and T50, respectively. This research will explore on segmentation and thresholding processes of the visual data acquired from micromodel experiment. An image-based computational algorithm is programmed in MATLAB Image Processing Toolbox and ImageJ; hence, suspended solids in porous media could be quantified from the visual image executed in micromodel.</t>
  </si>
  <si>
    <t>[Jahari, Ahmad Fadhil; Husin, Hazlina] Univ Teknol PETRONAS, Petr Engn Dept, Tronoh, Perak, Malaysia; [Shafian, Siti Rohaida Mohd; Razali, Norzafirah] Hydrocarbon Recovery Technol PETRONAS Res Sdn Bhd, Kajang, Selangor, Malaysia; [Irawan, Sonny] Nazarbayev Univ, Petr Engn Dept, Nur Sultan, Kazakhstan</t>
  </si>
  <si>
    <t>Universiti Teknologi Petronas; Nazarbayev University</t>
  </si>
  <si>
    <t>Jahari, AF (corresponding author), Univ Teknol PETRONAS, Petr Engn Dept, Tronoh, Perak, Malaysia.</t>
  </si>
  <si>
    <t>ahmad_18001738@utp.edu</t>
  </si>
  <si>
    <t>Husin, Hazlina/GZN-2552-2022</t>
  </si>
  <si>
    <t>Universiti Teknologi PETRONAS under cost center [0153CB-017]</t>
  </si>
  <si>
    <t>Universiti Teknologi PETRONAS under cost center</t>
  </si>
  <si>
    <t>This research is supported by Universiti Teknologi PETRONAS under cost center 0153CB-017.</t>
  </si>
  <si>
    <t>2190-0558</t>
  </si>
  <si>
    <t>2190-0566</t>
  </si>
  <si>
    <t>J PET EXPLOR PROD TE</t>
  </si>
  <si>
    <t>J. Pet. Explor. Prod. Technol.</t>
  </si>
  <si>
    <t>10.1007/s13202-021-01153-x</t>
  </si>
  <si>
    <t>Energy &amp; Fuels; Engineering, Petroleum; Geosciences, Multidisciplinary</t>
  </si>
  <si>
    <t>Energy &amp; Fuels; Engineering; Geology</t>
  </si>
  <si>
    <t>TW7FX</t>
  </si>
  <si>
    <t>WOS:000640243300001</t>
  </si>
  <si>
    <t>Pliner, EM; Dukes, AA; Beschorner, KE; Mahboobin, A</t>
  </si>
  <si>
    <t>Pliner, Erika M.; Dukes, April A.; Beschorner, Kurt E.; Mahboobin, Arash</t>
  </si>
  <si>
    <t>Effects of Student Interests on Engagement and Performance in Biomechanics</t>
  </si>
  <si>
    <t>JOURNAL OF APPLIED BIOMECHANICS</t>
  </si>
  <si>
    <t>student engagement; personalized learning; teaching method; student performance</t>
  </si>
  <si>
    <t>There is a need for pedagogical techniques that increase student engagement among underrepresented groups in engineering. Relating engineering content to student interests, particularly through biomechanics applications, shows promise toward engaging a diverse group of students. This study investigates the effects of student interests on engagement and performance in 10th grade students enrolled in a summer program for students underrepresented in the science, technology, engineering, and mathematics fields. The authors assessed the effects of interest-tailored lectures on student engagement and performance in a 5-week program with bioengineering workshops, focusing on the delivery of biomechanics content. A total of 31 students received interest-tailored lectures (intervention) and 23 students received only generic lectures (control) in biomechanics. In addition, the authors assessed the effects of teaching method (lecture, classroom activities, and laboratory tours) on student engagement. The authors found interest-tailored lectures to significantly increase student engagement in lecture compared with generic lectures. Students that received interest-tailored lectures had an insignificant, but meaningful 5% increase in student performance. Students rated laboratory tours higher in engagement than other teaching methods. This study provides detailed examples that can directly assist student teaching and outreach in biomechanics. Furthermore, the pedagogical techniques in this study can be used to increase engagement of underrepresented students in engineering.</t>
  </si>
  <si>
    <t>[Pliner, Erika M.; Beschorner, Kurt E.; Mahboobin, Arash] Univ Pittsburgh, Dept Bioengn, Pittsburgh, PA 15260 USA; [Dukes, April A.] Univ Pittsburgh, Engn Educ Res Ctr, Pittsburgh, PA USA</t>
  </si>
  <si>
    <t>Pennsylvania Commonwealth System of Higher Education (PCSHE); University of Pittsburgh; Pennsylvania Commonwealth System of Higher Education (PCSHE); University of Pittsburgh</t>
  </si>
  <si>
    <t>Pliner, EM (corresponding author), Univ Pittsburgh, Dept Bioengn, Pittsburgh, PA 15260 USA.</t>
  </si>
  <si>
    <t>emp95@pitt.edu</t>
  </si>
  <si>
    <t>; Pliner, Erika/HPH-1584-2023</t>
  </si>
  <si>
    <t>Dukes, April/0000-0002-6626-9331; Pliner, Erika/0000-0002-0713-5675</t>
  </si>
  <si>
    <t>National Science Foundation Graduate Research Fellowship Program [NSF GRFP 1247842]</t>
  </si>
  <si>
    <t>National Science Foundation Graduate Research Fellowship Program(National Science Foundation (NSF))</t>
  </si>
  <si>
    <t>Special thanks to the Investing Now Program at the University of Pittsburgh. In particular, the authors would like to thank Ms Linda Demoise, Ms Heather Mordecki, and Dr Alaine Allen for their administrative support. This work was supported by the National Science Foundation Graduate Research Fellowship Program (NSF GRFP 1247842). The authors have no conflicts of interest to disclose.</t>
  </si>
  <si>
    <t>1065-8483</t>
  </si>
  <si>
    <t>1543-2688</t>
  </si>
  <si>
    <t>J APPL BIOMECH</t>
  </si>
  <si>
    <t>J. Appl. Biomech.</t>
  </si>
  <si>
    <t>10.1123/jab.2020-0029</t>
  </si>
  <si>
    <t>Engineering, Biomedical; Sport Sciences</t>
  </si>
  <si>
    <t>Engineering; Sport Sciences</t>
  </si>
  <si>
    <t>NY1BR</t>
  </si>
  <si>
    <t>WOS:000576134000014</t>
  </si>
  <si>
    <t>A preliminary examination of occupations and interests in Australia</t>
  </si>
  <si>
    <t>AUSTRALIAN JOURNAL OF CAREER DEVELOPMENT</t>
  </si>
  <si>
    <t>Vocational interest; occupations; career interest classifications; education; skill level</t>
  </si>
  <si>
    <t>DIMENSIONS; PERSONALITY</t>
  </si>
  <si>
    <t>This paper analyses the interest content of all 1016 Australian occupations. These were classified according to vocational interests (i.e. outdoor, practical, scientific, creative, business, office, people contact, health, community, and computing), educational qualifications, and skill level, as well as in terms of the six Holland (RIASEC) types. Just over half of all occupations in Australia involve a practical interest. Creative interest was the least common occupational interest (9.2% of occupations). Some 80% of occupations covered more than one interest content, and in four instances, as many as six interests. Practical and people contact interests were negatively correlated (r=-.50). Occupational interest categories were consistent with the Holland types except that outdoor and practical interests in Australia did not correlate meaningfully with realistic. Occupational interests were related to educational requirements and skill levels. Outdoor and practical occupations were focused at the lower skill levels. Scientific and computing included the highest skill levels.</t>
  </si>
  <si>
    <t>[Athanasou, James A.] Univ Sydney, Lidcombe, NSW, Australia</t>
  </si>
  <si>
    <t>University of Sydney</t>
  </si>
  <si>
    <t>Athanasou, JA (corresponding author), Univ Sydney, Discipline Rehabil Counselling, Lidcombe, NSW 2141, Australia.</t>
  </si>
  <si>
    <t>james.athanasou@sydney.edu.au</t>
  </si>
  <si>
    <t>1038-4162</t>
  </si>
  <si>
    <t>2200-6974</t>
  </si>
  <si>
    <t>AUST J CAREER DEV</t>
  </si>
  <si>
    <t>Aust. J. Career Dev.</t>
  </si>
  <si>
    <t>10.1177/1038416217718364</t>
  </si>
  <si>
    <t>FF4EF</t>
  </si>
  <si>
    <t>WOS:000408886100005</t>
  </si>
  <si>
    <t>Sun, JS; Mei, SY; Yuan, K; Jiang, YC; Cao, J</t>
  </si>
  <si>
    <t>Sun, Jianshan; Mei, Suyuan; Yuan, Kun; Jiang, Yuanchun; Cao, Jie</t>
  </si>
  <si>
    <t>Prerequisite-Enhanced Category-Aware Graph Neural Networks for Course Recommendation</t>
  </si>
  <si>
    <t>Course recommendation; MOOCs; prerequisite relationship; graph neural network</t>
  </si>
  <si>
    <t>The rapid development of Massive Open Online Courses (MOOCs) platforms has created an urgent need for an efficient personalized course recommender system that can assist learners of all backgrounds and levels of knowledge in selecting appropriate courses. Currently, most existing methods utilize a sequential recommendation paradigm that captures the user's learning interests from their learning history, typically through recurrent or graph neural networks. However, fewer studies have explored how to incorporate principles of human learning at both the course and category levels to enhance course recommendations. In this article, we aim at addressing this gap by introducing a novel model, named Prerequisite-Enhanced Catory-Aware Graph Neural Network (PCGNN), for course recommendation. Specifically, we first construct a course prerequisite graph that reflects the human learning principles and further pre-train the course prerequisite relationships as the base embeddings for courses and categories. Then, to capture the user's complex learning patterns, we build an item graph and a category graph from the user's historical learning records, respectively: (1) the item graph reflects the course-level local learning transition patterns and (2) the category graph provides insight into the user's long-term learning interest. Correspondingly, we propose a user interest encoder that employs a gated graph neural network to learn the course-level user interest embedding and design a category transition pattern encoder that utilizes GRU to yield the category-level user interest embedding. Finally, the two fine-grained user interest embeddings are fused to achieve precise course prediction. Extensive experiments on two real-world datasets demonstrate the effectiveness of PCGNN compared with other state-of-the-art methods.</t>
  </si>
  <si>
    <t>[Sun, Jianshan; Mei, Suyuan; Yuan, Kun; Jiang, Yuanchun; Cao, Jie] Hefei Univ Technol, Sch Management, 193 Tunxi Rd, Hefei 230009, Anhui, Peoples R China; [Sun, Jianshan] Minist Educ, Key Lab Proc Optimizat &amp; Intelligent Decis Making, Hefei 230009, Anhui, Peoples R China; [Yuan, Kun] Hefei Univ Technol, Intelligent Interconnected Syst Lab Anhui Prov, Hefei 230009, Anhui, Peoples R China; [Jiang, Yuanchun] Key Lab Philosophy &amp; Social Sci Cyberspace Behav, Hefei 230009, Anhui, Peoples R China</t>
  </si>
  <si>
    <t>Hefei University of Technology; Hefei University of Technology</t>
  </si>
  <si>
    <t>Yuan, K (corresponding author), Hefei Univ Technol, Sch Management, 193 Tunxi Rd, Hefei 230009, Anhui, Peoples R China.;Yuan, K (corresponding author), Hefei Univ Technol, Intelligent Interconnected Syst Lab Anhui Prov, Hefei 230009, Anhui, Peoples R China.</t>
  </si>
  <si>
    <t>sunjs9413@hfut.edu.cn; 1330135114@qq.com; yuankun@hfut.edu.cn; ycjiang@hfut.edu.cn; cao_jie@hfut.edu.cn</t>
  </si>
  <si>
    <t>Cao, Jie/MYR-7113-2025</t>
  </si>
  <si>
    <t>Yuan, Kun/0000-0002-6542-4483</t>
  </si>
  <si>
    <t>National Natural Science Foundation of China [72271083, 72342011, 72101076, 72101072]; Fundamental Research Funds for the Central Universities of China [PA2023IISL0090, JZ2023YQTD0075]</t>
  </si>
  <si>
    <t>National Natural Science Foundation of China(National Natural Science Foundation of China (NSFC)); Fundamental Research Funds for the Central Universities of China(Fundamental Research Funds for the Central Universities)</t>
  </si>
  <si>
    <t>This work was supported by the National Natural Science Foundation of China (72271083, 72342011, 72101076, 72101072), the Fundamental Research Funds for the Central Universities of China (Grant No. PA2023IISL0090, JZ2023YQTD0075).</t>
  </si>
  <si>
    <t>10.1145/3643644</t>
  </si>
  <si>
    <t>OQ3I1</t>
  </si>
  <si>
    <t>WOS:001208696700008</t>
  </si>
  <si>
    <t>de Gemmis, M; Iaquinta, L; Lops, P; Musto, C; Narducci, F; Semeraro, G</t>
  </si>
  <si>
    <t>Furnkranz, J; Hullermeier, E</t>
  </si>
  <si>
    <t>de Gemmis, Marco; Iaquinta, Leo; Lops, Pasquale; Musto, Cataldo; Narducci, Fedelucio; Semeraro, Giovanni</t>
  </si>
  <si>
    <t>Learning Preference Models in Recommender Systems</t>
  </si>
  <si>
    <t>PREFERENCE LEARNING</t>
  </si>
  <si>
    <t>USER PROFILES</t>
  </si>
  <si>
    <t>As proved by the continuous growth of the number of web sites which embody recommender systems as a way of personalizing the experience of users with their content, recommender systems represent one of the most popular applications of principles and techniques coming from Information Filtering (IF). As IF techniques usually perform a progressive removal of nonrelevant content according to the information stored in a user profile, recommendation algorithms process information about user interests acquired in an explicit (e.g., letting users express their opinion about items) or implicit (e.g., studying some behavioral features) way and exploit these data to generate a list of recommended items. Although each type of filtering method has its own weaknesses and strengths, preference handling is one of the core issues in the design of every recommender system: since these systems aim to guide users in a personalized way to interesting or useful objects in a large space of possible options, it is important for them to accurately capture and model user preferences. The goal of this chapter is to provide a general overview of the approaches to learning preference models in the context of recommender systems. In the first part, we introduce general concepts and terminology of recommender systems, giving a brief analysis of advantages and drawbacks for each filtering approach. Then we will deal with the issue of learning preference models, show the most popular techniques for profile learning and preference elicitation, and analyze methods for feedback gathering in recommender systems.</t>
  </si>
  <si>
    <t>[de Gemmis, Marco; Iaquinta, Leo; Lops, Pasquale; Musto, Cataldo; Narducci, Fedelucio; Semeraro, Giovanni] Univ Bari Aldo Moro, Dept Comp Sci, Bari, Italy</t>
  </si>
  <si>
    <t>de Gemmis, M (corresponding author), Univ Bari Aldo Moro, Dept Comp Sci, Bari, Italy.</t>
  </si>
  <si>
    <t>degemmis@di.uniba.it; iaquinta@di.uniba.it; lops@di.uniba.it; cataldomusto@di.uniba.it; narducci@di.uniba.it; semeraro@di.uniba.it</t>
  </si>
  <si>
    <t>; Semeraro, Giovanni/AAC-2156-2020; Lops, Pasquale/E-7509-2014; de Gemmis, Marco/E-9490-2014</t>
  </si>
  <si>
    <t>Musto, Cataldo/0000-0001-6089-928X; narducci, fedelucio/0000-0002-9255-3256; Semeraro, Giovanni/0000-0001-6883-1853; Lops, Pasquale/0000-0002-6866-9451; de Gemmis, Marco/0000-0002-2007-9559</t>
  </si>
  <si>
    <t>978-3-642-14124-9</t>
  </si>
  <si>
    <t>10.1007/978-3-642-14125-6_18</t>
  </si>
  <si>
    <t>BSO46</t>
  </si>
  <si>
    <t>WOS:000285117600018</t>
  </si>
  <si>
    <t>Heumann, M; Kraschewski, T; Brauner, T; Tilch, L; Breitner, MH</t>
  </si>
  <si>
    <t>Heumann, Maximilian; Kraschewski, Tobias; Brauner, Tim; Tilch, Lukas; Breitner, Michael H.</t>
  </si>
  <si>
    <t>A Spatiotemporal Study and Location-Specific Trip Pattern Categorization of Shared E-Scooter Usage</t>
  </si>
  <si>
    <t>e-scooter; micro-mobility; shared-mobility; land use analysis; spatiotemporal analysis; spatial allocation; HDBSCAN; big data</t>
  </si>
  <si>
    <t>CYCLE-TRACKS; BIKE-SHARE; WASHINGTON; DISTANCE; RISK</t>
  </si>
  <si>
    <t>This study analyzes the temporally resolved location and trip data of shared e-scooters over nine months in Berlin from one of Europe's most widespread operators. We apply time, distance, and energy consumption filters on approximately 1.25 million trips for outlier detection and trip categorization. Using temporally and spatially resolved trip pattern analyses, we investigate how the built environment and land use affect e-scooter trips. Further, we apply a density-based clustering algorithm to examine point of interest-specific patterns in trip generation. Our results suggest that e-scooter usage has point of interest related characteristics. Temporal peaks in e-scooter usage differ by point of interest category and indicate work-related trips at public transport stations. We prove these characteristic patterns with the statistical metric of cosine similarity. Considering average cluster velocities, we observe limited time-saving potential of e-scooter trips in congested areas near the city center.</t>
  </si>
  <si>
    <t>[Heumann, Maximilian; Kraschewski, Tobias; Brauner, Tim; Tilch, Lukas; Breitner, Michael H.] Leibniz Univ Hannover, Informat Syst Inst, D-30167 Hannover, Germany</t>
  </si>
  <si>
    <t>Leibniz University Hannover</t>
  </si>
  <si>
    <t>Heumann, M (corresponding author), Leibniz Univ Hannover, Informat Syst Inst, D-30167 Hannover, Germany.</t>
  </si>
  <si>
    <t>heumann@iwi.uni-hannover.de; kraschewski@iwi.uni-hannover.de; brauner@iwi.uni-hannover.de; tilch@iwi.uni-hannover.de; breitner@iwi.uni-hannover.de</t>
  </si>
  <si>
    <t>Heumann, Maximilian/JVN-5695-2024</t>
  </si>
  <si>
    <t>Heumann, Maximilian/0000-0002-3765-7423; Brauner, Tim/0000-0003-3260-5015; Breitner, Michael/0000-0001-7315-3022; Tilch, Lukas/0000-0002-8599-415X</t>
  </si>
  <si>
    <t>Open Access Fund of Leibniz Universitat Hannover</t>
  </si>
  <si>
    <t>The publication of this article was funded by the Open Access Fund of Leibniz Universitat Hannover.</t>
  </si>
  <si>
    <t>10.3390/su132212527</t>
  </si>
  <si>
    <t>YR3KS</t>
  </si>
  <si>
    <t>WOS:000749894000001</t>
  </si>
  <si>
    <t>Zhang, ZH; Chen, YW; Zhang, WZ; Yan, CX; Zheng, QH; Wang, Q; Chen, WD</t>
  </si>
  <si>
    <t>Zhang, Zhihao; Chen, Yiwei; Zhang, Weizhan; Yan, Caixia; Zheng, Qinghua; Wang, Qi; Chen, Wangdu</t>
  </si>
  <si>
    <t>Tile Classification Based Viewport Prediction with Multi-modal Fusion Transformer</t>
  </si>
  <si>
    <t>PROCEEDINGS OF THE 31ST ACM INTERNATIONAL CONFERENCE ON MULTIMEDIA, MM 2023</t>
  </si>
  <si>
    <t>31st ACM International Conference on Multimedia (MM)</t>
  </si>
  <si>
    <t>OCT 29-NOV 03, 2023</t>
  </si>
  <si>
    <t>viewport prediction; multi-modal fusion; transformer network; tile classification</t>
  </si>
  <si>
    <t>Viewport prediction is a crucial aspect of tile-based 360. video streaming system. However, existing trajectory based methods lack of robustness, also oversimplify the process of information construction and fusion between different modality inputs, leading to the error accumulation problem. In this paper, we propose a tile classification based viewport prediction method with Multi-modal Fusion Transformer, namely MFTR. Specifically, MFTR utilizes transformer-based networks to extract the long-range dependencies within each modality, then mine intra- and inter-modality relations to capture the combined impact of user historical inputs and video contents on future viewport selection. In addition, MFTR categorizes future tiles into two categories: user interested or not, and selects future viewport as the region that contains most user interested tiles. Comparing with predicting head trajectories, choosing future viewport based on tile's binary classification results exhibits better robustness and interpretability. To evaluate our proposed MFTR, we conduct extensive experiments on two widely used PVS-HM and Xu-Gaze dataset. MFTR shows superior performance over state-of-the-art methods in terms of average prediction accuracy and overlap ratio, also presents competitive computation efficiency.</t>
  </si>
  <si>
    <t>[Zhang, Zhihao; Chen, Yiwei; Zhang, Weizhan; Yan, Caixia; Zheng, Qinghua] Xi An Jiao Tong Univ, Sch Comp Sci &amp; Technol, Xian, Peoples R China; [Zhang, Zhihao; Chen, Yiwei; Zhang, Weizhan] Xi An Jiao Tong Univ, Key Lab Intelligent Networks &amp; Network Secur, Minist Educ, Xian, Peoples R China; [Yan, Caixia; Zheng, Qinghua] Xi An Jiao Tong Univ, Natl Engn Lab Big Data Analyt, Xian, Peoples R China; [Wang, Qi; Chen, Wangdu] MIGU Video, Shanghai, Peoples R China</t>
  </si>
  <si>
    <t>Xi'an Jiaotong University; Xi'an Jiaotong University; Xi'an Jiaotong University</t>
  </si>
  <si>
    <t>Zhang, WZ (corresponding author), Xi An Jiao Tong Univ, Sch Comp Sci &amp; Technol, Xian, Peoples R China.;Zhang, WZ (corresponding author), Xi An Jiao Tong Univ, Key Lab Intelligent Networks &amp; Network Secur, Minist Educ, Xian, Peoples R China.</t>
  </si>
  <si>
    <t>zh1142@stu.xjtu.edu.cn; chenyiwei2000@stu.xjtu.edu.com; zhangwzh@mail.xjtu.edu.cn; yancaixia@xjtu.edu.cn; qhzheng@mail.xjtu.edu.cn; wangqi@migu.cn; chenwangdu@migu.cn</t>
  </si>
  <si>
    <t>Chen, Yiwei/0000-0002-0219-9143; Zhang, Weizhan/0000-0003-0330-5435</t>
  </si>
  <si>
    <t>National Key R&amp;D Program of China [2020AAA0108800]; NSFC [62172326, 62137002]; MOE Innovation Research Team [IRT17R86]; China University Innovation Fund [2021FNA04003]; Project of China Knowledge Centre for Engineering Science and Technology</t>
  </si>
  <si>
    <t>National Key R&amp;D Program of China(National Key Research &amp; Development Program of China); NSFC(National Natural Science Foundation of China (NSFC)); MOE Innovation Research Team; China University Innovation Fund; Project of China Knowledge Centre for Engineering Science and Technology</t>
  </si>
  <si>
    <t>This work was supported by National Key R&amp;D Program of China No. 2020AAA0108800, NSFC under Grant 62172326 and 62137002, the MOE Innovation Research Team No. IRT17R86, China University Innovation Fund NO. 2021FNA04003, and the Project of China Knowledge Centre for Engineering Science and Technology.</t>
  </si>
  <si>
    <t>979-8-4007-0108-5</t>
  </si>
  <si>
    <t>10.1145/3581783.3613809</t>
  </si>
  <si>
    <t>Computer Science, Artificial Intelligence; Computer Science, Cybernetics; Computer Science, Interdisciplinary Applications; Computer Science, Theory &amp; Methods</t>
  </si>
  <si>
    <t>BW8BJ</t>
  </si>
  <si>
    <t>WOS:001199449103066</t>
  </si>
  <si>
    <t>Fu, ZJ; Ren, K; Shu, JG; Sun, XM; Huang, FX</t>
  </si>
  <si>
    <t>Fu, Zhangjie; Ren, Kui; Shu, Jiangang; Sun, Xingming; Huang, Fengxiao</t>
  </si>
  <si>
    <t>Enabling Personalized Search over Encrypted Outsourced Data with Efficiency Improvement</t>
  </si>
  <si>
    <t>Cloud security; outsourcing security; personalized search; user interest model</t>
  </si>
  <si>
    <t>KEYWORD RANKED SEARCH</t>
  </si>
  <si>
    <t>In cloud computing, searchable encryption scheme over outsourced data is a hot research field. However, most existing works on encrypted search over outsourced cloud data follow the model of one size fits all and ignore personalized search intention. Moreover, most of them support only exact keyword search, which greatly affects data usability and user experience. So how to design a searchable encryption scheme that supports personalized search and improves user search experience remains a very challenging task. In this paper, for the first time, we study and solve the problem of personalized multi-keyword ranked search over encrypted data (PRSE) while preserving privacy in cloud computing. With the help of semantic ontologyWordNet, we build a user interest model for individual user by analyzing the user's search history, and adopt a scoring mechanism to express user interest smartly. To address the limitations of the model of one size fit all and keyword exact search, we propose two PRSE schemes for different search intentions. Extensive experiments on real-world dataset validate our analysis and show that our proposed solution is very efficient and effective.</t>
  </si>
  <si>
    <t>[Fu, Zhangjie; Shu, Jiangang; Sun, Xingming; Huang, Fengxiao] Nanjing Univ Informat Sci &amp; Technol, Jiangsu Engn Ctr Network Monitoring, Sch Comp &amp; Software, Nanjing, Jiangsu, Peoples R China; [Fu, Zhangjie; Ren, Kui] SUNY Buffalo, Dept Comp Sci &amp; Engn, Buffalo, NY 14260 USA</t>
  </si>
  <si>
    <t>Nanjing University of Information Science &amp; Technology; University at Albany, SUNY; State University of New York (SUNY) System; University at Buffalo, SUNY</t>
  </si>
  <si>
    <t>Fu, ZJ (corresponding author), Nanjing Univ Informat Sci &amp; Technol, Jiangsu Engn Ctr Network Monitoring, Sch Comp &amp; Software, Nanjing, Jiangsu, Peoples R China.;Fu, ZJ (corresponding author), SUNY Buffalo, Dept Comp Sci &amp; Engn, Buffalo, NY 14260 USA.</t>
  </si>
  <si>
    <t>zhangjie@buffalo.edu; kuiren@buffalo.edu; kennethshu@126.com; sunnudt@163.com; hfx20101344034@163.com</t>
  </si>
  <si>
    <t>Shu, Jiangang/AAC-3046-2019; Sun, Xingming/AAD-1866-2019; Ren, Kui/AGE-3662-2022</t>
  </si>
  <si>
    <t>Shu, Jiangang/0000-0002-4650-8008; Ren, Kui/0000-0003-3441-6277</t>
  </si>
  <si>
    <t>National Science Foundation of China [61373133, U1536206, 61232016, U1405254, 61502242]; PAPD fund; Jiangsu Collaborative Innovation Center on Atmospheric Environment and Equipment Technology; Prospective Research Project on Future Networks of Jiangsu Future Networks Innovation Institute [BY2013095-4-10]; US National Science Foundation(NSF) [CNS-1262277]; [BK20150925]</t>
  </si>
  <si>
    <t>National Science Foundation of China(National Natural Science Foundation of China (NSFC)); PAPD fund; Jiangsu Collaborative Innovation Center on Atmospheric Environment and Equipment Technology; Prospective Research Project on Future Networks of Jiangsu Future Networks Innovation Institute; US National Science Foundation(NSF)(National Science Foundation (NSF));</t>
  </si>
  <si>
    <t>This work is supported by the National Science Foundation of China (61373133, U1536206, 61232016, U1405254, 61502242), BK20150925, PAPD fund, Jiangsu Collaborative Innovation Center on Atmospheric Environment and Equipment Technology, Prospective Research Project on Future Networks of Jiangsu Future Networks Innovation Institute (BY2013095-4-10), and US National Science Foundation(NSF) under grant CNS-1262277.</t>
  </si>
  <si>
    <t>10.1109/TPDS.2015.2506573</t>
  </si>
  <si>
    <t>DX2XW</t>
  </si>
  <si>
    <t>WOS:000384238000006</t>
  </si>
  <si>
    <t>Beven, F; Kanes, C; Roebuck, D</t>
  </si>
  <si>
    <t>What are the vocational pathways of Australian schoolleavers? A longitudinal study of interests and occupational destinations</t>
  </si>
  <si>
    <t>LEARNING TOGETHER, WORKING TOGETHER: BUILDING COMMUNITIES FOR THE 21ST CENTURY, VOL 2</t>
  </si>
  <si>
    <t>8th Annual International Conference on Post-Compulsory Education and Training</t>
  </si>
  <si>
    <t>DEC 04-06, 2000</t>
  </si>
  <si>
    <t>Griffith Univ, Ctr Learning &amp; Work Res, Fac Educ</t>
  </si>
  <si>
    <t>JOB MOBILITY; CAREER STABILITY; WHITE MEN</t>
  </si>
  <si>
    <t>The occupational Pathways of a representative national sample of Australian schoolleavers were examined over a seven-year period after leaving school. The study was based on the initial vocational interests of male and female high school pupils and formed part of the longitudinal Youth in Transition study - a national probability sample of Australian youth. Participants completed a 24-item questionnaire that reflected the hexagonal vocational interest typology of Holland. In a follow-up over a seven-year period (1985-1991), the full-time occupation was classified in terms of Realistic, Investigative, Artistic, Social, Enterprising or Conventional interest categories. Results indicated a major disparity between initial vocational interests and occupational destinations at the commencement of a career. There was sufficient evidence to argue that the vocational interests of youth were not always reflected by their initial occupational pathways. The results indicated greater congruence with the passage of time and point towards a period of career exploration followed by consistency.</t>
  </si>
  <si>
    <t>AUSTRALIAN ACAD PRESS</t>
  </si>
  <si>
    <t>BOWEN HILLS</t>
  </si>
  <si>
    <t>32 JEAYS ST, BOWEN HILLS, 4006, AUSTRALIA</t>
  </si>
  <si>
    <t>1-875378-34-0</t>
  </si>
  <si>
    <t>BBL94</t>
  </si>
  <si>
    <t>WOS:000226086600003</t>
  </si>
  <si>
    <t>Yabe, T; Bueno, BGB; Frank, MR; Pentland, A; Moro, E</t>
  </si>
  <si>
    <t>Yabe, Takahiro; Bueno, Bernardo Garcia Bulle; Frank, Morgan R.; Pentland, Alex; Moro, Esteban</t>
  </si>
  <si>
    <t>Behaviour-based dependency networks between places shape urban economic resilience</t>
  </si>
  <si>
    <t>NATURE HUMAN BEHAVIOUR</t>
  </si>
  <si>
    <t>MULTIPLE STORE PATRONAGE</t>
  </si>
  <si>
    <t>Disruptions, such as closures of businesses during pandemics, not only affect businesses and amenities directly but also influence how people move, spreading the impact to other businesses and increasing the overall economic shock. However, it is unclear how much businesses depend on each other during disruptions. Leveraging human mobility data and same-day visits in five US cities, we quantify dependencies between points of interest encompassing businesses, stores and amenities. We find that dependency networks computed from human mobility exhibit significantly higher rates of long-distance connections and biases towards specific pairs of point-of-interest categories. We show that using behaviour-based dependency relationships improves the predictability of business resilience during shocks by around 40% compared with distance-based models, and that neglecting behaviour-based dependencies can lead to underestimation of the spatial cascades of disruptions. Our findings underscore the importance of measuring complex relationships in patterns of human mobility to foster urban economic resilience to shocks.</t>
  </si>
  <si>
    <t>[Yabe, Takahiro; Bueno, Bernardo Garcia Bulle; Pentland, Alex; Moro, Esteban] MIT, Inst Data Syst &amp; Soc, Cambridge, MA 02139 USA; [Yabe, Takahiro] NYU, Ctr Urban Sci &amp; Progress Cusp, Tandon Sch Engn, Brooklyn, NY 10012 USA; [Yabe, Takahiro] NYU, Tandon Sch Engn, Dept Technol Management &amp; Innovat, Brooklyn, NY 11201 USA; [Frank, Morgan R.] Univ Pittsburgh, Dept Informat &amp; Networked Syst, Pittsburgh, PA USA; [Frank, Morgan R.] Stanford Univ, Inst Human Ctr AI, Digital Econ Lab, Stanford, CA USA; [Frank, Morgan R.; Pentland, Alex; Moro, Esteban] MIT, Media Lab, Cambridge, MA 02139 USA; [Moro, Esteban] Northeastern Univ, Dept Phys, Network Sci Inst, Boston, MA 02115 USA</t>
  </si>
  <si>
    <t>Massachusetts Institute of Technology (MIT); New York University; New York University Tandon School of Engineering; New York University; New York University Tandon School of Engineering; Pennsylvania Commonwealth System of Higher Education (PCSHE); University of Pittsburgh; Stanford University; Massachusetts Institute of Technology (MIT); Northeastern University</t>
  </si>
  <si>
    <t>Yabe, T; Moro, E (corresponding author), MIT, Inst Data Syst &amp; Soc, Cambridge, MA 02139 USA.;Yabe, T (corresponding author), NYU, Ctr Urban Sci &amp; Progress Cusp, Tandon Sch Engn, Brooklyn, NY 10012 USA.;Yabe, T (corresponding author), NYU, Tandon Sch Engn, Dept Technol Management &amp; Innovat, Brooklyn, NY 11201 USA.;Moro, E (corresponding author), MIT, Media Lab, Cambridge, MA 02139 USA.;Moro, E (corresponding author), Northeastern Univ, Dept Phys, Network Sci Inst, Boston, MA 02115 USA.</t>
  </si>
  <si>
    <t>takahiroyabe@nyu.edu; esteban.moroegido@gmail.com</t>
  </si>
  <si>
    <t>Rachmad, Yoesoep Edhie/GRE-6442-2022</t>
  </si>
  <si>
    <t>Rachmad, Yoesoep Edhie/0000-0001-6414-3252; Yabe, Takahiro/0000-0001-8967-1967; Pentland, Alex/0000-0002-8053-9983</t>
  </si>
  <si>
    <t>National Science Foundation [2425021, 2420945]; Ministerio de Ciencia e Innovacion/Agencia Espanola de Investigacion (MCIN/AEI) [PID2019-106811GB-C32]; [2218748]</t>
  </si>
  <si>
    <t>National Science Foundation(National Science Foundation (NSF)); Ministerio de Ciencia e Innovacion/Agencia Espanola de Investigacion (MCIN/AEI)(Spanish Government);</t>
  </si>
  <si>
    <t>We thank Spectus, who kindly provided us with the mobility data set for this research through their Data for Good programme. T.Y. acknowledges support by the National Science Foundation under grant number 2425021. E.M. acknowledges support by Ministerio de Ciencia e Innovacion/Agencia Espanola de Investigacion (MCIN/AEI/10.13039/501100011033) through grant PID2019-106811GB-C32 and the National Science Foundation under grants 2218748 and 2420945. The funders had no role in study design, data collection and analysis, decision to publish or preparation of the manuscript.</t>
  </si>
  <si>
    <t>2397-3374</t>
  </si>
  <si>
    <t>NAT HUM BEHAV</t>
  </si>
  <si>
    <t>Nat. Hum. Behav.</t>
  </si>
  <si>
    <t>10.1038/s41562-024-02072-7</t>
  </si>
  <si>
    <t>Psychology, Biological; Multidisciplinary Sciences; Neurosciences; Psychology, Experimental</t>
  </si>
  <si>
    <t>Psychology; Science &amp; Technology - Other Topics; Neurosciences &amp; Neurology</t>
  </si>
  <si>
    <t>0OC0E</t>
  </si>
  <si>
    <t>WOS:001381897800001</t>
  </si>
  <si>
    <t>Hoff, KA; Granillo-Velasquez, KE; Hanna, A; Morris, M; Nelson, HS; Oswald, FL</t>
  </si>
  <si>
    <t>Hoff, Kevin A.; Granillo-Velasquez, Kenneth E.; Hanna, Alexis; Morris, Mike; Nelson, Hannah S.; Oswald, Frederick L.</t>
  </si>
  <si>
    <t>Interested and employed? A national study of gender differences in basic interests and employment</t>
  </si>
  <si>
    <t>Gender; Vocational interests; Diversity; Workforce development; Careers; Employment</t>
  </si>
  <si>
    <t>VOCATIONAL INTERESTS; SEX-DIFFERENCES; INTEREST SCALES; CAREER; WOMEN; MEN; METAANALYSIS; ADULTHOOD; BARRIERS; CHOICE</t>
  </si>
  <si>
    <t>Research on vocational interests has played an important role in understanding workforce gender disparities. However, current understanding about gender differences in interests is primarily limited to broad RIASEC interest categories that average together differences in narrower interest scales. This study took a refined approach to examine gender differences in 30 basic vocational interests (e.g., medical science, management, social science) using a very large and diverse U.S. sample (N = 1,283,110). Results revealed that gender differences in basic interests are more complex than what can be captured using broad interests alone. There was meaningful variability in the pattern of mean gender differences across basic interests, even those related to the same RIASEC category. Turning to the labor market, we found that gender differences in basic interests showed high convergence with men and women's employment rates in corresponding occupations (r = 0.66). Despite this convergence, there were also discrepancies such that women's actual employment fell short of interest-based predictions in many high-status occupations and in jobs that involve working with tools and machinery. In contrast, fewer men were employed in prosocial occupations than predicted based on their interests. Finally, we examined how gender differences in basic interests varied across intersecting age, ethnicity, and education subgroups. The most striking finding was that gender differences in interests were considerably larger at lower education levels, pointing to specific educational tracks where applied initiatives might have the greatest impact in improving gender representation in the workforce.</t>
  </si>
  <si>
    <t>[Hoff, Kevin A.] Michigan State Univ, Dept Psychol, E Lansing, MI 48824 USA; [Granillo-Velasquez, Kenneth E.; Nelson, Hannah S.] Univ Houston, Dept Psychol, Houston, TX USA; [Hanna, Alexis] Univ Nevada, Dept Management, Reno, NV 89557 USA; [Morris, Mike] MBTI Co, Freeport, TX USA; [Oswald, Frederick L.] Rice Univ, Dept Psychol, Houston, TX USA</t>
  </si>
  <si>
    <t>Michigan State University; University of Houston System; University of Houston; Nevada System of Higher Education (NSHE); University of Nevada Reno; Rice University</t>
  </si>
  <si>
    <t>Hoff, KA (corresponding author), Michigan State Univ, Dept Psychol, E Lansing, MI 48824 USA.</t>
  </si>
  <si>
    <t>khoff@msu.edu</t>
  </si>
  <si>
    <t>; Hanna, Alexis/AAA-2409-2022</t>
  </si>
  <si>
    <t>Hoff, Kevin/0000-0003-3265-2209;</t>
  </si>
  <si>
    <t>10.1016/j.jvb.2023.103942</t>
  </si>
  <si>
    <t>DW4R3</t>
  </si>
  <si>
    <t>WOS:001135110400001</t>
  </si>
  <si>
    <t>Reformat, M; Golmohammadi, SK</t>
  </si>
  <si>
    <t>Reformat, Marek; Golmohammadi, Sayed Koosha</t>
  </si>
  <si>
    <t>Updating User Profile using Ontology-based Semantic Similarity</t>
  </si>
  <si>
    <t>2009 IEEE INTERNATIONAL CONFERENCE ON FUZZY SYSTEMS, VOLS 1-3</t>
  </si>
  <si>
    <t>18th IEEE International Conference on Fuzzy Systems</t>
  </si>
  <si>
    <t>AUG 20-24, 2009</t>
  </si>
  <si>
    <t>Jeju Isl, SOUTH KOREA</t>
  </si>
  <si>
    <t>The endless amount of information on the web, known as lost-in-hyper-sp ace syndrome, easily overwhelms users. User profiles are used as a means to support extracting relevant information by indicating user interests. In this paper, we propose a new method to develop and maintain a user profile by analyzing user's web access behavior. We propose an ontology-based semantic similarity measure and combine it with an importance measure to identify items that are of highest relevance to user interests. The proposed approach is used in a system for updating a user profile in music domain.</t>
  </si>
  <si>
    <t>[Reformat, Marek; Golmohammadi, Sayed Koosha] Univ Alberta, Dept Elect &amp; Comp Engn, Edmonton, AB T6G 2V4, Canada</t>
  </si>
  <si>
    <t>University of Alberta</t>
  </si>
  <si>
    <t>Reformat, M (corresponding author), Univ Alberta, Dept Elect &amp; Comp Engn, Edmonton, AB T6G 2V4, Canada.</t>
  </si>
  <si>
    <t>Marek.Reformat@ualberta.ca; golmoham@ualberta.ca</t>
  </si>
  <si>
    <t>Reformat, Marek Z/MTG-1616-2025</t>
  </si>
  <si>
    <t>Reformat, Marek Z/0000-0003-4783-0717</t>
  </si>
  <si>
    <t>978-1-4244-3596-8</t>
  </si>
  <si>
    <t>10.1109/FUZZY.2009.5277205</t>
  </si>
  <si>
    <t>Computer Science, Artificial Intelligence; Computer Science, Theory &amp; Methods; Mathematics, Applied</t>
  </si>
  <si>
    <t>BND85</t>
  </si>
  <si>
    <t>WOS:000274242600184</t>
  </si>
  <si>
    <t>Silpa, N; Rani, RS; Rao, VVRM; Amrutha, N; Reddy, SS; Kurada, RR</t>
  </si>
  <si>
    <t>Silpa, N.; Rani, R. Suneetha; Rao, Maheswara V. V. R.; Amrutha, N.; Reddy, Shiva Shankar; Kurada, Ramachandra Rao</t>
  </si>
  <si>
    <t>Investigating the Efficacy of Ensemble Machine Learning Models in Multi-Class Categorization of Web Pages for Spotlighting User Interests</t>
  </si>
  <si>
    <t>2024 2ND WORLD CONFERENCE ON COMMUNICATION &amp; COMPUTING, WCONF 2024</t>
  </si>
  <si>
    <t>2nd IEEE World Conference on Communication and Computing (WCONF)</t>
  </si>
  <si>
    <t>JUL 12-14, 2024</t>
  </si>
  <si>
    <t>Kalinga Univ, Raipur, INDIA</t>
  </si>
  <si>
    <t>IEEE,Govt India, Dept Sci &amp; Technol, Sci &amp; Engn Res Board,IEEE Tech Comm,IEEE MP Sect</t>
  </si>
  <si>
    <t>Kalinga Univ</t>
  </si>
  <si>
    <t>Webpage Classification; Website Classification; Ensemble Machine Learning; XGBoost; Random Forest; Webuser Interests; Recommendation System</t>
  </si>
  <si>
    <t>Web page categorization plays a crucial role in organizing the ever-growing repository of online content, facilitating improved search functionality, enabling personalized content delivery, enhancing recommendation systems, optimizing targeted advertising, and spotlighting user interests. Utilizing the predictive capabilities of Ensemble Machine Learning (EML) models is essential for automating the web page classification process, ensuring a more efficient identification of user preferences in the dynamic landscape of online content. Towards this objective, the present research study introduces the Ensemble Machine Learning-based Webpage Categorization System (EML-WCS), concentrating on all essential stages of the classification process. The EML-WCS gathers a large and open-source dataset, ensuring a representative sample of web content across various key domains. The pre-processing phase entails a series of text processing steps, including replacing separators, removing URLs, punctuation, and numbers, eliminating stop words, and performing lemmatization to enhance the quality of the provided text data. The EML-WCS leverages the ensemble capabilities of Random Forest and XGBoost techniques for multi-class classification of webpages based on content, achieving an impressive accuracy of 99.69% and 96.04%, respectively. The outcomes of this study have implications for industries spanning from e-commerce to content recommendation systems, highlighting the pivotal role of understanding and responding to user interests for achieving optimal user satisfaction and engagement.</t>
  </si>
  <si>
    <t>[Silpa, N.; Rao, Maheswara V. V. R.; Kurada, Ramachandra Rao] Shri Vishnu Engn Coll Women, Dept CSE, Bhimavaram, India; [Rani, R. Suneetha] BVRIT HYDERABAD Coll Engn Women, Dept CSE, Hyderabad, India; [Amrutha, N.] BVRIT HYDERABAD Coll Engn Women, Hyderabad, India; [Reddy, Shiva Shankar] SRKR Engn Coll, Dept CSE, Bhimavaram, India</t>
  </si>
  <si>
    <t>Shri Vishnu Engineering College for Women, Bhimavaram, India; SRKR Engineering College</t>
  </si>
  <si>
    <t>Silpa, N (corresponding author), Shri Vishnu Engn Coll Women, Dept CSE, Bhimavaram, India.</t>
  </si>
  <si>
    <t>nrusimhadri.silpa@gmail.com; suneetharani.r@bvrithyderabad.edu.in; mahesh_vvr@yahoo.com; nrusimhadri.amrutha@gmail.com; shiva.shankar591@gmail.com; ramachandrarao.kurada@gmail.com</t>
  </si>
  <si>
    <t>Kurada, Dr. Ramachandra Rao/AAR-2769-2020; , N Silpa/AAR-2812-2020; Reddy, Shiva Shankar/Q-2669-2016; , V V R Maheswara Rao/AAR-2806-2020</t>
  </si>
  <si>
    <t>, N Silpa/0000-0003-3411-0358; Reddy, Shiva Shankar/0000-0001-5439-0348; , V V R Maheswara Rao/0000-0002-0503-7211</t>
  </si>
  <si>
    <t>979-8-3503-9533-4; 979-8-3503-9532-7</t>
  </si>
  <si>
    <t>10.1109/WCONF61366.2024.10692090</t>
  </si>
  <si>
    <t>Computer Science, Interdisciplinary Applications; Telecommunications</t>
  </si>
  <si>
    <t>BX8VL</t>
  </si>
  <si>
    <t>WOS:001339364000115</t>
  </si>
  <si>
    <t>Zhang, SZ; Chen, LY; Shen, DZ; Wang, C; Xiong, H</t>
  </si>
  <si>
    <t>Zhang, Shengzhe; Chen, Liyi; Shen, Dazhong; Wang, Chao; Xiong, Hui</t>
  </si>
  <si>
    <t>Hierarchical Time-Aware Mixture of Experts for Multi-Modal Sequential Recommendation</t>
  </si>
  <si>
    <t>Sequential Recommendation; Multi-Modal Recommendation; Mixture of Experts; Temporal Information</t>
  </si>
  <si>
    <t>Multi-modal sequential recommendation (SR) leverages multi-modal data to learn more comprehensive item features and user preferences than traditional SR methods, which has become a critical topic in both academia and industry. Existing methods typically focus on enhancing multi-modal information utility through adaptive modality fusion to capture the evolving of user preference from user-item interaction sequences. However, most of them overlook the interference caused by redundant interest-irrelevant information contained in rich multi-modal data. Additionally, they primarily rely on implicit temporal information based solely on chronological ordering, neglecting explicit temporal signals that could more effectively represent dynamic user interest over time. To address these limitations, we propose a Hierarchical time-aware Mixture of experts for multi-modal Sequential Recommendation (HM4SR) with a two-level Mixture of Experts (MoE) and a multi-task learning strategy. Specifically, the first MoE, named Interactive MoE, extracts essential user interest-related information from the multi-modal data of each item. Then, the second MoE, termed Temporal MoE, captures user dynamic interests by introducing explicit temporal embeddings from timestamps in modality encoding. To further address data sparsity, we propose three auxiliary supervision tasks: sequence-level category prediction (CP) for item feature understanding, contrastive learning on ID (IDCL) to align sequence context with user interests, and placeholder contrastive learning (PCL) to integrate temporal information with modalities for dynamic interest modeling. Extensive experiments on four public datasets verify the effectiveness of HM4SR compared to several state-of-the-art approaches. Our code is available at https://github.com/SStarCCat/HM4SR.</t>
  </si>
  <si>
    <t>[Zhang, Shengzhe; Chen, Liyi] Univ Sci &amp; Technol China, Hefei, Peoples R China; [Shen, Dazhong] Nanjing Univ Aeronaut &amp; Astronaut, Nanjing, Peoples R China; [Wang, Chao] Univ Sci &amp; Technol China, Sch Artificial Intelligence &amp; Data Sci, Hefei, Peoples R China; [Xiong, Hui] Hong Kong Univ Sci &amp; Technol Guangzhou, Thrust Artificial Intelligence, Guangzhou, Peoples R China; [Xiong, Hui] Hong Kong Univ Sci &amp; Technol, Dept Comp Sci &amp; Engn, Hong Kong, Peoples R China</t>
  </si>
  <si>
    <t>Chinese Academy of Sciences; University of Science &amp; Technology of China, CAS; Nanjing University of Aeronautics &amp; Astronautics; Chinese Academy of Sciences; University of Science &amp; Technology of China, CAS; Hong Kong University of Science &amp; Technology (Guangzhou); Hong Kong University of Science &amp; Technology</t>
  </si>
  <si>
    <t>Wang, C (corresponding author), Univ Sci &amp; Technol China, Sch Artificial Intelligence &amp; Data Sci, Hefei, Peoples R China.;Xiong, H (corresponding author), Hong Kong Univ Sci &amp; Technol Guangzhou, Thrust Artificial Intelligence, Guangzhou, Peoples R China.;Xiong, H (corresponding author), Hong Kong Univ Sci &amp; Technol, Dept Comp Sci &amp; Engn, Hong Kong, Peoples R China.</t>
  </si>
  <si>
    <t>owen_zsz@mail.ustc.edu.cn; liyichencly@gmail.com; dazh.shen@gmail.com; wangchaoai@ustc.edu.cn; xionghui@ust.hk</t>
  </si>
  <si>
    <t>; Zhang, Shengzhe/OJS-7735-2025; Chen, Liyi/GVT-3633-2022</t>
  </si>
  <si>
    <t>Wang, Chao/0000-0001-7717-447X; Chen, Liyi/0000-0003-2166-4386; Shen, Dazhong/0000-0002-3947-4153</t>
  </si>
  <si>
    <t>National Key R&amp;D Program of China [2023YFF0725001]; National Natural Science Foundation of China [92370204]; Guangdong Basic and Applied Basic Research Foundation [2023B1515120057, 2023A03J0008]; Education Bureau of Guangzhou Municipality; Nansha Postdoctoral Research Project</t>
  </si>
  <si>
    <t>National Key R&amp;D Program of China(National Key Research &amp; Development Program of China); National Natural Science Foundation of China(National Natural Science Foundation of China (NSFC)); Guangdong Basic and Applied Basic Research Foundation(Guangdong Basic and Applied Basic Research Foundation); Education Bureau of Guangzhou Municipality; Nansha Postdoctoral Research Project</t>
  </si>
  <si>
    <t>This work was supported in part by the National Key R&amp;D Program of China (Grant No.2023YFF0725001), the National Natural Science Foundation of China (Grant No.92370204), the Guangdong Basic and Applied Basic Research Foundation (Grant No.2023B1515120057), Guangzhou-HKUST(GZ) Joint Funding Program (Grant No.2023A03J0008), Education Bureau of Guangzhou Municipality, and Nansha Postdoctoral Research Project.</t>
  </si>
  <si>
    <t>10.1145/3696410.3714676</t>
  </si>
  <si>
    <t>WOS:001505285200304</t>
  </si>
  <si>
    <t>Xie, YF; Li, MC; Lu, K; Shah, SBH; Zheng, X</t>
  </si>
  <si>
    <t>Xie, Yufeng; Li, Mingchu; Lu, Kun; Shah, Syed Bilal Hussain; Zheng, Xiao</t>
  </si>
  <si>
    <t>Multi-task Learning Model based on Multiple Characteristics and Multiple Interests for CTR prediction</t>
  </si>
  <si>
    <t>2022 5TH IEEE CONFERENCE ON DEPENDABLE AND SECURE COMPUTING (IEEE DSC 2022)</t>
  </si>
  <si>
    <t>5th IEEE Conference on Dependable and Secure Computing (IEEE DSC)</t>
  </si>
  <si>
    <t>JUN 22-24, 2022</t>
  </si>
  <si>
    <t>Edinburgh Napier Univ, Merchiston Campus, Edinburgh, SCOTLAND</t>
  </si>
  <si>
    <t>IEEE,IEEE Reliabil Soc,Univ Exeter,Scottish Informat &amp; Comp Sci Alliance,Univ Kent,Inst Cyber Secur Soc,Chartered Inst IT, Edinburgh Branch</t>
  </si>
  <si>
    <t>Edinburgh Napier Univ, Merchiston Campus</t>
  </si>
  <si>
    <t>Recommendation algorithm; CTR prediction; multi-interest; multi-task learning</t>
  </si>
  <si>
    <t>In the era of big data, the acquisition and utilization of information becomes difficult with the skyrocketing amount of data. It is often difficult for ordinary users to find the information or items they need, and personalized recommendation systems can solve this problem well. Currently, recommendation systems increasingly adopt models based on deep learning. The most critical issue in using deep learning for recommendation systems is how to use neural networks to accurately learn user representation vectors and item representation vectors. Many deep learning models used a single vector to represent users, but users' interests were often diverse. Therefore, some researchers consider using multiple vectors to represent user interests, and each interest vector corresponds to a category of items. This method sounds more scientific. However, these models still have problems. Their interpretation of user interests stays at the item level, and does not go deep into the item feature level. In order to solve this problem, we consider user interests from the perspective of item characteristics, and propose 3M (Multi-task, Multi-interest, Multi-feature) model. The 3M model trains multiple interest vectors for each user and extracts multiple characteristic vectors for each item at the same time, then uses a multi-task learning model to connect the characteristic vectors with the interest vectors and train them to obtain multiple interest scores. According to the multiple interest scores, the user click probability can be obtained. Experiments show that our model performs significantly better than the classic CTR(Click-Through Rate) prediction model on the experimental dataset.</t>
  </si>
  <si>
    <t>[Xie, Yufeng; Li, Mingchu; Lu, Kun] Dalian Univ Technol, Dalian, Peoples R China; [Shah, Syed Bilal Hussain] Manchester Metropolitan Univ, Manchester, Lancs, England; [Zheng, Xiao] Shandong Univ Technol, Sch Comp Sci &amp; Technol, Zibo, Peoples R China</t>
  </si>
  <si>
    <t>Dalian University of Technology; Manchester Metropolitan University; Shandong University of Technology</t>
  </si>
  <si>
    <t>Xie, YF (corresponding author), Dalian Univ Technol, Dalian, Peoples R China.</t>
  </si>
  <si>
    <t>745254805@qq.com; mingchul@dlut.edu.cn; lukun@dlut.edu.cn; S.Shah@mmu.ac.uk; xiaozheng0910@163.com</t>
  </si>
  <si>
    <t>Shah, Syed/AAT-2520-2021</t>
  </si>
  <si>
    <t>National Science Foundation of China [61877007]; Fundamental Research Funds for the Central Universities [DUT20GJ205]</t>
  </si>
  <si>
    <t>National Science Foundation of China(National Natural Science Foundation of China (NSFC)); Fundamental Research Funds for the Central Universities(Fundamental Research Funds for the Central Universities)</t>
  </si>
  <si>
    <t>This work is supported by the National Science Foundation of China under grant no. 61877007, the Fundamental Research Funds for the Central Universities under no. DUT20GJ205.</t>
  </si>
  <si>
    <t>978-1-6654-2141-6</t>
  </si>
  <si>
    <t>10.1109/DSC54232.2022.9888898</t>
  </si>
  <si>
    <t>Computer Science, Hardware &amp; Architecture; Computer Science, Information Systems; Computer Science, Software Engineering</t>
  </si>
  <si>
    <t>BU3QC</t>
  </si>
  <si>
    <t>WOS:000892614100030</t>
  </si>
  <si>
    <t>Schwenzer, KJ; Wang, LJ</t>
  </si>
  <si>
    <t>Schwenzer, Karen J.; Wang, Lijuan</t>
  </si>
  <si>
    <t>Assessing moral distress in respiratory care practitioners</t>
  </si>
  <si>
    <t>CRITICAL CARE MEDICINE</t>
  </si>
  <si>
    <t>ethics; moral distress; factor analysis; allied health personnel; respiratory therapist</t>
  </si>
  <si>
    <t>ENVIRONMENT; NURSES; WORK</t>
  </si>
  <si>
    <t>Objective: To test the reliability and validity of a modified moral distress tool, originally developed for the nursing profession, on respiratory care practitioners. To describe the relationship between moral distress, career dissatisfaction, and job turnover in respiratory care. Design: A 28-question survey was developed. Three categories of survey questions were predefined: individual responsibility, not in the patient's best interest, and deception. Additional questions measured career dissatisfaction, job turnover, and demographic information. Setting. University Hospital at the University of Virginia Health System, a 552-bed tertiary care hospital. Subjects. Fifty-seven of 115 (49.6%) of respiratory care practitioners responded to the survey. Interventions. Exploratory factor analysis was used to investigate the underlying factor structure, After we extracted theoretically meaningful factors, reliability of each factor was estimated. Multiple regression analysis was conducted to test if the underlying factors predicted career dissatisfaction and job turnover. Measurements and Main Results: The factor analysis yielded a five-factor structure. Several questions in the not in patient's best interest category scored the highest moral distress including disagreements with surrogate decision makers and providing futile care. Higher scores were also found with questions regarding the perception of unsafe staffing and passively or actively participating in deception. None of the demographic variables predicted career dissatisfaction or job turnover. However, the perception of unsafe staffing was found to be a significant factor in predicting career dissatisfaction and job turnover. Conclusions. In this one-center pilot study, respiratory care practitioners reported experiencing moral distress in many areas of their practice. Distress related to the perception of unsafe staffing may be related to career dissatisfaction and job turnover. Further exploration of the factors that contribute to respiratory care practitioners' moral distress is needed, as well as implementing ways to ameliorate it.</t>
  </si>
  <si>
    <t>Univ Virginia Hlth Syst, Charlottesville, VA 22908 USA; Univ Virginia, Dept Psychol, Charlottesville, VA 22903 USA</t>
  </si>
  <si>
    <t>University of Virginia; University of Virginia (UVA) Health System; University of Virginia</t>
  </si>
  <si>
    <t>Schwenzer, KJ (corresponding author), Univ Virginia Hlth Syst, Box 800710, Charlottesville, VA 22908 USA.</t>
  </si>
  <si>
    <t>kjs2e@virginia.edu</t>
  </si>
  <si>
    <t>LIPPINCOTT WILLIAMS &amp; WILKINS</t>
  </si>
  <si>
    <t>PHILADELPHIA</t>
  </si>
  <si>
    <t>TWO COMMERCE SQ, 2001 MARKET ST, PHILADELPHIA, PA 19103 USA</t>
  </si>
  <si>
    <t>0090-3493</t>
  </si>
  <si>
    <t>1530-0293</t>
  </si>
  <si>
    <t>CRIT CARE MED</t>
  </si>
  <si>
    <t>Crit. Care Med.</t>
  </si>
  <si>
    <t>10.1097/01.CCM.0000248879.19054.73</t>
  </si>
  <si>
    <t>110QH</t>
  </si>
  <si>
    <t>WOS:000242393100013</t>
  </si>
  <si>
    <t>Zhang, D; Wang, D; Zheng, H; Mu, X; Li, Q; Zhang, Y</t>
  </si>
  <si>
    <t>Nie, JY; Obradovic, Z; Suzumura, T; Ghosh, R; Nambiar, R; Wang, C; Zang, H; BaezaYates, R; Hu, X; Kepner, J; Cuzzocrea, A; Tang, J; Toyoda, M</t>
  </si>
  <si>
    <t>Zhang, Daniel (Yue); Wang, Dong; Zheng, Hao; Mu, Xin; Li, Qi; Zhang, Yang</t>
  </si>
  <si>
    <t>Large-scale Point-of-Interest Category Prediction Using Natural Language Processing Models</t>
  </si>
  <si>
    <t>2017 IEEE INTERNATIONAL CONFERENCE ON BIG DATA (BIG DATA)</t>
  </si>
  <si>
    <t>IEEE International Conference on Big Data (IEEE Big Data)</t>
  </si>
  <si>
    <t>DEC 11-14, 2017</t>
  </si>
  <si>
    <t>IEEE,IEEE Comp Soc,ELSEVIER,CISCO</t>
  </si>
  <si>
    <t>POI Recommendation; Context-Aware Prediction; Natural Language Processing; Location-based Social Networks</t>
  </si>
  <si>
    <t>Point-of-Interest (POI) recommendation is an important application in Location-based Social Networks (LBSN). The category prediction problem is to predict the next POI category that users may visit. The predicted category information is critical in large-scale POI recommendation because it can significantly reduce the prediction space and improve the recommendation accuracy. While efforts have been made to address the POI category prediction problem, several important challenges still exist. First, existing solutions did not fully explore the temporal dependency (e.g., long range dependency) of users' check-in traces. Second, the hidden contextual information associated with each check-in point has been underutilized. In this work, we propose a Context-Aware POI Category Prediction (CAP-CP) scheme using Natural Language Processing (NLP) models. In particular, to address temporal dependency challenge, we develop a novel Temporal Adaptive Ngram (TA-Ngram) model to capture the dynamic dependency between check-in points. To address the challenge of hidden context incorporation, CAP-CP leverages the Probabilistic Latent Semantic Analysis (PLSA) model to infer the semantic implications of the context variables in the prediction model. Empirical results on a real world dataset show that our scheme can effectively improve the performance of the state-of-the-art POI recommendation solutions.</t>
  </si>
  <si>
    <t>[Zhang, Daniel (Yue); Wang, Dong; Zheng, Hao; Li, Qi; Zhang, Yang] Univ Notre Dame, Dept Comp Sci &amp; Engn, Notre Dame, IN 46556 USA; [Mu, Xin] Univ Notre Dame, Dept Aerosp &amp; Mech Engn, Notre Dame, IN 46556 USA</t>
  </si>
  <si>
    <t>University of Notre Dame; University of Notre Dame</t>
  </si>
  <si>
    <t>Zhang, D (corresponding author), Univ Notre Dame, Dept Comp Sci &amp; Engn, Notre Dame, IN 46556 USA.</t>
  </si>
  <si>
    <t>yzhang40@nd.edu; dwang5@nd.edu; hzheng3@nd.edu; xmu@nd.edu; qli8@nd.edu; yzhang42@nd.edu</t>
  </si>
  <si>
    <t>Zhang, Daniel/AAL-5397-2021</t>
  </si>
  <si>
    <t>Zhang, Daniel/0009-0006-4714-4353; Zhang, Yang/0000-0001-8135-369X</t>
  </si>
  <si>
    <t>National Science Foundation [CBET-1637251, CNS-1566465, IIS-1447795]; Army Research Office [W911NF-17-1-0409]; Direct For Computer &amp; Info Scie &amp; Enginr; Div Of Information &amp; Intelligent Systems [1447795] Funding Source: National Science Foundation</t>
  </si>
  <si>
    <t>National Science Foundation(National Science Foundation (NSF)); Army Research Office(Army Research Office); Direct For Computer &amp; Info Scie &amp; Enginr; Div Of Information &amp; Intelligent Systems(National Science Foundation (NSF)NSF - Directorate for Computer &amp; Information Science &amp; Engineering (CISE)NSF - Division of Information &amp; Intelligent Systems (IIS))</t>
  </si>
  <si>
    <t>This research is supported in part by the National Science Foundation under Grant No. CBET-1637251, CNS-1566465 and IIS-1447795 and Army Research Office under Grant W911NF-17-1-0409. The views and conclusions contained in this document are those of the authors and should not be interpreted as representing the official policies, either expressed or implied, of the Army Research Office or the U.S. Government. The U.S. Government is authorized to reproduce and distribute reprints for Government purposes not with standing any copyright notation here on.</t>
  </si>
  <si>
    <t>978-1-5386-2715-0</t>
  </si>
  <si>
    <t>BJ8DN</t>
  </si>
  <si>
    <t>WOS:000428073701009</t>
  </si>
  <si>
    <t>Mahmoudi, SA; Belarbi, MA; Mahmoudi, S; Belalem, G</t>
  </si>
  <si>
    <t>Mahmoudi, Sidi Ahmed; Belarbi, Mohammed Amin; Mahmoudi, Said; Belalem, Ghalem</t>
  </si>
  <si>
    <t>Towards a smart selection of resources in the cloud for low-energy multimedia processing</t>
  </si>
  <si>
    <t>cloud computing; GPU; heterogeneous architectures; image and video processing; medical imaging; motion tracking</t>
  </si>
  <si>
    <t>Nowadays, image and video processing applications have become widely used in many domains related to computer vision. Indeed, they can come from cameras, smartphones, social networks, or from medical devices. Generally, these images and videos are used for illustrating people or objects (cars, trains, planes, etc) in many situations such as airports, train stations, public areas, sport events, and hospitals. Thus, image and video processing algorithms have got increasing importance, they are required from various computer vision applications such as motion tracking, real time event detection, database (images and videos) indexation, and medical computer-aided diagnosis methods. The main inconvenient of image and video processing applications is the high intensity of computation and the complex configuration and installation of the related materials and libraries. In this paper, we propose a new framework that allows users to select in a smart and efficient way the computing units (CPU or/and GPU) in a cloud-based platform, in case of processing one image (or one video in real time) or many images (or videos). This framework enables to affect the local or remote computing units for calculation after analyzing the type of media and the algorithm complexity. The framework disposes of a set of selected CPU and GPU-based computer vision methods, such as image denoising, histogram computation, features descriptors (SIFT, SURF), points of interest extraction, edges detection, silhouette extraction, and sparse and dense optical flow estimation. These primitive functions are exploited in various applications such as medical image segmentation, videos indexation, real time motion analysis, and left ventricle segmentation and tracking from 2D echocardiography. Experimental results showed a global speedup ranging from 5x to 273x(compared to CPU versions) as result of the application of our framework for the above-mentioned methods. In addition to these performances, the parallel and heterogeneous implementations offered lower power consumption as result of the fast treatment.</t>
  </si>
  <si>
    <t>[Mahmoudi, Sidi Ahmed; Belarbi, Mohammed Amin; Mahmoudi, Said] Univ Mons, Fac Engn, Comp Sci Dept, 20 Pl Parc, Mons, Belgium; [Belarbi, Mohammed Amin] Univ Mostaganem Abdelhamid Ibn Badiss, Fac Exact Sci &amp; Comp Sci, Mostaganem, Algeria; [Belalem, Ghalem] Univ Oran 1, Comp Sci Dept, Fac Exact &amp; Appl Sci, Oran, Algeria</t>
  </si>
  <si>
    <t>University of Mons</t>
  </si>
  <si>
    <t>Mahmoudi, SA (corresponding author), Univ Mons, Fac Engn, Comp Sci Dept, 20 Pl Parc, Mons, Belgium.</t>
  </si>
  <si>
    <t>sidi.mahmoudi@umons.ac.be</t>
  </si>
  <si>
    <t>belalem, ghalem/ABE-7505-2022; Mahmoudi, Saïd/AAC-3834-2020; BELARBI, Mohammed Amin/GRX-3129-2022; Mahmoudi, Sidi Ahmed/AAP-1970-2021</t>
  </si>
  <si>
    <t>belalem, ghalem/0000-0002-9694-7586; Mahmoudi, Saïd/0000-0001-8272-9425; BELARBI, Mohammed Amin/0000-0003-1169-5744; Mahmoudi, Sidi Ahmed/0000-0002-1530-9524</t>
  </si>
  <si>
    <t>JUN 25</t>
  </si>
  <si>
    <t>e4372</t>
  </si>
  <si>
    <t>10.1002/cpe.4372</t>
  </si>
  <si>
    <t>GI0TP</t>
  </si>
  <si>
    <t>WOS:000434082700008</t>
  </si>
  <si>
    <t>Li, WC; Hu, Q</t>
  </si>
  <si>
    <t>Huang, DS; Si, Z; Zhang, Q</t>
  </si>
  <si>
    <t>Li, Wenchao; Hu, Qiang</t>
  </si>
  <si>
    <t>News Sequence Recommendation Model with Dual-View Category Enhancement</t>
  </si>
  <si>
    <t>ADVANCED INTELLIGENT COMPUTING TECHNOLOGY AND APPLICATIONS, PT III, ICIC 2024</t>
  </si>
  <si>
    <t>20th International Conference on Intelligent Computing (ICIC)</t>
  </si>
  <si>
    <t>AUG 05-08, 2024</t>
  </si>
  <si>
    <t>Tianjin Univ Sci &amp; Tech, Tianjin, PEOPLES R CHINA</t>
  </si>
  <si>
    <t>Tianjin Univ Sci &amp; Tech</t>
  </si>
  <si>
    <t>News recommendation; Dual-view; Context-weighted; Multiple user interests</t>
  </si>
  <si>
    <t>Personalized news recommendation enriches readers' news consumption experience by aligning news articles with their preferences. However, existing methods often fall short in extracting complete news topic features and accommodating variations in reader preferences. To tackle these challenges, a dual-view category-enhanced news sequence recommendation model is proposed. In the news representation module, we enhance CNN-derived topic vectors with a context-weighted word-based approach, rectifying dispersed topic extraction. It yields a comprehensive news representation vector. In the user representation module, a graph construction method, utilizing a sliding window technique, captures temporal user-centric features and multiple user interests. Dual-view-learning ensures both temporal and category-based features are encoded effectively. Experiment results on real-world datasets indicate that the proposed model exhibits exceptional news recommendation performance, with significantly higher quality compared to the comparison models.</t>
  </si>
  <si>
    <t>[Li, Wenchao; Hu, Qiang] Qingdao Univ Sci &amp; Technol, Coll Informat Sci &amp; Technol, Qingdao 266100, Peoples R China</t>
  </si>
  <si>
    <t>Qingdao University of Science &amp; Technology</t>
  </si>
  <si>
    <t>Hu, Q (corresponding author), Qingdao Univ Sci &amp; Technol, Coll Informat Sci &amp; Technol, Qingdao 266100, Peoples R China.</t>
  </si>
  <si>
    <t>huqiang200280@163.com</t>
  </si>
  <si>
    <t>978-981-97-5668-1; 978-981-97-5669-8</t>
  </si>
  <si>
    <t>10.1007/978-981-97-5669-8_8</t>
  </si>
  <si>
    <t>BX6BI</t>
  </si>
  <si>
    <t>WOS:001307345000008</t>
  </si>
  <si>
    <t>Zhang, H; Ge, DC; Zhang, SY</t>
  </si>
  <si>
    <t>Zhang, Hong; Ge, Dechu; Zhang, Siyu</t>
  </si>
  <si>
    <t>Hybrid recommendation system based on semantic interest community and trusted neighbors</t>
  </si>
  <si>
    <t>Hybrid recommendation system; Interest community; Trusted neighbor; Diversity</t>
  </si>
  <si>
    <t>The accuracy of a recommendation is an important index to evaluate the performance of a recommendation system. The personalized recommendation system tends to pay too much attention to the accuracy of recommendation results and often neglects the diversity of the recommendation results. In this paper, domain ontology is used to construct the user interest model, and the integrated ontology-based semantic similarity algorithm is used to obtain the user ontology set. Then, the semantic interest community is constructed through the hierarchical clustering method. Users with a high degree of diversity are selected as trusted neighbors to construct a hybrid recommendation model with a combination of accuracy and diversity. The experimental results show that the hybrid model can improve the diversity of the recommendation system by adjusting the weight factor while having less influence on the accuracy.</t>
  </si>
  <si>
    <t>[Zhang, Hong; Ge, Dechu; Zhang, Siyu] Northeast Elect Power Univ, Sch Elect Engn, Jilin 132012, Jilin, Peoples R China</t>
  </si>
  <si>
    <t>Northeast Electric Power University</t>
  </si>
  <si>
    <t>Zhang, H (corresponding author), Northeast Elect Power Univ, Sch Elect Engn, Jilin 132012, Jilin, Peoples R China.</t>
  </si>
  <si>
    <t>jdlzh2000@126.com</t>
  </si>
  <si>
    <t>10.1007/s11042-017-4553-9</t>
  </si>
  <si>
    <t>FW4PQ</t>
  </si>
  <si>
    <t>WOS:000425296500007</t>
  </si>
  <si>
    <t>El-Ansari, A; Beni-Hssane, A; Saadi, M</t>
  </si>
  <si>
    <t>Mohamed, B; Abdelhakim, BA; Said, R; Dirss, LM; Alaoui, EA</t>
  </si>
  <si>
    <t>El-Ansari, Anas; Beni-Hssane, Abderrahim; Saadi, Mostafa</t>
  </si>
  <si>
    <t>An improved modeling method for profile-based personalized search</t>
  </si>
  <si>
    <t>3RD INTERNATIONAL CONFERENCE ON NETWORKING, INFORMATION SYSTEM &amp; SECURITY (NISS'20)</t>
  </si>
  <si>
    <t>3rd International Conference on Networking, Information System and Security (NISS)</t>
  </si>
  <si>
    <t>MAR 31-APR 02, 2020</t>
  </si>
  <si>
    <t>Marrakech, MOROCCO</t>
  </si>
  <si>
    <t>User profile; Personalized Search; Ontology; Accuracy</t>
  </si>
  <si>
    <t>A Personalized search system aims to provide tailor-made results for each user's query according to his preferences. Building such a system depends mainly on creating profiles that represent real user interests. In this paper, we present a method for modeling users and creating accurate profiles by implicitly tracking and collecting user-browsing data. Furthermore, we examine techniques to enhance profile accuracy through combining multiple browsing data sources, distinguishing important concepts from irrelevant ones in a user profile, and the concept levels required from a reference ontology to describe user's interests.</t>
  </si>
  <si>
    <t>[El-Ansari, Anas; Beni-Hssane, Abderrahim] Chouaib Doukkali Univ, Sci Fac, Comp Sci Dept, LAROSERI Lab, El Jadida, Morocco; [Saadi, Mostafa] Univ Sultan Moulay Slimane, LaSTI Lab, ENSA Khouribga, BP 77, Khouribga, Morocco</t>
  </si>
  <si>
    <t>Chouaib Doukkali University of El Jadida; Sultan Moulay Slimane University of Beni Mellal</t>
  </si>
  <si>
    <t>El-Ansari, A (corresponding author), Chouaib Doukkali Univ, Sci Fac, Comp Sci Dept, LAROSERI Lab, El Jadida, Morocco.</t>
  </si>
  <si>
    <t>anas.elansari@gmail.com; abenihssane@yahoo.fr; saadi_mo@yahoo.fr</t>
  </si>
  <si>
    <t>EL ANSARI, Anas/HMD-7829-2023; Saadi, Mostafa/ABH-5021-2020</t>
  </si>
  <si>
    <t>EL ANSARI, Anas/0000-0003-2166-1492; Saadi, Mostafa/0000-0003-1562-672X</t>
  </si>
  <si>
    <t>978-1-4503-7634-1</t>
  </si>
  <si>
    <t>10.1145/3386723.3387874</t>
  </si>
  <si>
    <t>BR3WH</t>
  </si>
  <si>
    <t>WOS:000649337600055</t>
  </si>
  <si>
    <t>Bloedorn, E; Mani, I; MacMillan, TR</t>
  </si>
  <si>
    <t>AMER ASSOC ARTIFICIAL INTELLIGENCE; AMER ASSOC ARTIFICIAL INTELLIGENCE</t>
  </si>
  <si>
    <t>Machine learning of user profiles: Representational issues</t>
  </si>
  <si>
    <t>PROCEEDINGS OF THE THIRTEENTH NATIONAL CONFERENCE ON ARTIFICIAL INTELLIGENCE AND THE EIGHTH INNOVATIVE APPLICATIONS OF ARTIFICIAL INTELLIGENCE CONFERENCE, VOLS 1 AND 2</t>
  </si>
  <si>
    <t>13th National Conference on Artificial Intelligence (AAAI 96) / 8th Conference on Innovative Applications of Artificial Intelligence (IAAI 96)</t>
  </si>
  <si>
    <t>AUG 04-08, 1996</t>
  </si>
  <si>
    <t>PORTLAND, OR</t>
  </si>
  <si>
    <t>Amer Assoc Artificial Intelligence</t>
  </si>
  <si>
    <t>As more information becomes available electronically, tools for finding information of interest to users becomes increasingly important. The goal of the research described here is to build a system for generating comprehensible user profiles that accurately capture user interest with minimum user interaction. The research described here focuses on the importance of a suitable generalization hierarchy and representation for learning profiles which are predictively accurate and comprehensible. In our experiments we evaluated both traditional features based on weighted term vectors as well as subject features corresponding to categories which could be drawn from a thesaurus. Our experiments, conducted in the context of a content-based profiling system for on-line newspapers on the World Wide Web (the IDD News Browser), demonstrate the importance of a generalization hierarchy and the promise of combining natural language processing techniques with machine learning (ML) to address an information retrieval (IR) problem.</t>
  </si>
  <si>
    <t>Mitre Corp, Artificial Intelligence Tech Ctr, Mclean, VA 22102 USA</t>
  </si>
  <si>
    <t>MITRE Corporation</t>
  </si>
  <si>
    <t>Bloedorn, E (corresponding author), Mitre Corp, Artificial Intelligence Tech Ctr, Z40,11820 Dolley Madison Blvd, Mclean, VA 22102 USA.</t>
  </si>
  <si>
    <t>AMER ASSOC ARTIFICIAL INTELLIGENCE</t>
  </si>
  <si>
    <t>MENLO PK</t>
  </si>
  <si>
    <t>445 BURGESS DR, MENLO PK, CA 94025 USA</t>
  </si>
  <si>
    <t>0-262-51091-X</t>
  </si>
  <si>
    <t>BN59H</t>
  </si>
  <si>
    <t>WOS:000082323300065</t>
  </si>
  <si>
    <t>Feijoo Fernández, B; García González, A</t>
  </si>
  <si>
    <t>Feijoo Fernandez, Beatriz; Garcia Gonzalez, Aurora</t>
  </si>
  <si>
    <t>O\LISE SHOPPING ROUTINES AMONG CHILEAN CHILDREN: LEVEL OF EXPANSION AND MAIN CAUSES</t>
  </si>
  <si>
    <t>COMMUNICATION TODAY</t>
  </si>
  <si>
    <t>advertising; children; consumer; e-commerce; mobile devices; online shopping; screens</t>
  </si>
  <si>
    <t>SOCIALIZATION</t>
  </si>
  <si>
    <t>This research focuses on the last phase of advertising(1) and seeks to analyse the frequency of purchase via mobile devices by children and adolescents (aged 10 to 14) living in the Metropolitan Region of Santiago de Chile. The interest in this particular cohort stems from the fact that recent studies have shown that online purchases have increased significantly among Chileans. The study addresses online shopping tendencies among children based on how they respond to the advertising they are exposed to through their mobile devices. Specifically, the text analyses the level of expansion, reasons for online purchases, access and payment, and interest categories, among other issues. To this avail, a survey was conducted in 501 households in the Metropolitan Region of Santiago de Chile. The results show that less than 10% of the respondents said they had made online purchases over the last year, and among those who had made purchases, most of these corresponded to the acquisition of video games, event tickets and clothing. Nearly 50% stated that online purchases were motivated by lower prices or access to promotions. This research aims to contribute to establishing a solid starting point and promote subsequent research on better child rearing practices, content supervision and parental and social mediation.</t>
  </si>
  <si>
    <t>[Feijoo Fernandez, Beatriz] Int Univ La Rioja, Dept Commun, Sch Business &amp; Commun, Av Paz 137, Logrono 26006, La Rioja, Spain; [Garcia Gonzalez, Aurora] Univ Vigo, Dept Commun, Fac Social Sci &amp; Commun, A Xunqueira S-N, Pontevedra, Spain</t>
  </si>
  <si>
    <t>Universidad Internacional de La Rioja (UNIR); Universidade de Vigo</t>
  </si>
  <si>
    <t>Feijoo Fernández, B (corresponding author), Int Univ La Rioja, Dept Commun, Sch Business &amp; Commun, Av Paz 137, Logrono 26006, La Rioja, Spain.</t>
  </si>
  <si>
    <t>beatriz.feijoo@unir.net; auroragg@uvigo.es</t>
  </si>
  <si>
    <t>Feijoo, Beatriz/B-3909-2017</t>
  </si>
  <si>
    <t>FONDECYT - National Commission for Scientific and Technological Research of the Government of Chile (CONICYT) [11170336]</t>
  </si>
  <si>
    <t>FONDECYT - National Commission for Scientific and Technological Research of the Government of Chile (CONICYT)</t>
  </si>
  <si>
    <t>This research was supported the FONDECYT Initiation project No. 11170336, entitled Minors as Consumers. Analysis of the Advertising Received by Users aged 10 to 14 through Mobile Devices, funded by the National Commission for Scientific and Technological Research of the Government of Chile (CONICYT).</t>
  </si>
  <si>
    <t>UNIV SS CYRIL &amp; METHODIUS TRNAVA, FAC MASS MEDIA COMMUNICATION</t>
  </si>
  <si>
    <t>TRNAVA</t>
  </si>
  <si>
    <t>NAMESTIE JOZEFA HERDU 2, TRNAVA, 91701, SLOVAKIA</t>
  </si>
  <si>
    <t>1338-130X</t>
  </si>
  <si>
    <t>COMMUN TODAY</t>
  </si>
  <si>
    <t>Commun. Today</t>
  </si>
  <si>
    <t>LE6EX</t>
  </si>
  <si>
    <t>WOS:000526817800008</t>
  </si>
  <si>
    <t>Jacques, C; Jonas, J; Colnat-Coulbois, S; Rossion, B</t>
  </si>
  <si>
    <t>Jacques, Corentin; Jonas, Jacques; Colnat-Coulbois, Sophie; Rossion, Bruno</t>
  </si>
  <si>
    <t>Category-selective neural decreases in the human ventral occipito-temporal cortex as defined with intracranial recordings</t>
  </si>
  <si>
    <t>NEUROIMAGE</t>
  </si>
  <si>
    <t>Human face recognition; Category-selectivity; Decreases; iEEG; Ventral occipito-temporal cortex; Broadband gamma</t>
  </si>
  <si>
    <t>HUMAN BRAIN; FUNCTIONAL NEUROANATOMY; TEMPORAL CORTEX; FACE PERCEPTION; RESPONSES; NEURONS; AREA; ARCHITECTURE; STIMULATION; CELLS</t>
  </si>
  <si>
    <t>Visual recognition is supported in humans by category-selective neural activity in the ventral occipito-temporal cortex (VOTC). While category-selectivity is generally defined as an increase in neural activity (i.e., larger responses) for a given visual category of interest, category-selective decreases have also been reported yet generally ignored. Here we use electrophysiological intracerebral recordings across the VOTC of a large human sample (N = 140; &gt;11k recording sites) to characterize and compare category-selective neural decreases relative to increases, in response to images of faces. Face-selective high frequency broadband (HFB: 30-160 Hz) neural activity elicited by natural images of faces periodically embedded in a train of nonface objects was objectively quantified in the frequency-domain, then defined as increases or decreases in the time-domain, revealing quantitative and qualitative differences between the two types of responses. About 40% of the recording sites reflect category-selective decreases that are spatially distinct from increases, being distributed more posteriorly and medially in the VOTC, without the characteristic right hemispheric lateralization of increases and an overall weaker signal amplitude. While category-exclusive increases are frequently encountered especially in the anterior temporal lobe, category-exclusive decreases are rare at the neural population level. Category-selective decreases are largely concurrent with increases, yet emerging slightly later and of shorter duration, with population-level increases arguably playing a more significant function in visual recognition. While a majority of signal decreases appear to reflect reduced activity to face than to non-face images, a sizeable proportion of signal decreases potentially manifest category-selective inhibition. Our findings of large-scale category-selective decreases in human VOTC suggest that these responses play a role in visual recognition distinct from neural response increase, including potential category-selective inhibition.</t>
  </si>
  <si>
    <t>[Jacques, Corentin; Jonas, Jacques; Rossion, Bruno] Univ Lorraine, CNRS, IMoPA, UMR 7365, F-54000 Nancy, France; [Jonas, Jacques; Rossion, Bruno] Univ Lorraine, Serv Neurol, CHRU Nancy, F-54000 Nancy, France; [Colnat-Coulbois, Sophie] Univ Lorraine, Serv Neurochirurg, CHRU Nancy, F-54000 Nancy, France</t>
  </si>
  <si>
    <t>Centre National de la Recherche Scientifique (CNRS); Universite de Lorraine; CNRS - Institute for Engineering &amp; Systems Sciences (INSIS); Universite de Lorraine; CHU de Nancy; CHU de Nancy; Universite de Lorraine</t>
  </si>
  <si>
    <t>Rossion, B (corresponding author), Univ Lorraine, Univ Hosp Nancy, Hop Cent, IMoPA,UMR 7365,CNRS,CHRU Nancy, Pavillon Krug 1er etage Entree CC-1,29 Ave Marecha, F-54000 Nancy, France.</t>
  </si>
  <si>
    <t>bruno.rossion@univ-lorraine.fr</t>
  </si>
  <si>
    <t>ERC Adg [101055175]; European Research Council (ERC) [101055175] Funding Source: European Research Council (ERC)</t>
  </si>
  <si>
    <t>ERC Adg; European Research Council (ERC)(European Research Council (ERC))</t>
  </si>
  <si>
    <t>This work was supported by an ERC Adg to BR (HUMANFACE 101055175). The authors thank two anonymous reviewers for helpful comments on a previous version of this manuscript.</t>
  </si>
  <si>
    <t>1053-8119</t>
  </si>
  <si>
    <t>1095-9572</t>
  </si>
  <si>
    <t>Neuroimage</t>
  </si>
  <si>
    <t>10.1016/j.neuroimage.2026.122080</t>
  </si>
  <si>
    <t>JUL 2026</t>
  </si>
  <si>
    <t>Neurosciences; Neuroimaging; Radiology, Nuclear Medicine &amp; Medical Imaging</t>
  </si>
  <si>
    <t>Neurosciences &amp; Neurology; Radiology, Nuclear Medicine &amp; Medical Imaging</t>
  </si>
  <si>
    <t>KV7IM</t>
  </si>
  <si>
    <t>WOS:001816737500001</t>
  </si>
  <si>
    <t>Chawla, S; Dubey, G; Rana, A</t>
  </si>
  <si>
    <t>Shukla, B; Khatri, SK; Kapur, PK</t>
  </si>
  <si>
    <t>Chawla, Shilpi; Dubey, Gaurav; Rana, Ajay</t>
  </si>
  <si>
    <t>Product Opinion Mining Using Sentiment Analysis on Smartphone Reviews</t>
  </si>
  <si>
    <t>2017 6TH INTERNATIONAL CONFERENCE ON RELIABILITY, INFOCOM TECHNOLOGIES AND OPTIMIZATION (TRENDS AND FUTURE DIRECTIONS) (ICRITO)</t>
  </si>
  <si>
    <t>International Conference on Reliability Infocom Technologies and Optimization Trends and Future Directions</t>
  </si>
  <si>
    <t>6th International Conference on Reliability, Infocom Technologies and Optimization (Trends and Future Directions) (ICRITO)</t>
  </si>
  <si>
    <t>SEP 20-22, 2017</t>
  </si>
  <si>
    <t>Amity Univ Uttar Pradesh, Noida, INDIA</t>
  </si>
  <si>
    <t>Amity Univ Uttar Pradesh, Amity Inst Informat Technol,Comp Soc India,IEEE,IEEE UP Sect</t>
  </si>
  <si>
    <t>Amity Univ Uttar Pradesh</t>
  </si>
  <si>
    <t>Text Mining; Opinion mining; sentiment analysis; text analysis; Sentiment Mining</t>
  </si>
  <si>
    <t>An unexpected increase in the application of social web sites has led to the need in development of a very robustful and trust worthy systems and varied machinery forms in order to analyze such large forms of data and their ware houses which is being collected from various industries. We are always eager and excited to know what people think what they feel and perceive about various aspects of living and non-living beings. In need to understand and analyze various traits of behavior and the varying personality there is a need of opinion mining. It is a collection of all the extracted information from all the available resources and possible instances which could be in the form of hidden emotions, paragraphs and could be text, urban language and various un-identified representations. It is not only related topics like sensex, politics, finance and other meaningful words, but represents many things in the wide area of application. Almost all the sites have provided the option to display and present various medias and their views on various real life events. They can share various aspects of philosophy too and many more. They can represent various opinions on various streams of life which has really become crucial in our daily life to analyze the pattern in which things are exponentially growing. This research paper provides you with sentimental analysis of various smart phone opinions on smart phones dividing them Positive, Negative and Neutral Behavior. This is basically being obtained by studying the various posts being posted by varied number of users considering their areas of interest categorizing the smart phones. Analysis of plenty of words coupled in a sentence represent various sentiments of users and the various experiences and impact that product has given them. This analysis compiles a structural modeling approach and Bayesian Interface system to identify the polarity of the opinion which subsequently classifies positive and negative opinions.</t>
  </si>
  <si>
    <t>[Chawla, Shilpi; Dubey, Gaurav; Rana, Ajay] Amity Univ Uttar Pradesh, Noida, India</t>
  </si>
  <si>
    <t>Amity University Noida</t>
  </si>
  <si>
    <t>Chawla, S (corresponding author), Amity Univ Uttar Pradesh, Noida, India.</t>
  </si>
  <si>
    <t>Shilpichawla13@gmail.com; gdubey@amity.edu; ajay_rana@amity.edu</t>
  </si>
  <si>
    <t>RANA, AJAY/K-5030-2012; Dubey, Gaurav/ABD-9682-2020</t>
  </si>
  <si>
    <t>RANA, AJAY/0000-0002-1681-3132;</t>
  </si>
  <si>
    <t>2469-875X</t>
  </si>
  <si>
    <t>978-1-5090-3012-5</t>
  </si>
  <si>
    <t>INT CONF RELI INFO</t>
  </si>
  <si>
    <t>BK3MX</t>
  </si>
  <si>
    <t>WOS:000435235900068</t>
  </si>
  <si>
    <t>Ali, I; Chang, RY; Hsu, CH</t>
  </si>
  <si>
    <t>Ali, Imad; Chang, Ronald Y.; Hsu, Cheng-Hsin</t>
  </si>
  <si>
    <t>CRED: Credibility-Enabled Social Network Based Q&amp;A System for Assessing Answers Correctness</t>
  </si>
  <si>
    <t>2020 IEEE WIRELESS COMMUNICATIONS AND NETWORKING CONFERENCE (WCNC)</t>
  </si>
  <si>
    <t>IEEE Wireless Communications and Networking Conference</t>
  </si>
  <si>
    <t>IEEE Wireless Communications and Networking Conference (IEEE WCNC)</t>
  </si>
  <si>
    <t>MAY 25-28, 2020</t>
  </si>
  <si>
    <t>IEEE,Samsung,Huawei,Elect &amp; Telecommunicat Res Inst,LG,SK Telecom,IEEE Stand Assoc</t>
  </si>
  <si>
    <t>In a question &amp; answer (Q&amp;A) system, credible users provide answers of higher correctness. However, in a distributed social network based Q&amp;A (SNQ&amp;A) system, an asker does not know a k-hop answerer's credibility, thus making it difficult for the asker to assess the answer correctness. Therefore, a credibility-enabled distributed SNQ&amp;A system is crucial for determining the correctness of the answers. To this end, we propose CRED, a credibility-enabled distributed SNQ&amp;A system, which facilitates each user to assess the correctness of the provided answers. CRED utilizes subjective logic to build interestwise friend-to-friend credibility opinions under uncertainties. The developed opinions are then accumulated by CRED to get each user's aggregated credibility opinion, which may reflect the user's real credibility. CRED forwards a question to users with highest credibility beliefs in the question interest category. Our evaluation results show that, on average, CRED accomplishes higher success ratio, higher answer correctness, and lower answer uncertainty by 12.1%, 16.4%, and 22.2%, respectively, as compared to the best-performing baseline systems.</t>
  </si>
  <si>
    <t>[Ali, Imad] Acad Sinica, Inst Informat Sci, Taiwan Int Grad Program Social Networks &amp; Human C, Taipei, Taiwan; [Ali, Imad] Natl Tsing Hua Univ, Inst Informat Syst &amp; Applicat, Hsinchu, Taiwan; [Chang, Ronald Y.] Acad Sinica, Res Ctr Informat Technol Innovat, Taipei, Taiwan; [Hsu, Cheng-Hsin] Natl Tsing Hua Univ, Dept Comp Sci, Hsinchu, Taiwan</t>
  </si>
  <si>
    <t>Academia Sinica - Taiwan; National Tsing Hua University; Academia Sinica - Taiwan; National Tsing Hua University</t>
  </si>
  <si>
    <t>Ali, I (corresponding author), Acad Sinica, Inst Informat Sci, Taiwan Int Grad Program Social Networks &amp; Human C, Taipei, Taiwan.;Ali, I (corresponding author), Natl Tsing Hua Univ, Inst Informat Syst &amp; Applicat, Hsinchu, Taiwan.</t>
  </si>
  <si>
    <t>imad.ali@iis.sinica.edu.tw; rchang@citi.sinica.edu.tw; chsu@cs.nthu.edu.tw</t>
  </si>
  <si>
    <t>Ali, Imad/AAF-7783-2019; Chang, Ronald/ABH-9162-2020</t>
  </si>
  <si>
    <t>Ali, Imad/0000-0001-5569-3762; Chang, Ronald/0000-0003-4620-6824</t>
  </si>
  <si>
    <t>Ministry of Science and Technology, Taiwan [MOST 106-2628-E-001-001-MY3]</t>
  </si>
  <si>
    <t>Ministry of Science and Technology, Taiwan(National Science &amp; Technology Council (NSTC) Taiwan)</t>
  </si>
  <si>
    <t>This work was supported in part by the Ministry of Science and Technology, Taiwan, under Grant MOST 106-2628-E-001-001-MY3.</t>
  </si>
  <si>
    <t>1525-3511</t>
  </si>
  <si>
    <t>978-1-7281-3106-1</t>
  </si>
  <si>
    <t>IEEE WCNC</t>
  </si>
  <si>
    <t>10.1109/wcnc45663.2020.9120750</t>
  </si>
  <si>
    <t>BP9GU</t>
  </si>
  <si>
    <t>WOS:000569342900290</t>
  </si>
  <si>
    <t>Sadykov, T; Ctrnáctová, H</t>
  </si>
  <si>
    <t>Rusek, M; Vojir, K</t>
  </si>
  <si>
    <t>Sadykov, Timur; Ctrnactova, Hana</t>
  </si>
  <si>
    <t>ICT-supported Interactive Tasks in Chemistry teaching at the ISCED 2 Level as a Method of Active Teaching</t>
  </si>
  <si>
    <t>PROJECT-BASED EDUCATION AND OTHER ACTIVATING STRATEGIES IN SCIENCE EDUCATION XVI (PBE 2018)</t>
  </si>
  <si>
    <t>16th Conference on Project-Based Education And Other Activating Strategies In Science Education</t>
  </si>
  <si>
    <t>NOV 08-09, 2018</t>
  </si>
  <si>
    <t>Charles Univ, Fac Educ Dept Chem &amp; Chem Educ</t>
  </si>
  <si>
    <t>ICT Enhanced Teaching and Learning; Secondary School; Chemistry; Student Interest</t>
  </si>
  <si>
    <t>SCIENCE</t>
  </si>
  <si>
    <t>The purpose of this paper is to present created and tested interactive tasks for lower secondary schools based on the characteristics of interactive ICT-supported education. The use of ICT allows the teachers to create interactive tasks in various programs such as Hot Potatoes 6 or Learning apps - allows the students to use them on their own devices. This way of teaching enhances interactivity and adaptability within a lesson by providing the possibility of feedback to all participants. Furthermore, we developed and adapted interactive tasks for lower secondary schools which could be used in various parts of chemistry lessons. The students' attitudes toward interactive exercises were tested using simple questionnaire survey.</t>
  </si>
  <si>
    <t>[Sadykov, Timur; Ctrnactova, Hana] Univ Karlova, Prirodovedecka Fak, Katedra Ucitelstvi &amp; Didaktiky Chem, Albertov 6, Prague 12843 2, Czech Republic</t>
  </si>
  <si>
    <t>Charles University Prague</t>
  </si>
  <si>
    <t>Sadykov, T (corresponding author), Univ Karlova, Prirodovedecka Fak, Katedra Ucitelstvi &amp; Didaktiky Chem, Albertov 6, Prague 12843 2, Czech Republic.</t>
  </si>
  <si>
    <t>sadastayer@mail.ru; ctr@natur.cuni.cz</t>
  </si>
  <si>
    <t>Sadykov, Timur/A-6799-2016</t>
  </si>
  <si>
    <t>Sadykov, Timur/0000-0002-0678-4585</t>
  </si>
  <si>
    <t>CHARLES UNIV PRAGUE</t>
  </si>
  <si>
    <t>PRAHA 1</t>
  </si>
  <si>
    <t>FAC EDUC, OVOCNY TRH 5, PRAHA 1, 116 36, CZECH REPUBLIC</t>
  </si>
  <si>
    <t>978-80-7603-066-4</t>
  </si>
  <si>
    <t>BN4LB</t>
  </si>
  <si>
    <t>WOS:000482135600001</t>
  </si>
  <si>
    <t>Weber, K; Martin, MA; Patterson, BR</t>
  </si>
  <si>
    <t>Teacher behavior, student interest and affective learning: Putting theory to practice</t>
  </si>
  <si>
    <t>JOURNAL OF APPLIED COMMUNICATION RESEARCH</t>
  </si>
  <si>
    <t>interest; affective learning; teacher behavior</t>
  </si>
  <si>
    <t>Students of Project Adapt (PA), an instructional program for at-risk middle school students in Brooklyn NY have displayed startling improvement on cognitive outcome measures. Teacher given grades and standardized tests illuminate the progress students have made since entering the program. The current investigation attempts to analyze PA on students' affective responses in a pre/post-test experimental design. Upon entering PA, students completed measures of interest, affect, and their previous teachers' behavior (pre). These ratings were then compared to end of Year ratings on the same instruments (post). Results indicate students' perceive PA teachers utilizing different behaviors than their previous teachers. Additionally, student affect and interest increased significantly. Results of this study have implications for both instructional researchers and educational practitioners.</t>
  </si>
  <si>
    <t>W Virginia Univ, Dept Commun Studies, Morgantown, WV 26506 USA</t>
  </si>
  <si>
    <t>West Virginia University</t>
  </si>
  <si>
    <t>Weber, K (corresponding author), W Virginia Univ, Dept Commun Studies, Morgantown, WV 26506 USA.</t>
  </si>
  <si>
    <t>ROUTLEDGE TAYLOR &amp; FRANCIS LTD</t>
  </si>
  <si>
    <t>4 PARK SQUARE, MILTON PARK, ABINGDON OX14 4RN, OXFORDSHIRE, ENGLAND</t>
  </si>
  <si>
    <t>0090-9882</t>
  </si>
  <si>
    <t>J APPL COMMUN RES</t>
  </si>
  <si>
    <t>J. Appl. Commun. Res.</t>
  </si>
  <si>
    <t>10.1080/00909880128101</t>
  </si>
  <si>
    <t>V3382</t>
  </si>
  <si>
    <t>WOS:000186256800004</t>
  </si>
  <si>
    <t>He, XF; Peng, QY; Shao, ML; Liu, HT</t>
  </si>
  <si>
    <t>Kwok, J</t>
  </si>
  <si>
    <t>He, Xiangfu; Peng, Qiyao; Shao, Minglai; Liu, Hongtao</t>
  </si>
  <si>
    <t>HPDM: A Hierarchical Popularity-aware Debiased Modeling Approach for Personalized News Recommender</t>
  </si>
  <si>
    <t>PROCEEDINGS OF THE THIRTY-FOURTH INTERNATIONAL JOINT CONFERENCE ON ARTIFICIAL INTELLIGENCE, IJCAI 2025</t>
  </si>
  <si>
    <t>34th International Joint Conference on Artificial Intelligence-IJCAI</t>
  </si>
  <si>
    <t>AUG 16-22, 2025</t>
  </si>
  <si>
    <t>News recommender systems face inherent challenges from popularity bias, where user interactions concentrate heavily on a small subset of popular news. While existing debiasing methods have made progress in recommendation, they often overlook two critical aspects: the different granularity of news popularity (across titles, categories, etc.) and how hierarchical popularity levels distinctly influence user interest modeling. Hence, in this paper, we propose a hierarchical causal debiasing framework that effectively captures genuine user interests while mitigating popularity bias at different granularity levels. Our framework incorporates two key components during training: (1) a hierarchical popularity-aware user modeling module to capture user interests by distinguishing popular and unpopular interactions at different granularity news content; and (2) a dual-view structure combining counterfactual reasoning for popular-view news with inverse propensity weighting for unpopularview news to model user genuine interests. During inference, our framework removes popularityinduced effects to predict relatedness between user and candidate news. Extensive experiments on two widely-used datasets, MIND and Adressa, demonstrate that our framework significantly outperforms existing baseline approaches in addressing both the long-tail distribution challenge. Our code is available at https://github.com/hexiangfu123/HPDM.</t>
  </si>
  <si>
    <t>[He, Xiangfu] Tianjin Univ, Coll Intelligence &amp; Comp, Tianjin, Peoples R China; [He, Xiangfu] Ximalaya Inc, Shanghai, Peoples R China; [Peng, Qiyao; Shao, Minglai] Tianjin Univ, Sch New Media &amp; Commun, Tianjin, Peoples R China; [Liu, Hongtao] Du Xiaoman Financial Technol, Beijing, Peoples R China</t>
  </si>
  <si>
    <t>Tianjin University; Tianjin University</t>
  </si>
  <si>
    <t>Peng, QY (corresponding author), Tianjin Univ, Sch New Media &amp; Commun, Tianjin, Peoples R China.</t>
  </si>
  <si>
    <t>hexiangfu1012@tju.edu.cn; qypeng@tju.edu.cn; shaoml@tju.edu.cn; huhongtao01@duxiaoman.com</t>
  </si>
  <si>
    <t>978-1-956792-06-5</t>
  </si>
  <si>
    <t>BZ5KE</t>
  </si>
  <si>
    <t>WOS:001595146400321</t>
  </si>
  <si>
    <t>Sato, N</t>
  </si>
  <si>
    <t>Sato, Noboru</t>
  </si>
  <si>
    <t>Character portrayal of corona: people around the Athenian law court</t>
  </si>
  <si>
    <t>BULLETIN OF THE INSTITUTE OF CLASSICAL STUDIES</t>
  </si>
  <si>
    <t>Character; Athenian; Laws; Courts; Rhetoric</t>
  </si>
  <si>
    <t>This paper examines the rhetorical functions of references to corona or people surrounding the courtroom in Attic forensic speeches. It analyses the strategies deployed to characterize these spectators, classifying them into four categories: (A) witnesses of past events or the current trial, (B) individuals who are easily influenced by the outcome of a trial, (C) 'judges' of the jurors, and (D) supporters of either side of the contending parties. Category A often serves to enhance the speaker's credibility. Category B is used to remind the jurors of the broader implications of their verdict. Category C frequently encourages the jurors to consider the shame they may face if they vote against the public interest. Category D is employed for character assassination of the opponent. Orators strategically used these rhetorical tactics, especially during high-profile trials. While Category D did not always appear to benefit the litigants, Categories B and C seemed to be comparatively more favourable for the plaintiffs.</t>
  </si>
  <si>
    <t>[Sato, Noboru] Kobe Univ, Kobe, Japan</t>
  </si>
  <si>
    <t>Kobe University</t>
  </si>
  <si>
    <t>Sato, N (corresponding author), Kobe Univ, Kobe, Japan.</t>
  </si>
  <si>
    <t>sato_noboru_01@mac.com</t>
  </si>
  <si>
    <t>Sato, Noboru/0009-0008-7878-1333</t>
  </si>
  <si>
    <t>Japan Society for the Promotion of Science [17H02407, 19KK0296]</t>
  </si>
  <si>
    <t>Japan Society for the Promotion of Science(Ministry of Education, Culture, Sports, Science and Technology, Japan (MEXT)Japan Society for the Promotion of Science)</t>
  </si>
  <si>
    <t>This research is supported by Japan Society for the Promotion of Science Grant-in-Aid for Scientific Research (B) 17H02407 and Grants-in-Aid for Scientific Research Fund for the Promotion of Joint International Research (Fostering Joint International Research (A)) 19KK0296.</t>
  </si>
  <si>
    <t>0076-0730</t>
  </si>
  <si>
    <t>2041-5370</t>
  </si>
  <si>
    <t>B I CLASS STUD</t>
  </si>
  <si>
    <t>Bull. Inst. Class. Stud.</t>
  </si>
  <si>
    <t>2026 JAN 6</t>
  </si>
  <si>
    <t>10.1093/bics/qbaf039</t>
  </si>
  <si>
    <t>JAN 2026</t>
  </si>
  <si>
    <t>Classics</t>
  </si>
  <si>
    <t>AR0YH</t>
  </si>
  <si>
    <t>WOS:001654742900001</t>
  </si>
  <si>
    <t>Djuric, N; Grbovic, M; Radosavljevic, V; Bhamidipati, N; Vucetic, S</t>
  </si>
  <si>
    <t>Djuric, Nemanja; Grbovic, Mihajlo; Radosavljevic, Vladan; Bhamidipati, Narayan; Vucetic, Slobodan</t>
  </si>
  <si>
    <t>Non-Linear Label Ranking for Large-Scale Prediction of Long-Term User Interests</t>
  </si>
  <si>
    <t>PROCEEDINGS OF THE TWENTY-EIGHTH AAAI CONFERENCE ON ARTIFICIAL INTELLIGENCE</t>
  </si>
  <si>
    <t>28th AAAI Conference on Artificial Intelligence</t>
  </si>
  <si>
    <t>JUL 27-31, 2014</t>
  </si>
  <si>
    <t>Quebec City, CANADA</t>
  </si>
  <si>
    <t>We consider the problem of personalization of online services from the viewpoint of ad targeting, where we seek to find the best ad categories to be shown to each user, resulting in improved user experience and increased advertisers' revenue. We propose to address this problem as a task of ranking the ad categories depending on a user's preference, and introduce a novel label ranking approach capable of efficiently learning non-linear, highly accurate models in large-scale settings. Experiments on a real-world advertising data set with more than 3.2 million users show that the proposed algorithm outperforms the existing solutions in terms of both rank loss and top-K retrieval performance, strongly suggesting the benefit of using the proposed model on large-scale ranking problems.</t>
  </si>
  <si>
    <t>[Djuric, Nemanja; Grbovic, Mihajlo; Radosavljevic, Vladan; Bhamidipati, Narayan] Yahoo Labs, Sunnyvale, CA USA; [Vucetic, Slobodan] Temple Univ, Philadelphia, PA 19122 USA</t>
  </si>
  <si>
    <t>Yahoo! Inc; Pennsylvania Commonwealth System of Higher Education (PCSHE); Temple University</t>
  </si>
  <si>
    <t>Djuric, N (corresponding author), Yahoo Labs, Sunnyvale, CA USA.</t>
  </si>
  <si>
    <t>nemanja@yahoo-inc.com; mihajlo@yahoo-inc.com; vladan@yahoo-inc.com; narayanb@yahoo-inc.com; vucetic@temple.edu</t>
  </si>
  <si>
    <t>BN6JF</t>
  </si>
  <si>
    <t>WOS:000485439701110</t>
  </si>
  <si>
    <t>Plewniak, F; Koechler, S; Navet, B; Dugat-Bony, É; Bouchez, O; Peyret, P; Séby, F; Battaglia-Brunet, F; Bertin, PN</t>
  </si>
  <si>
    <t>Plewniak, Frederic; Koechler, Sandrine; Navet, Benjamin; Dugat-Bony, Eric; Bouchez, Olivier; Peyret, Pierre; Seby, Fabienne; Battaglia-Brunet, Fabienne; Bertin, Philippe N.</t>
  </si>
  <si>
    <t>Metagenomic insights into microbial metabolism affecting arsenic dispersion in Mediterranean marine sediments</t>
  </si>
  <si>
    <t>MOLECULAR ECOLOGY</t>
  </si>
  <si>
    <t>arsenic pollution; marine sediment; metagenomics; microbial metabolism</t>
  </si>
  <si>
    <t>DISSIMILATORY ARSENATE; GENOME SIZE; THIOARSENATES; ASSIGNMENT; REDUCTION; EVOLUTION; SEQUENCES; RESOURCE; ECOLOGY; SULFUR</t>
  </si>
  <si>
    <t>Microorganisms dwelling in sediments have a crucial role in biogeochemical cycles and are expected to have a strong influence on the cycle of arsenic, a metalloid responsible for severe water pollution and presenting major health risks for human populations. We present here a metagenomic study of the sediment from two harbours on the Mediterranean French coast, l'Estaque and St Mandrier. The first site is highly polluted with arsenic and heavy metals, while the arsenic concentration in the second site is below toxicity levels. The goal of this study was to elucidate the potential impact of the microbial community on the chemical parameters observed in complementary geochemical studies performed on the same sites. The metagenomic sequences, along with those from four publicly available metagenomes used as control data sets, were analysed with the RAMMCAP workflow. The resulting functional profiles were compared to determine the over-represented Gene Ontology categories in the metagenomes of interest. Categories related to arsenic resistance and dissimilatory sulphate reduction were over-represented in l'Estaque. More importantly, despite very similar profiles, the identification of specific sequence markers for sulphate-reducing bacteria and sulphur-oxidizing bacteria showed that sulphate reduction was significantly more associated with l'Estaque than with St Mandrier. We propose that biotic sulphate reduction, arsenate reduction and fermentation may together explain the higher mobility of arsenic observed in l'Estaque in previous physico-chemical studies of this site. This study also demonstrates that it is possible to draw sound conclusions from comparing complex and similar unassembled metagenomes at the functional level, even with very low sequence coverage.</t>
  </si>
  <si>
    <t>[Plewniak, Frederic; Koechler, Sandrine; Navet, Benjamin; Bertin, Philippe N.] Univ Strasbourg, CNRS, UMR7156, Dept Microorganismes Genomes Environm Genet Mol G, F-67083 Strasbourg, France; [Dugat-Bony, Eric; Peyret, Pierre] Univ Blaise Pascal Clermont Ferrand, CNRS, UMR 6023, Lab Microorganismes Genome &amp; Environm, F-63171 Aubiere, France; [Bouchez, Olivier] INRA, Plateforme Genom PlaGe, Genopole Toulouse Midipyrenees, F-31326 Castanet Tolosan, France; [Bouchez, Olivier] INRA, UMR444, Lab Genet Cellulaire, F-31326 Castanet Tolosan, France; [Seby, Fabienne] UT2A, F-64053 Pau 9, France; [Battaglia-Brunet, Fabienne] Bur Rech Geol &amp; Minieres, Unite Biogeochim Environm, F-45060 Orleans, France</t>
  </si>
  <si>
    <t>Universites de Strasbourg Etablissements Associes; Centre National de la Recherche Scientifique (CNRS); Universite de Strasbourg; CNRS - National Institute for Biology (INSB); Universite Clermont Auvergne (UCA); Centre National de la Recherche Scientifique (CNRS); CNRS - Institute of Ecology &amp; Environment (INEE); INRAE; INRAE; Universite de Pau et des Pays de l'Adour; Bureau de Recherches Geologiques et Minieres (BRGM)</t>
  </si>
  <si>
    <t>Plewniak, F (corresponding author), Univ Strasbourg, CNRS, UMR7156, Dept Microorganismes Genomes Environm Genet Mol G, 28 Rue Goethe, F-67083 Strasbourg, France.</t>
  </si>
  <si>
    <t>f.plewniak@unistra.fr</t>
  </si>
  <si>
    <t>; Battaglia-Brunet, Fabienne/AAG-3898-2019; Dugat-Bony, Eric/K-2455-2014</t>
  </si>
  <si>
    <t>Plewniak, Frédéric/0000-0001-6534-8786; Battaglia-Brunet, Fabienne/0000-0002-4005-6290; Philippe, Bertin/0000-0003-1158-6396; PEYRET, Pierre/0000-0003-3114-0586; Dugat-Bony, Eric/0000-0002-5182-0063</t>
  </si>
  <si>
    <t>Agence Nationale de la Recherche [ANR-2008-CESA-003]; Centre National de la Recherche Scientifique (CNRS) in the frame of the 'Groupement de Recherche-Metabolisme de l'Arsenic chez les Microorganismes (GDR2909-CNRS)'; Universite de Strasbourg (UdS)</t>
  </si>
  <si>
    <t>Agence Nationale de la Recherche(Agence Nationale de la Recherche (ANR)); Centre National de la Recherche Scientifique (CNRS) in the frame of the 'Groupement de Recherche-Metabolisme de l'Arsenic chez les Microorganismes (GDR2909-CNRS)'; Universite de Strasbourg (UdS)(Universite de Strasbourg)</t>
  </si>
  <si>
    <t>This work was supported by the Agence Nationale de la Recherche (ANR-2008-CESA-003), the Centre National de la Recherche Scientifique (CNRS) in the frame of the 'Groupement de Recherche-Metabolisme de l'Arsenic chez les Microorganismes (GDR2909-CNRS)' (http://gdr2909.alsace.cnrs.fr/) and the Universite de Strasbourg (UdS). The authors are deeply grateful to Dr Nicolas Marmier for useful discussion about arsenic methylation.</t>
  </si>
  <si>
    <t>0962-1083</t>
  </si>
  <si>
    <t>1365-294X</t>
  </si>
  <si>
    <t>MOL ECOL</t>
  </si>
  <si>
    <t>Mol. Ecol.</t>
  </si>
  <si>
    <t>10.1111/mec.12432</t>
  </si>
  <si>
    <t>Biochemistry &amp; Molecular Biology; Ecology; Evolutionary Biology</t>
  </si>
  <si>
    <t>Biochemistry &amp; Molecular Biology; Environmental Sciences &amp; Ecology; Evolutionary Biology</t>
  </si>
  <si>
    <t>224ZF</t>
  </si>
  <si>
    <t>WOS:000324931300004</t>
  </si>
  <si>
    <t>Gueddes, A; Fathallah, W; Mahjoub, MA</t>
  </si>
  <si>
    <t>Gueddes, Abdelweheb; Fathallah, Wyssem; Mahjoub, Mohamed Ali</t>
  </si>
  <si>
    <t>BERT-Based Knowledge Graph Construction from Social Media</t>
  </si>
  <si>
    <t>2025 INTERNATIONAL WIRELESS COMMUNICATIONS AND MOBILE COMPUTING, IWCMC</t>
  </si>
  <si>
    <t>International Wireless Communications and Mobile Computing Conference</t>
  </si>
  <si>
    <t>21st International Wireless Communications and Mobile Computing-IWCMC-Annual</t>
  </si>
  <si>
    <t>MAY 12-16, 2025</t>
  </si>
  <si>
    <t>Abu Dhabi, U ARAB EMIRATES</t>
  </si>
  <si>
    <t>Institute of Electrical and Electronics Engineers Inc,IEEE UAE Section,TMY Technology Inc</t>
  </si>
  <si>
    <t>Knowledge Graph; Social Media Analysis; Large Language Models (LLMs); Ontology-Driven Methodology; BERT</t>
  </si>
  <si>
    <t>Social media platforms serve as massive repositories of textual data, reflecting diverse human interactions and preferences. However, the unstructured nature of this content poses significant challenges for extracting semantically rich insights. This paper introduces a novel methodology for the automated construction of knowledge graphs (KGs) from social media discourse, specifically focusing on Twitter tweets. Our approach synergistically integrates large language models (LLMs), specifically a fine-tuned BERT model, with an ontology-driven framework. First, we define a detailed ontology of online communication concepts. The pre-trained BERT model is then fine-tuned using a multi-task learning approach on a curated dataset of anonymized and segmented Twitter discussions, thereby aligning its semantic representations with the predefined ontology. The fine-tuned LLM is leveraged for several critical tasks including entity and relation extraction, sentiment analysis, intention classification and the inference of contextual information and discussion styles. Furthermore, a mechanism is introduced to infer inter-user relationships and shared interests using graph neural networks (GNNs), analyzing patterns in interaction and language use. This multi-faceted extracted and inferred data is subsequently employed to build a knowledge graph, stored and queried via the Neo4j graph database management system. This study presents several contributions such as the integration of a ontology with an LLM method and the innovative user relationship and shared interest extraction using graph neural networks. The proposed methodology was rigorously evaluated using a real-world dataset of Twitter discussions, showcasing its ability to capture semantic content, and elucidate inter-user relationships effectively and revealing shared interests of the users involved. Furthermore, an ablation study is included which further demonstrates each of the method component contribution and demonstrates the importance of such integrations. Our findings highlight the potential for various downstream applications such as in community structure analysis and sentiment analysis to improve information management within online social networks.</t>
  </si>
  <si>
    <t>[Gueddes, Abdelweheb] Sousse Univ, IsitCom, LATIS Lab Adv Technol &amp; Intelligent Syst, Sousse 4023, Tunisia; [Fathallah, Wyssem] Univ Tunis El Manar, LRSys ComENIT, Commun Syst LR99ES21, Ecole Natl Ingn Tunis, Tunis, Tunisia; [Mahjoub, Mohamed Ali] Sousse Univ, Natl Sch Engn Sousse, LATIS Lab Adv Technol &amp; Intelligent Syst, Sousse 4023, Tunisia</t>
  </si>
  <si>
    <t>Universite de Sousse; Universite de Tunis-El-Manar; Ecole Nationale d'Ingenieurs de Tunis (ENIT); Universite de Sousse</t>
  </si>
  <si>
    <t>Gueddes, A (corresponding author), Sousse Univ, IsitCom, LATIS Lab Adv Technol &amp; Intelligent Syst, Sousse 4023, Tunisia.</t>
  </si>
  <si>
    <t>abdelwaheb.gueddes@isitc.u-sousse.tn; fathallahwyssem@gmail.com; mohamedali.mahjoub@eniso.rnu.tn</t>
  </si>
  <si>
    <t>GUEDDES, Abdelweheb/GVS-7376-2022; Mahjoub, Mohamed/AAO-6170-2020</t>
  </si>
  <si>
    <t>2376-6492</t>
  </si>
  <si>
    <t>979-8-3315-0888-3; 979-8-3315-0887-6</t>
  </si>
  <si>
    <t>INT WIREL COMMUN</t>
  </si>
  <si>
    <t>10.1109/IWCMC65282.2025.11059459</t>
  </si>
  <si>
    <t>BZ1YS</t>
  </si>
  <si>
    <t>WOS:001547037100077</t>
  </si>
  <si>
    <t>Potey, MA; Pawar, SP; Sinha, PK</t>
  </si>
  <si>
    <t>Potey, Madhuri A.; Pawar, Supriya P.; Sinha, P. K.</t>
  </si>
  <si>
    <t>Re-ranking for Personalization using Concept Hierarchy in DL environment</t>
  </si>
  <si>
    <t>2013 15TH INTERNATIONAL CONFERENCE ON ADVANCED COMPUTING TECHNOLOGIES (ICACT)</t>
  </si>
  <si>
    <t>15th International Conference on Advanced Computing Technologies (ICACT)</t>
  </si>
  <si>
    <t>SEP 21-22, 2013</t>
  </si>
  <si>
    <t>Rajampet, INDIA</t>
  </si>
  <si>
    <t>Information Retrieval; Personalized Information Retrieval; Ranking; Re-ranking; Personalization; Digital Library; User Profiling; Concept Hierarchy</t>
  </si>
  <si>
    <t>DIGITAL LIBRARIES</t>
  </si>
  <si>
    <t>In Digital Library (DL) system, users interact with the system to search for books or research papers. Users can search through metadata or search for information in the pages by querying using keywords. In both cases, a huge amount of results are returned; however, the relevant ones to the user are not often amongst the top few. Re-ranking of the search results based on the user's interest has received wide attention in information retrieval. This work presents extending conventional search engine to searching digital library data of user's interests. The proposed system improve information access by building knowledge about a user, acquired using the user's interaction with the system, in order to customize information access. User profiling is done using a hybrid approach by taking into consideration login details and click-through data. This system mapping framework automatically maps Dmoz Open Directory Project (ODP) topics to users' interests and takes advantage of manually edited data available in ODP, to categorize and personalize search results, according to user interests. Re-ranking of the results is done based on user interests. This makes it easy to find relevant DL pages faster than normal search engines. Performance has been evaluated for online DL systems. System's performance improves by 16.55% if the average per query is calculated and approximately 10% if per user average is calculated over baseline (Google CSE) after re-ranking.</t>
  </si>
  <si>
    <t>[Potey, Madhuri A.; Sinha, P. K.] Coll Engn, Pune, Maharashtra, India; [Pawar, Supriya P.] DYPCOE, Pune, Maharashtra, India</t>
  </si>
  <si>
    <t>College of Engineering Pune</t>
  </si>
  <si>
    <t>Potey, MA (corresponding author), Coll Engn, Pune, Maharashtra, India.</t>
  </si>
  <si>
    <t>mapotey@gmail.com; supriyapawar0305@gmail.com; psinha@cdac.in</t>
  </si>
  <si>
    <t>978-1-4673-2816-6; 978-1-4673-2818-0</t>
  </si>
  <si>
    <t>BB7NB</t>
  </si>
  <si>
    <t>WOS:000345769200004</t>
  </si>
  <si>
    <t>Vo, DV; Karnjana, J; Huynh, V</t>
  </si>
  <si>
    <t>Vo, Duc-Vinh; Karnjana, Jessada; Huynh, Van-Nam</t>
  </si>
  <si>
    <t>An integrated framework of learning and evidential reasoning for user profiling using short texts</t>
  </si>
  <si>
    <t>User profiling; Short texts; Mass functions; Information fusion; Dempster-Shafer theory</t>
  </si>
  <si>
    <t>EMOTION CLASSIFICATION; RESOURCE PROFILES; ALGORITHM</t>
  </si>
  <si>
    <t>Inferring user profiles based on texts created by users on social networks has a variety of applications in recommender systems such as job offering, item recommendation, and targeted advertisement. The problem becomes more challenging when working with short texts like tweets on Twitter, or posts on Facebook. This work aims at proposing an integrated framework based on Dempster-Shafer theory of evidence, word embedding, and kappa-means clustering for user profiling problem, which is capable of not only working well with short texts but also dealing with uncertainty inherently in user texts. The proposed framework is essentially composed of three phases: (1) Learning abstract concepts at multiple levels of abstraction from user corpora; (2) Evidential inference and combination for user modeling; and (3) User profile extraction. Particularly, in the first phase, a word embedding technique is used to convert preprocessed texts into vectors which capture semantics of words in user corpus, and then kappa-means clustering is utilized for learning abstract concepts at multiple levels of abstraction, each of which reflects appropriate semantics of user profiles. In the second phase, by considering each document in user corpus as an evidential source that carries some partial information for inferring user profiles, we first infer a mass function associated with each user document by maximum a posterior estimation, and then apply Dempster's rule of combination for fusing all documents' mass functions into an overall one for the user corpus. Finally, in the third phase, we apply the so-called pignistic probability principle to extract top-n keywords from user's overall mass function to define the user profile. Thanks to the ability of combining pieces of information from many documents, the proposed framework is flexible enough to be scaled when input data coming from not only multiple modes but different sources on web environments. Besides, the resulting profiles are interpretable, visualizable, and compatible in practical applications. The effectiveness of the proposed framework is validated by experimental studies conducted on datasets crawled from Twitter and Facebook.</t>
  </si>
  <si>
    <t>[Vo, Duc-Vinh; Huynh, Van-Nam] Japan Adv Inst Sci &amp; Technol, Sch Knowledge Sci, Nomi, Ishikawa, Japan; [Karnjana, Jessada] Natl Elect &amp; Comp Technol Ctr NECTEC, Intelligent Syst Res Grp, Khlong Nueng, Thailand</t>
  </si>
  <si>
    <t>Japan Advanced Institute of Science &amp; Technology (JAIST); National Science &amp; Technology Development Agency - Thailand; National Electronics &amp; Computer Technology Center (NECTEC)</t>
  </si>
  <si>
    <t>Huynh, V (corresponding author), Japan Adv Inst Sci &amp; Technol, Sch Knowledge Sci, Nomi, Ishikawa, Japan.</t>
  </si>
  <si>
    <t>vinhvo@jaist.ac.jp; jessada.karnjana@nectec.or.th; huynh@jaist.ac.jp</t>
  </si>
  <si>
    <t>; HUYNH, Van-Nam/GSM-7997-2022</t>
  </si>
  <si>
    <t>Vo, Duc-Vinh/0000-0002-1538-7899; HUYNH, Van-Nam/0000-0002-3860-7815</t>
  </si>
  <si>
    <t>US Office of Naval Research Global [N62909-19-1-2031]</t>
  </si>
  <si>
    <t>US Office of Naval Research Global(United States Department of DefenseUnited States NavyOffice of Naval Research)</t>
  </si>
  <si>
    <t>This research was supported in part by the US Office of Naval Research Global under grant no. N62909-19-1-2031.</t>
  </si>
  <si>
    <t>10.1016/j.inffus.2020.12.004</t>
  </si>
  <si>
    <t>QK9ZX</t>
  </si>
  <si>
    <t>WOS:000620739900003</t>
  </si>
  <si>
    <t>Marcu, D; Milici, DL; Danubianu, M</t>
  </si>
  <si>
    <t>Marcu, Daniela; Milici, Dan Laurentiu; Danubianu, Mirela</t>
  </si>
  <si>
    <t>Software Engineering Ethics</t>
  </si>
  <si>
    <t>POSTMODERN OPENINGS</t>
  </si>
  <si>
    <t>ethics; principles of software engineering ethics</t>
  </si>
  <si>
    <t>Over the past 30 years, computer engineering has developed a lot. Currently, computer and software applications have a central role in business, medicine, security, communications, industry, education, and everyday life. Software developers, peoples who manage computer networks, data security analysts can do well, but they also have the potential to cause suffering and harm to the clients or ordinary peoples, willingly or not. For this reason, IT activities must be regulated by specific laws. From the beginning, we argue that the law is not the same thing as ethics, even if both promote the good. Certain ethical principles can be strengthened by law. In the field of computer science and technology, can exists theft, privacy violations, violence and harassment. To combat and punish such actions and behaviors, law is needed. But is software engineering a profession? If so, are there codes of professional ethics whereby specialists in the field can regulate their professional activity, as is the case, for example, in areas such as justice or medicine? In relation with that, Gibbs and Ford have identified 8 components of a professional infrastructure. Some of that is: initial vocational training, professional accreditation, licensing, continuous vocational training, the existence of code of ethics. (Ford &amp; Gibbs, 1996). With the fact that software engineering is a profession, in this article we present the main principles of behavior. The principles are not legally binding. This are grouped by interest categories depending on who or what is involved in the interaction with software engineering.</t>
  </si>
  <si>
    <t>[Marcu, Daniela; Milici, Dan Laurentiu; Danubianu, Mirela] Stefan Cel Mare Univ Suceava, Fac Elect Engn &amp; Comp Sci, Suceava, Romania</t>
  </si>
  <si>
    <t>Stefan cel Mare University of Suceava</t>
  </si>
  <si>
    <t>Marcu, D (corresponding author), Stefan Cel Mare Univ Suceava, Fac Elect Engn &amp; Comp Sci, Suceava, Romania.</t>
  </si>
  <si>
    <t>mdaniela.marcu@yahoo.ro; dam@usm.ro; mdanub@eed.usv.ro</t>
  </si>
  <si>
    <t>Milici, D/C-6215-2009; Marcu, Daniela/ABI-5667-2020; Danubianu, Mirela/O-3620-2014</t>
  </si>
  <si>
    <t>Marcu, Daniela/0000-0002-1903-2200; Danubianu, Mirela/0000-0002-5470-1406</t>
  </si>
  <si>
    <t>[POCU/380/6/13]; [36355/23.05.2019]; [123847]</t>
  </si>
  <si>
    <t>; ;</t>
  </si>
  <si>
    <t>The activity was carried out with POCU/380/6/13 financing through the Financing Contract 36355/23.05.2019 -SMIS code: 123847</t>
  </si>
  <si>
    <t>LUMEN PUBLISHING HOUSE</t>
  </si>
  <si>
    <t>IASI</t>
  </si>
  <si>
    <t>TEPES VODA, NO2, IASI, IASI, 00000, ROMANIA</t>
  </si>
  <si>
    <t>2068-0236</t>
  </si>
  <si>
    <t>2069-9387</t>
  </si>
  <si>
    <t>POSTMOD OPEN</t>
  </si>
  <si>
    <t>Postmod. Open.</t>
  </si>
  <si>
    <t>10.18662/po/11.4/233</t>
  </si>
  <si>
    <t>PH7VL</t>
  </si>
  <si>
    <t>WOS:000600615200014</t>
  </si>
  <si>
    <t>Wang, LY; Reddy, R; Reddy, S; Das, A</t>
  </si>
  <si>
    <t>IAENG</t>
  </si>
  <si>
    <t>Wang, Luyi; Reddy, Ramana; Reddy, Sumitra; Das, Asesh</t>
  </si>
  <si>
    <t>User Context Centric Models in A Knowledge Advantage Machine</t>
  </si>
  <si>
    <t>WORLD CONGRESS ON ENGINEERING AND COMPUTER SCIENCE, WCECS 2012, VOL I</t>
  </si>
  <si>
    <t>World Congress on Engineering and Computer Science</t>
  </si>
  <si>
    <t>OCT 24-26, 2012</t>
  </si>
  <si>
    <t>Int Assoc Engn</t>
  </si>
  <si>
    <t>Knowledge Advantage Machine; user profile; ontology; patterns; context awareness; user context centric</t>
  </si>
  <si>
    <t>User centric interaction is an essential requirement in many types of web related applications. Always a basic expectation from the user is that the web interaction must be self-organizing and evolving in an organized pattern as the user interest progresses. This paper addresses such an expectation with an ontology pattern based Knowledge Advantage Machine [KAM]. It illustrates how this KAM system leads to the determination of a reliable context as the knowledge discovery is taking place.</t>
  </si>
  <si>
    <t>[Wang, Luyi; Reddy, Ramana; Reddy, Sumitra] West Virginia Univ, Lane Dept Comp Sci &amp; Elect Engn, KaMlab, Morgantown, WV 26506 USA; [Das, Asesh] Penn Coll Technol Penn State, Sch Business &amp; Comp Technol, Williamsport, PA 17701 USA</t>
  </si>
  <si>
    <t>Wang, LY (corresponding author), West Virginia Univ, Lane Dept Comp Sci &amp; Elect Engn, KaMlab, Morgantown, WV 26506 USA.</t>
  </si>
  <si>
    <t>Verizon Foundation</t>
  </si>
  <si>
    <t>This work was supported in part by an endowment from the Verizon Foundation.</t>
  </si>
  <si>
    <t>978-988-19251-6-9</t>
  </si>
  <si>
    <t>BH2IR</t>
  </si>
  <si>
    <t>WOS:000398979600070</t>
  </si>
  <si>
    <t>Gurung, RAR; Oxlad, M; Slade, JJ</t>
  </si>
  <si>
    <t>Gurung, Regan A. R.; Oxlad, Melissa; Slade, Joseph J.</t>
  </si>
  <si>
    <t>Does an AI-Assisted Active Learning Exercise Foster Student Interest?</t>
  </si>
  <si>
    <t>TEACHING OF PSYCHOLOGY</t>
  </si>
  <si>
    <t>learning; human-AI interaction; introductory psychology; interest</t>
  </si>
  <si>
    <t>SITUATIONAL INTEREST</t>
  </si>
  <si>
    <t>Background Artificial Intelligence (AI) is increasingly being integrated into higher education, yet empirical research on its impact on learning, student engagement, and interest remains limited.Objective The purpose of this study was to examine whether incorporating AI into an active learning activity would enhance situational interest among undergraduate students.Method A total of 312 introductory psychology students completed a lesson on the fundamental attribution error (FAE) under one of two conditions: (1) AI-assisted, using a custom GPT developed by the authors to guide an interactive dialogue-based lesson; or (2) No AI, completing an equivalent worksheet-based version of the activity. Following the lesson, students completed a measure of interest.Results Contrary to expectations, in face-to-face settings, students who completed the activity without AI reported significantly higher interest than those who used AI. There was no significant difference between conditions for total time spent on task, although students in the AI condition spent less time on an ungraded assessment of their learning.Conclusions The mere inclusion of AI-assisted learning may not inherently enhance interest and engagement in short, in-class applications.Teaching Implications These findings highlight the importance of human facilitation in sustaining student interest.</t>
  </si>
  <si>
    <t>[Gurung, Regan A. R.; Slade, Joseph J.] Oregon State Univ, 1173 NW Charlemagne Pl, Corvallis, OR 97330 USA; [Oxlad, Melissa] Univ Adelaide, Adelaide, SA, Australia</t>
  </si>
  <si>
    <t>Oregon State University; Adelaide University; University of Adelaide</t>
  </si>
  <si>
    <t>Gurung, RAR (corresponding author), Oregon State Univ, 1173 NW Charlemagne Pl, Corvallis, OR 97330 USA.</t>
  </si>
  <si>
    <t>Regan.Gurung@oregonstate.edu</t>
  </si>
  <si>
    <t>Gurung, Regan/ABG-3382-2020</t>
  </si>
  <si>
    <t>0098-6283</t>
  </si>
  <si>
    <t>1532-8023</t>
  </si>
  <si>
    <t>TEACH PSYCHOL</t>
  </si>
  <si>
    <t>Teach. Psychol.</t>
  </si>
  <si>
    <t>2026 FEB 26</t>
  </si>
  <si>
    <t>10.1177/00986283261425238</t>
  </si>
  <si>
    <t>FEB 2026</t>
  </si>
  <si>
    <t>Education &amp; Educational Research; Psychology, Multidisciplinary</t>
  </si>
  <si>
    <t>EG5JW</t>
  </si>
  <si>
    <t>WOS:001700552700001</t>
  </si>
  <si>
    <t>Bang, J; Han, S; Lee, K; Lee, GG</t>
  </si>
  <si>
    <t>Bang, Jeesoo; Han, Sangdo; Lee, Kyusong; Lee, Gary Geunbae</t>
  </si>
  <si>
    <t>OPEN-DOMAIN PERSONALIZED DIALOG SYSTEM USING USER-INTERESTED TOPICS IN SYSTEM RESPONSES</t>
  </si>
  <si>
    <t>2015 IEEE WORKSHOP ON AUTOMATIC SPEECH RECOGNITION AND UNDERSTANDING (ASRU)</t>
  </si>
  <si>
    <t>IEEE Workshop on Automatic Speech Recognition and Understanding (ASRU)</t>
  </si>
  <si>
    <t>DEC 13-17, 2015</t>
  </si>
  <si>
    <t>Scottsdale, AR</t>
  </si>
  <si>
    <t>IEEE,IEEE Signal Processing Soc,Inst Elect &amp; Elect Engn</t>
  </si>
  <si>
    <t>Chat system; chatbot; open-domain dialog; knowledge base; topic-based dialog</t>
  </si>
  <si>
    <t>We built a personalized example-based dialog system that constructs its responses by considering entities that the user has uttered, and topics in which the user has expressed interest. The system analyzes user input utterances, then uses DBpedia and Freebase to extract relevant entities and topics. The extracted entities and topics are stored in personal knowledge memory and are used when the system selects responses from the example database and generates responses. We conducted a human experiment in which evaluators rated dialog systems based on subjective metrics. The proposed dialog system that uses topics that are of interest to the user achieved higher evaluation scores for both personalization and satisfaction than the baseline systems. These results demonstrate that the use of topics in the system response provides a sense that the system pays attention to the user's utterances; as a consequence the user has a satisfactory dialog experience.</t>
  </si>
  <si>
    <t>[Bang, Jeesoo; Han, Sangdo; Lee, Kyusong; Lee, Gary Geunbae] Pohang Univ Sci &amp; Technol, Dept Comp Sci &amp; Engn, Pohang, South Korea</t>
  </si>
  <si>
    <t>Bang, J (corresponding author), Pohang Univ Sci &amp; Technol, Dept Comp Sci &amp; Engn, Pohang, South Korea.</t>
  </si>
  <si>
    <t>978-1-4799-7291-3</t>
  </si>
  <si>
    <t>BF3XU</t>
  </si>
  <si>
    <t>WOS:000380604800101</t>
  </si>
  <si>
    <t>de Gemmis, M; Lops, P; Semeraro, G; Basile, P</t>
  </si>
  <si>
    <t>de Gemmis, Marco; Lops, Pasquale; Semeraro, Giovanni; Basile, Pierpaolo</t>
  </si>
  <si>
    <t>Integrating Tags in a Semantic Content-based Recommender</t>
  </si>
  <si>
    <t>RECSYS'08: PROCEEDINGS OF THE 2008 ACM CONFERENCE ON RECOMMENDER SYSTEMS</t>
  </si>
  <si>
    <t>ACM Conference on Recommender Systems</t>
  </si>
  <si>
    <t>OCT 23-25, 2008</t>
  </si>
  <si>
    <t>Lausanne, SWITZERLAND</t>
  </si>
  <si>
    <t>ACM SIGCHI,ACM SIGIR,ACM SIGWEB,ACM SIGKDD,ACM SIGART</t>
  </si>
  <si>
    <t>Recommender Systems; Machine Learning; Collaborative Tagging; Word Sense Disambiguation</t>
  </si>
  <si>
    <t>Basic content personalization consists in matching up the attributes of a user profile, in which preferences and interests are stored, with the attributes of a content object. The Web 2.0 (r)evolution and the advent of user generated content have changed the game for personalization, since the role of people has evolved from passive consumers of information to that of active contributors. One of the forms of user generated content that has drawn more attention from the research community is folksonomy, a taxonomy generated by users who collaboratively annotate and categorize resources of interests with freely chosen keywords called tags. In this paper, we investigate whether folksonomies might be a valuable source of information about user interests. The main contribution is a strategy that enables a content-based recommender to infer user interests by applying machine learning techniques both on the official item descriptions provided by a publisher, and on tags which users adopt to freely annotate relevant items. Static content and tags are preventively analyzed by advanced linguistic techniques in order to capture the semantics of the user interests often hidden behind keywords. The proposed approach has been evaluated in the context of cultural heritage personalization. Preliminary experiments involving 30 real users show an improvement in the predictive accuracy of the tag-augmented recommender compared to the pure content-based one.</t>
  </si>
  <si>
    <t>[de Gemmis, Marco; Lops, Pasquale; Semeraro, Giovanni; Basile, Pierpaolo] Univ Bari, Dept Comp Sci, I-70121 Bari, Italy</t>
  </si>
  <si>
    <t>de Gemmis, M (corresponding author), Univ Bari, Dept Comp Sci, I-70121 Bari, Italy.</t>
  </si>
  <si>
    <t>degemmis@di.uniba.it; lops@di.uniba.it; semeraro@di.uniba.it; basilepp@di.uniba.it</t>
  </si>
  <si>
    <t>de Gemmis, Marco/E-9490-2014; Lops, Pasquale/E-7509-2014; Basile, Pierpaolo/AAE-5610-2020; Semeraro, Giovanni/AAC-2156-2020</t>
  </si>
  <si>
    <t>de Gemmis, Marco/0000-0002-2007-9559; Lops, Pasquale/0000-0002-6866-9451; Basile, Pierpaolo/0000-0002-0545-1105; Semeraro, Giovanni/0000-0001-6883-1853</t>
  </si>
  <si>
    <t>978-1-60558-093-7</t>
  </si>
  <si>
    <t>BJS80</t>
  </si>
  <si>
    <t>WOS:000267113700021</t>
  </si>
  <si>
    <t>Pandey, S; Lan, A; Karypis, G; Srivastava, J</t>
  </si>
  <si>
    <t>Zaniolo, C; DiFatta, G; Cuzzocrea, A; Sheng, V; Wu, X</t>
  </si>
  <si>
    <t>Pandey, Shalini; Lan, Andrew; Karypis, George; Srivastava, Jaideep</t>
  </si>
  <si>
    <t>Learning Student Interest Trajectory for MOOC Thread Recommendation</t>
  </si>
  <si>
    <t>20TH IEEE INTERNATIONAL CONFERENCE ON DATA MINING WORKSHOPS (ICDMW 2020)</t>
  </si>
  <si>
    <t>20th IEEE International Conference on Data Mining (ICDM)</t>
  </si>
  <si>
    <t>NOV 17-20, 2020</t>
  </si>
  <si>
    <t>IEEE,IEEE Comp Soc,Univ Calabria,Mininglamp Technol</t>
  </si>
  <si>
    <t>Recommender Systems; Personalized learning; MOOCs</t>
  </si>
  <si>
    <t>In recent years, Massive Open Online Courses (MOOCs) have witnessed immense growth in popularity. Now, due to the recent Covid19 pandemic situation, it is important to push the limits of online education. Discussion forums are primary means of interaction among learners and instructors. However, with growing class size, students face the challenge of finding useful and informative discussion forums. This problem can be solved by matching the interest of students with thread contents. The fundamental challenge is that the student interests drift as they progress through the course, and forum contents evolve as students or instructors update them. In our paper, we propose to predict future interest trajectories of students. Our model consists of two key operations: 1) Update operation and 2) Projection operation. Update operation models the interdependency between the evolution of student and thread using coupled Recurrent Neural Networks when the student posts on the thread. The projection operation learns to estimate future embedding of students and threads. For students, the projection operation learns the drift in their interests caused by the change in the course topic they study. The projection operation for threads exploits how different posts induce varying interest levels in a student according to the thread structure. Extensive experimentation on three real-world MOOC datasets shows that our model significantly outperforms other baselines for thread recommendation.</t>
  </si>
  <si>
    <t>[Pandey, Shalini; Karypis, George; Srivastava, Jaideep] Univ Minnesota, St Paul, MN 55455 USA; [Lan, Andrew] Univ Massachusetts, Amherst, MA 01003 USA</t>
  </si>
  <si>
    <t>University of Minnesota System; University of Minnesota Twin Cities; University of Massachusetts System; University of Massachusetts Amherst</t>
  </si>
  <si>
    <t>Pandey, S (corresponding author), Univ Minnesota, St Paul, MN 55455 USA.</t>
  </si>
  <si>
    <t>pande103@umn.edu; andrewlan@cs.umass.edu; karypis@umn.edu; srivasta@umn.edu</t>
  </si>
  <si>
    <t>Pandey, Shalini/IQV-4811-2023</t>
  </si>
  <si>
    <t>Pandey, Shalini/0000-0003-3030-995X</t>
  </si>
  <si>
    <t>978-1-7281-9012-9</t>
  </si>
  <si>
    <t>10.1109/ICDMW51313.2020.00062</t>
  </si>
  <si>
    <t>BR5SN</t>
  </si>
  <si>
    <t>WOS:000657112800054</t>
  </si>
  <si>
    <t>Zhou, YC; Qin, L; Chen, YR; Wang, L; Huang, XY; Zhu, LF</t>
  </si>
  <si>
    <t>Zhou, Yucheng; Qin, Ling; Chen, Yirun; Wang, Le; Huang, Xinyan; Zhu, Liangfeng</t>
  </si>
  <si>
    <t>A three-weight surface modeling approach for optimizing small-scale population disaggregation</t>
  </si>
  <si>
    <t>FRONTIERS OF EARTH SCIENCE</t>
  </si>
  <si>
    <t>population disaggregation; dasymetric mapping; surface modeling; Points-of-Interest (POIs)</t>
  </si>
  <si>
    <t>AREAL INTERPOLATION; LAND-COVER; RESOLUTION</t>
  </si>
  <si>
    <t>In recent years, fine-scale gridded population data has been widely adopted for assessing and monitoring the Sustainable Development Goals (SDGs). However, the existing population disaggregation techniques struggle to generate precise population grids for small areas with scarce data. To address this, we have introduced a novel, lightweight population gridding technique that integrates dasymetric mapping and point-based surface modeling, titled three-weight surface modeling. This method comprises three weights, each offering a unique perspective on population spatial heterogeneity. The first weight, termed building-volume weight, is equivalent to the preliminary results of assigning population based on building volume data. The second weight, termed POI-center weight, comprises POI (Point of Interest) categories and aggregation patterns, aiming to articulate high-density population centers. It is computed using the neighborhood accumulation rule of Spearman's correlation coefficients between POIs and population size. The third weight, termed POI-distance weight, represents varying decay rates of population with distance from high-density centers. This three-weight surface model facilitates dynamic adjustment of parameters to refine the building-volume weight according to the remaining POI-related weights, thereby generating a more precise population surface. Our analysis of the census population and the disaggregation outcomes from 544 villages in three counties of southern Guizhou Province, China (namely, Huishui, Luodian, and Pingtang) revealed that the three-weight surface model using local parameter groups outperformed individual dasymetric mapping or point-based surface modeling in terms of accuracy. Also, the 10 m population grid generated by this local parameter model (LPTW-POP) presented greater resolution and fewer errors (RMSE of 1109, MAE of 422, and MRE of 0.2630) compared to commonly use gridded population datasets like LandScan, WorldPop, and GHS-POP.</t>
  </si>
  <si>
    <t>[Zhou, Yucheng; Qin, Ling; Chen, Yirun; Wang, Le; Zhu, Liangfeng] East China Normal Univ, Sch Geog Sci, Key Lab GISci, Minist Educ, Shanghai 200241, Peoples R China; [Huang, Xinyan] Shenzhen Univ, Sch Architecture &amp; Urban Planning, Shenzhen 518060, Peoples R China</t>
  </si>
  <si>
    <t>East China Normal University; Shenzhen University</t>
  </si>
  <si>
    <t>Zhu, LF (corresponding author), East China Normal Univ, Sch Geog Sci, Key Lab GISci, Minist Educ, Shanghai 200241, Peoples R China.</t>
  </si>
  <si>
    <t>lfzhu@geo.ecnu.edu.cn</t>
  </si>
  <si>
    <t>Chen, Yirun/MSW-0018-2025</t>
  </si>
  <si>
    <t>Natural Science Foundation of Shanghai Municipality [24ZR1420500]; Project of Yulin Science, and Technology Light [2024-KJZG-KXJ-005]; Project of International Research Center of Big Data for SDGs [CBAS2024SDG005]</t>
  </si>
  <si>
    <t>Natural Science Foundation of Shanghai Municipality(Natural Science Foundation of Shanghai); Project of Yulin Science, and Technology Light; Project of International Research Center of Big Data for SDGs</t>
  </si>
  <si>
    <t>We acknowledge the support of the Natural Science Foundation of Shanghai Municipality (No. 24ZR1420500), the Project of Yulin Science, and Technology Light (No. 2024-KJZG-KXJ-005), and the Project of International Research Center of Big Data for SDGs (No. CBAS2024SDG005).</t>
  </si>
  <si>
    <t>2095-0195</t>
  </si>
  <si>
    <t>2095-0209</t>
  </si>
  <si>
    <t>FRONT EARTH SCI-PRC</t>
  </si>
  <si>
    <t>Front. Earth Sci.</t>
  </si>
  <si>
    <t>10.1007/s11707-024-1150-5</t>
  </si>
  <si>
    <t>Geosciences, Multidisciplinary</t>
  </si>
  <si>
    <t>Geology</t>
  </si>
  <si>
    <t>9ND5B</t>
  </si>
  <si>
    <t>WOS:001527690900001</t>
  </si>
  <si>
    <t>Cialone, C; Stock, K; Medved-Cvikl, B; Ceglar, A</t>
  </si>
  <si>
    <t>Cialone, Claudia; Stock, Kristin; Medved-Cvikl, Barbara; Ceglar, Andrej</t>
  </si>
  <si>
    <t>Creating a Multilingual Geospatial Thesaurus: GEOSS Societal Benefit Areas Translations for Italian, Spanish, French and Slovenian</t>
  </si>
  <si>
    <t>INTERNATIONAL JOURNAL OF SPATIAL DATA INFRASTRUCTURES RESEARCH</t>
  </si>
  <si>
    <t>Multilingual thesauri; GEOSS; Societal Benefit Areas; EuroGEOSS</t>
  </si>
  <si>
    <t>The Global Earth Observation System of Systems (GEOSS) Societal Benefit Areas (SBAs) are a set of terms of interest for the development of global spatial data infrastructures. These SBAs form a two level hierarchy (categories and subcategories) ranging from natural disasters to human health. The SBAs are used widely by international geographic information sharing initiatives and policy makers. One of the uses of the SBAs is to allow users to search a spatial data infrastructure for resources that relate to the theme of interest (category or subcategory) selected. However, the SBAs are currently only specified in English. In this paper, we provide a translation of the SBAs into Italian, Spanish, French, and Slovenian in order to support multilingual search, and we underline the issues involved in the translation. Since some of these issues seem to be strictly related to a few discrepancies present in the original version of the SBAs, this paper also proposes a revision of the original set of terms in English.</t>
  </si>
  <si>
    <t>[Cialone, Claudia] Univ Nottingham, Ctr Geospatial Sci, Nottingham, England; [Stock, Kristin] Univ Nottingham, Ctr Geospatial Sci, Nottingham, England; [Medved-Cvikl, Barbara; Ceglar, Andrej] Univ Ljubljana, Biotehn Fac, Ljubljana, Slovenia</t>
  </si>
  <si>
    <t>University of Nottingham; University of Nottingham; University of Ljubljana</t>
  </si>
  <si>
    <t>Cialone, C (corresponding author), Univ Nottingham, Ctr Geospatial Sci, Nottingham, England.</t>
  </si>
  <si>
    <t>claudia.cialone@cantab.net; kristin.stock@nottingham.ac.uk; Barbara.Medved-Cvikl@bf.uni-lj.si</t>
  </si>
  <si>
    <t>Stock, Kristin/AAS-9986-2020</t>
  </si>
  <si>
    <t>European Union</t>
  </si>
  <si>
    <t>European Union(European Union (EU))</t>
  </si>
  <si>
    <t>This work was funded by the European Union under the FP7 EuroGEOSS project.</t>
  </si>
  <si>
    <t>EUROPEAN COMMISSION, JOINT RESEARCH CENTRE</t>
  </si>
  <si>
    <t>ISPRA</t>
  </si>
  <si>
    <t>VIA FERMI 1, ISPRA, VA 21020, ITALY</t>
  </si>
  <si>
    <t>1725-0463</t>
  </si>
  <si>
    <t>INT J SPAT DATA INFR</t>
  </si>
  <si>
    <t>Int. J. Spat. Data Infrastruct. Res.</t>
  </si>
  <si>
    <t>10.2902/1725-0463.2012.07.art19</t>
  </si>
  <si>
    <t>Geography</t>
  </si>
  <si>
    <t>V5L7C</t>
  </si>
  <si>
    <t>WOS:000219721900019</t>
  </si>
  <si>
    <t>Lizote, SA; Verdinelli, MA; Terres, JC; Camozzato, ES; Seemann, JD</t>
  </si>
  <si>
    <t>Lizote, Suzete Antonieta; Verdinelli, Miguel Angel; Terres, Jose Carlos; Camozzato, Elen Sauer; Seemann, Jacqueline dos Santos</t>
  </si>
  <si>
    <t>STUDENTS SATISFACTION WITH THE COURSE OF ACCOUNTING: AN ANALYSIS IN DIFFERENT HIGHER EDUCATION INSTITUTIONS</t>
  </si>
  <si>
    <t>REVISTA AMBIENTE CONTABIL</t>
  </si>
  <si>
    <t>Satisfaction; Students; Accounting Sciences</t>
  </si>
  <si>
    <t>SERVICE QUALITY</t>
  </si>
  <si>
    <t>The objective of this study was to evaluate how student interest (IE) and teacher involvement (EP) influence the general satisfaction (SG) of undergraduate students in Accounting in different types of Higher Education Institutions (HEIs). For this purpose data were collected in two universities, one public and free of charge and other community and paid education, and in a private and for-profit university center. The data were obtained with a questionnaire answered on a scale of agreement by the students. Sociodemographic variables were also taken to analyze the influence of other factors. The theoretical framework focused on the quality of educational services and the satisfaction they produce. The methodological procedures included mean comparisons and regression analysis from the factor scores generated for each construct. The results obtained allow concluding that gender does not influence satisfaction, but students from the initial semesters are more satisfied. In turn, teacher involvement and student interest influence general satisfaction, however differently. In the university center EP and IE present a greater explanatory power of the SG, although the satisfaction in this type of HEI is statistically smaller than in the two universities. The practical implications of these findings may contribute to a better adaptation of the curriculum of the course and of the teaching plans.</t>
  </si>
  <si>
    <t>[Lizote, Suzete Antonieta] Univ Vale Itajai Univali, PPGA, Rua Dr Francisco Rangel 5, BR-88302662 Itajai, SC, Brazil; [Terres, Jose Carlos] Univ Vale Itajai, Curso Grad Ciencias Contabeis, Ave Marcos Konder 1100,Apto 801, BR-88301302 Itajai, SC, Brazil; [Seemann, Jacqueline dos Santos] Univ Vale Itajai, Curso Mkt, BR-88303570 Itajai, SC, Brazil</t>
  </si>
  <si>
    <t>Universidade do Vale do Itajai; Universidade do Vale do Itajai; Universidade do Vale do Itajai</t>
  </si>
  <si>
    <t>Lizote, SA (corresponding author), Univ Vale Itajai Univali, PPGA, Rua Dr Francisco Rangel 5, BR-88302662 Itajai, SC, Brazil.</t>
  </si>
  <si>
    <t>lizote@univali.br; nupad@univali.br; terres@univali.br; elen.adm12@hotmail.com; jaquelineseemann@hotmail.com</t>
  </si>
  <si>
    <t>UNIV FED RIO GRANDE DO NORTE</t>
  </si>
  <si>
    <t>RIO GRANDE DO NORTE</t>
  </si>
  <si>
    <t>CAMPUS UNIV, CAIXA POSTAL 1622, RIO GRANDE DO NORTE, NATAL CEP59078-970, BRAZIL</t>
  </si>
  <si>
    <t>2176-9036</t>
  </si>
  <si>
    <t>REV AMBIENT CONTAB</t>
  </si>
  <si>
    <t>Rev. Ambient. Contab.</t>
  </si>
  <si>
    <t>10.21680/2176-9036.2018v10n1ID11663</t>
  </si>
  <si>
    <t>Business, Finance</t>
  </si>
  <si>
    <t>GJ6RU</t>
  </si>
  <si>
    <t>WOS:000435512400018</t>
  </si>
  <si>
    <t>Cohen, LM</t>
  </si>
  <si>
    <t>Cohen, Leonora M.</t>
  </si>
  <si>
    <t>Simplicity in complex times: Six principles for teaching the gifted</t>
  </si>
  <si>
    <t>REVISTA DE PSICOLOGIA PUCP</t>
  </si>
  <si>
    <t>Gifted; talented; curriculum methods</t>
  </si>
  <si>
    <t>ACCELERATION</t>
  </si>
  <si>
    <t>The world has become increasingly complex. Curriculum methods for the gifted are likewise. Extracted from these seminal and ongoing curriculum approaches are six rules based on best practices and research from our field, which can be grasped easily and applied by teachers anywhere. When teachers work from a set of principles they can adapt to needs of students and support growth, regardless of context. Using principles strengthens teaching and supports gifted students, and perhaps all students. The six principles include: a) focus on unique pattern of strengths, b) group students by interests or abilities at least part of the time, c) move as far and as fast in the basic skills as possible, d) enrich individual interests, e) offer mediation, counseling, mentoring and facilitation, and f) provide the tools for life-long learning.</t>
  </si>
  <si>
    <t>[Cohen, Leonora M.] Oregon State Univ, Coll Educ, Waldo Hall 473, Corvallis, OR 97331 USA</t>
  </si>
  <si>
    <t>Oregon State University</t>
  </si>
  <si>
    <t>Cohen, LM (corresponding author), Oregon State Univ, Coll Educ, Waldo Hall 473, Corvallis, OR 97331 USA.</t>
  </si>
  <si>
    <t>cohenl@oregonstate.edu</t>
  </si>
  <si>
    <t>PONTIFICIA UNIV CATOLICA PERU</t>
  </si>
  <si>
    <t>SAN MIGUEL</t>
  </si>
  <si>
    <t>AV UNIVERSITARIA 1801, SAN MIGUEL, LIMA 32, PERU</t>
  </si>
  <si>
    <t>0254-9247</t>
  </si>
  <si>
    <t>2223-3733</t>
  </si>
  <si>
    <t>REV PSICOL-LIMA</t>
  </si>
  <si>
    <t>Rev. Psicol. PUCP</t>
  </si>
  <si>
    <t>VH9GD</t>
  </si>
  <si>
    <t>WOS:000457873400005</t>
  </si>
  <si>
    <t>Back, M; Dean, J</t>
  </si>
  <si>
    <t>Back, Michele; Dean, Joseph</t>
  </si>
  <si>
    <t>Profesores Adelante!Recruiting teachers in the target language</t>
  </si>
  <si>
    <t>FOREIGN LANGUAGE ANNALS</t>
  </si>
  <si>
    <t>Early College Experience courses; target language ability; teacher candidates; teacher recruitment</t>
  </si>
  <si>
    <t>RECRUITMENT; RETENTION; SHORTAGE</t>
  </si>
  <si>
    <t>Recruiting qualified world language (WL) educators is a continuing challenge in the United States. Limited research has been conducted on attracting potential teacher candidates. Furthermore, recruitment materials are unavailable in target languages, making it difficult for existing WL teachers, as critical advocates for the profession, to incorporate recruitment into their instruction. This study discusses the findings from the implementation of an adapted teacher recruitment curriculum created for secondary students in Early College Experience (ECE) Spanish courses. Using data from pre- and post-intervention surveys, responses to writing prompts, and post-intervention focus groups, we found that the curriculum contributed to a slight increase in student interest in becoming WL educators, as well as interest in continuing language study beyond high school. However, several teaching-related student concerns also surfaced, most notably salary and target language ability. We discuss implications for general and WL teacher recruitment, including the importance of targeting potential WL educators in their language classrooms.</t>
  </si>
  <si>
    <t>[Back, Michele; Dean, Joseph] Univ Connecticut, Neag Sch Educ, Dept Curriculum &amp; Instruct, 249 Glenbrook Rd,Unit 3033, Storrs, CT 06269 USA</t>
  </si>
  <si>
    <t>University of Connecticut</t>
  </si>
  <si>
    <t>Back, M (corresponding author), Univ Connecticut, Neag Sch Educ, Dept Curriculum &amp; Instruct, 249 Glenbrook Rd,Unit 3033, Storrs, CT 06269 USA.</t>
  </si>
  <si>
    <t>michele.back@uconn.edu</t>
  </si>
  <si>
    <t>Back, Michele/F-9238-2018</t>
  </si>
  <si>
    <t>Back, Michele/0000-0001-9558-8908</t>
  </si>
  <si>
    <t>UConn ECE Concurrent Enrollment Research Grant Initiative</t>
  </si>
  <si>
    <t>0015-718X</t>
  </si>
  <si>
    <t>1944-9720</t>
  </si>
  <si>
    <t>FOREIGN LANG ANN</t>
  </si>
  <si>
    <t>Foreign Lang. Ann.</t>
  </si>
  <si>
    <t>10.1111/flan.12482</t>
  </si>
  <si>
    <t>SEP 2020</t>
  </si>
  <si>
    <t>Education &amp; Educational Research; Linguistics</t>
  </si>
  <si>
    <t>NU0DJ</t>
  </si>
  <si>
    <t>WOS:000564366900001</t>
  </si>
  <si>
    <t>Chen, SS</t>
  </si>
  <si>
    <t>Chen, Shuangshuang</t>
  </si>
  <si>
    <t>The Application of Big Data and Fuzzy Decision Support Systems in the Innovation of Personalized Music Teaching in Universities</t>
  </si>
  <si>
    <t>INTERNATIONAL JOURNAL OF COMPUTATIONAL INTELLIGENCE SYSTEMS</t>
  </si>
  <si>
    <t>Fuzzy logic; Music learning; Personalized teaching; Recommendation system</t>
  </si>
  <si>
    <t>Personalized music teaching in universities improves students' learning and efficiency through adaptive guidance. This adaptability requires large study data and intelligent decisions based on the learner's ability. This article introduces a Definitive Teaching Support System (DTSS) exclusive to music learning to augment this concept. This system is designed to increase the adaptability of music learning based on student interest and ability. The system is powered by a fuzzy decision system for identifying maximum teaching adaptability to personalized processes. Low-to-high-sorted personalization provides new endorsements for further music sessions in the fuzzy derivative process. Maximum adaptability is the target for new personalized sessions in the universities. This differs for various students from which a common adaptability level for monotonous recommendations is identified. The identified adaptability is set as a global maximum solution towards music learning personalization. The defuzzification reduces the chances of low adaptability by expelling the stationary adaptability outcomes.</t>
  </si>
  <si>
    <t>[Chen, Shuangshuang] Shaanxi Vocat Acad Art, Dept Mus, Xian 710054, Peoples R China</t>
  </si>
  <si>
    <t>Chen, SS (corresponding author), Shaanxi Vocat Acad Art, Dept Mus, Xian 710054, Peoples R China.</t>
  </si>
  <si>
    <t>chenshuangshuang163@hotmail.com</t>
  </si>
  <si>
    <t>1875-6891</t>
  </si>
  <si>
    <t>1875-6883</t>
  </si>
  <si>
    <t>INT J COMPUT INT SYS</t>
  </si>
  <si>
    <t>Int. J. Comput. Intell. Syst.</t>
  </si>
  <si>
    <t>AUG 14</t>
  </si>
  <si>
    <t>10.1007/s44196-024-00623-4</t>
  </si>
  <si>
    <t>C6V0T</t>
  </si>
  <si>
    <t>WOS:001290718200004</t>
  </si>
  <si>
    <t>El Achkar, I; Labriji, A; Ghanimi, F; Labriji, E</t>
  </si>
  <si>
    <t>El Achkar, Ibtissam; Labriji, Amine; Ghanimi, Fadoua; Labriji, El Houssine</t>
  </si>
  <si>
    <t>Ontology-based Approach for Extracting User Interests Centers</t>
  </si>
  <si>
    <t>PROCEEDINGS OF THE 3RD INTERNATIONAL CONFERENCE ON SMART CITY APPLICATIONS (SCA'18)</t>
  </si>
  <si>
    <t>3rd International Conference on Smart City Applications (SCA')</t>
  </si>
  <si>
    <t>OCT 10-11, 2018</t>
  </si>
  <si>
    <t>Tetouan, MOROCCO</t>
  </si>
  <si>
    <t>Mediterranean Assoc Sci &amp; Technologies</t>
  </si>
  <si>
    <t>User profile; semantic web; adaptive information systems; ontology; user modeling; similarity measurement; conceptual graph</t>
  </si>
  <si>
    <t>Since the creation of the web, the number of its numeric data is increasing exponentially, which lead to two major problems: cognitive overload and disorientation [1]. To respond to these problems, researchers have proposed adaptive information systems, which allow providing relevant results to the specific need of the user. Generally the selection of interesting documents to a user is done on the basis of his area of interest, inferred from the information about the user or his user profile. Thus the calculation of the interest center is one of the essential elements for a relevant research. In this paper we use a graphical representation of the user profile based on the structure of an ontology. Thus we were be able to use the power of mathematical calculations of graphs to deduce the user's interests center taking into account the semantic links between the graph's concepts.</t>
  </si>
  <si>
    <t>[El Achkar, Ibtissam; Labriji, Amine; Ghanimi, Fadoua; Labriji, El Houssine] Univ Hassan 2, Fac Sci Ben Msick, Lab Technol Informat &amp; Modeling, Casablanca, Morocco</t>
  </si>
  <si>
    <t>Hassan II University of Casablanca</t>
  </si>
  <si>
    <t>El Achkar, I (corresponding author), Univ Hassan 2, Fac Sci Ben Msick, Lab Technol Informat &amp; Modeling, Casablanca, Morocco.</t>
  </si>
  <si>
    <t>Ibtissam.elachkar-etu@etu.univh2c.ma; Labriji73@hotmail.com; ghanimi_fadoua@yahoo.fr; labriji@yahoo.fr</t>
  </si>
  <si>
    <t>978-1-4503-6562-8</t>
  </si>
  <si>
    <t>10.1145/3286606.3286802</t>
  </si>
  <si>
    <t>BM2QQ</t>
  </si>
  <si>
    <t>WOS:000461320600025</t>
  </si>
  <si>
    <t>Chen, L; Zhang, L; Cao, SS; Wu, Z; Cao, J</t>
  </si>
  <si>
    <t>Chen, Lei; Zhang, Lu; Cao, Shanshan; Wu, Zhiang; Cao, Jie</t>
  </si>
  <si>
    <t>Personalized itinerary recommendation: Deep and collaborative learning with textual information</t>
  </si>
  <si>
    <t>Personalized itinerary recommendation; Textual information; Deep learning; Collaborative learning; Iterated local search</t>
  </si>
  <si>
    <t>ORIENTEERING PROBLEM; DISTANCE</t>
  </si>
  <si>
    <t>Personalized itinerary recommendation is a complicated and challenging task, which aims to construct and recommend a visit sequence consists of multiple Points of Interest (POIs) with the constraints that maximizing user satisfaction while adhering time budget. User interests, therefore, becomes the most crucial element in the recommendation task, determining the POIs and their visit durations in the itinerary. In this paper, we propose a novel framework named DCC-PersIRE to infer the user interests and recommend personalized itinerary consists of POIs, visit durations and visit sequence. Specifically, we employ an unsupervised deep learning model to embed the POI textual contents, and then propose a DCC model, which seamlessly integrates the embedded POI textual contents with the traditional and widely used user-POI visits and POI categories, to predict the user interests as well as the visit durations. Then, after formulating itinerary construction as a variant of the Orienteering Problem, an Iterated Local Search based algorithm is proposed to calculate the visit sequence with maximized satisfaction consists of multiple POIs and personalized POI visit durations, i.e., the optimal itinerary. Extensive experiments on eight real-world datasets validate the effectiveness of DCC-PersIRE. The experimental results show that our algorithm delivers a more fine-grained prediction of user interests and outperforms various state-of-the-art baselines in tour itinerary recommendation. (C) 2019 Elsevier Ltd. All rights reserved.</t>
  </si>
  <si>
    <t>[Chen, Lei; Cao, Jie] Nanjing Univ Sci &amp; Technol, Coll Comp Sci &amp; Engn, Nanjing, Peoples R China; [Zhang, Lu; Wu, Zhiang; Cao, Jie] Nanjing Univ Finance &amp; Econ, Jiangsu Prov Key Lab E Business, Nanjing, Peoples R China; [Cao, Shanshan] Nanjing Univ Finance &amp; Econ, Inst Food Econ, Nanjing, Peoples R China</t>
  </si>
  <si>
    <t>Nanjing University of Science &amp; Technology; Nanjing University of Finance &amp; Economics; Nanjing University of Finance &amp; Economics</t>
  </si>
  <si>
    <t>Zhang, L (corresponding author), Nanjing Univ Finance &amp; Econ, Jiangsu Prov Key Lab E Business, Nanjing, Peoples R China.</t>
  </si>
  <si>
    <t>chenleinjust@gmail.com; luzhang.83@vip.163.com; njcd2002@126.com; zawuster@gmail.com; jie.cao@nufe.edu.cn</t>
  </si>
  <si>
    <t>; Cao, Jie/AAD-1518-2019</t>
  </si>
  <si>
    <t>Chen, Lei/0000-0002-5537-8989; Zhang, Lu/0000-0002-0385-2327; Wu, Zhiang/0000-0002-0591-1861;</t>
  </si>
  <si>
    <t>National Key Research and Development Program of China [2016YFB1000901]; National Natural Science Foundation of China (NSFC) [71801123, 71571093, 91646204, 61602234]; Industry Projects in Jiangsu S&amp;T Pillar Program [8E2019110]; National Center for International Joint Research on E-Business Information Processing [2013B01035]</t>
  </si>
  <si>
    <t>National Key Research and Development Program of China(National Key Research &amp; Development Program of China); National Natural Science Foundation of China (NSFC)(National Natural Science Foundation of China (NSFC)); Industry Projects in Jiangsu S&amp;T Pillar Program; National Center for International Joint Research on E-Business Information Processing</t>
  </si>
  <si>
    <t>This work was funded in part by the National Key Research and Development Program of China under grant 2016YFB1000901, in part by the National Natural Science Foundation of China (NSFC) under grants 71801123, 71571093, 91646204 and 61602234, in part by the Industry Projects in Jiangsu S&amp;T Pillar Program under grant 8E2019110, and in part by the National Center for International Joint Research on E-Business Information Processing under grant 2013B01035.</t>
  </si>
  <si>
    <t>APR 15</t>
  </si>
  <si>
    <t>10.1016/j.eswa.2019.113070</t>
  </si>
  <si>
    <t>KM5ZQ</t>
  </si>
  <si>
    <t>WOS:000514218700006</t>
  </si>
  <si>
    <t>Agarwal, S; Singhal, A; Bedi, P; Jain, E; Gupta, G</t>
  </si>
  <si>
    <t>Batra, U; Sujata; Arpita</t>
  </si>
  <si>
    <t>Agarwal, Shikha; Singhal, Archana; Bedi, Punam; Jain, Ena; Gupta, Gunjan</t>
  </si>
  <si>
    <t>Proactive Predictions To Handle Issues In Recommendations</t>
  </si>
  <si>
    <t>SOUVENIR OF THE 2014 IEEE INTERNATIONAL ADVANCE COMPUTING CONFERENCE (IACC)</t>
  </si>
  <si>
    <t>IEEE International Advance Computing Conference</t>
  </si>
  <si>
    <t>4th IEEE International Advance Computing Conference (IACC)</t>
  </si>
  <si>
    <t>FEB 21-22, 2014</t>
  </si>
  <si>
    <t>ITM Univ, Gurgaon, INDIA</t>
  </si>
  <si>
    <t>IEEE,ITM Univ, Dept Comp Sci Engn &amp; Informat Technol,IEEE Comp Soc,IEEE Student Branch</t>
  </si>
  <si>
    <t>ITM Univ</t>
  </si>
  <si>
    <t>Ontology; semantic user profile; semantic linking; error free expansion of user profile; sparsity; coverage; diversity</t>
  </si>
  <si>
    <t>In today's online world users are suffering with the problem of information overload. To handle this problem, recommender systems assist users in giving required information by filtering out irrelevant information. So, most of the recommender systems mainly strive to achieve only accuracy in recommendations but this is not just what users want. Users require more coverage and diversity in recommendations mainly in the case of news domain which is highly dynamic in nature. To handle the issues of coverage and diversity we have worked on proactive predictions of those user interests which could not have been predicted by just user behavior analysis. User interest has been expanded on the basis of Concepts, sub concepts, entities, properties and relationships stored in our designed news domain ontology. Ontology design is based on news industry standards and careful study of the domain. It is also semantically annotated with context sensitive knowledge, extracted from external knowledge source DBpedia. It is obvious that only useful diversity in coverage will be appreciated by the users. Therefore along with improvement in coverage and diversity in recommendations, we have also experimentally evaluated the usefulness of diversity by implicit user behavior analysis. Improvements in results have been shown in the paper. It has also been noticed that user' profile contains interest score only in the news areas which user has ever touched. Due to which other news areas have no values for user interest causing sparse data problem. New score predicted for these unknown values in user's profile also helps to handle the issue of sparsity up to a certain extent. In our approach we have tried to handle this issue also along with above mentioned issues in news recommendation. Reduction in sparsity has been noticed in the users' profiles.</t>
  </si>
  <si>
    <t>[Agarwal, Shikha; Singhal, Archana; Bedi, Punam; Jain, Ena; Gupta, Gunjan] Univ Delhi, Dept Comp Sci, Delhi 110007, India</t>
  </si>
  <si>
    <t>Agarwal, S (corresponding author), Univ Delhi, Dept Comp Sci, Delhi 110007, India.</t>
  </si>
  <si>
    <t>Agarwal, Shikha/K-4796-2019; BEDI, PUNAM/A-9474-2010</t>
  </si>
  <si>
    <t>Agarwal, Shikha/0000-0003-1017-7494; BEDI, PUNAM/0000-0002-6007-7961</t>
  </si>
  <si>
    <t>2164-8263</t>
  </si>
  <si>
    <t>978-1-4799-2571-1</t>
  </si>
  <si>
    <t>IEEE INT ADV COMPUT</t>
  </si>
  <si>
    <t>BC0ZG</t>
  </si>
  <si>
    <t>WOS:000349866100101</t>
  </si>
  <si>
    <t>Jung, JJ; Yu, YH; Jo, GS</t>
  </si>
  <si>
    <t>Bubak, M; VanAlbada, GD; Sloot, PMA; Dongarra, JJ</t>
  </si>
  <si>
    <t>Collaborative web browsing based on ontology learning from bookmarks</t>
  </si>
  <si>
    <t>COMPUTATIONAL SCIENCE - ICCS 2004, PT 3, PROCEEDINGS</t>
  </si>
  <si>
    <t>4th International Conference on Computational Science (ICCS 2004)</t>
  </si>
  <si>
    <t>JUN 06-09, 2004</t>
  </si>
  <si>
    <t>Hewlett-Packard,Intel,SGI,ATM,Sun Microsyst,IBM,Polish Airlines LOT,ACC CYFRONET AGH,Inst Comp Sci AGH,Polish Minist Sci Res &amp; Informat Technol,Springer Verlag</t>
  </si>
  <si>
    <t>This paper proposes the collaborative web browsing system sharing knowledge with other users. We have specifically focused on user interests extracted from bookmarks. A simple URL based-bookmark is provided with structural information by the conceptualization of the ontology. Furthermore, ontology learning based on a hierarchical clustering method can be applied to handle dynamic changes in bookmarks. As a result of our experiments, with respect to recall, about 53.1% of the total time was saved during collaborative browsing for seeking the equivalent set of information, as compared with single web browsing.</t>
  </si>
  <si>
    <t>Inha Univ, Sch Comp Engn, Intelligent E Commerce Syst Lab, Inchon 402751, South Korea</t>
  </si>
  <si>
    <t>Jung, JJ (corresponding author), Inha Univ, Sch Comp Engn, Intelligent E Commerce Syst Lab, 253 Yonghyun Dong, Inchon 402751, South Korea.</t>
  </si>
  <si>
    <t>j2jung@intelligent.pe.kr; yhyu@eslab.inha.ac.kr; gsjo@inha.ac.kr</t>
  </si>
  <si>
    <t>Jung, Jason/B-9622-2012</t>
  </si>
  <si>
    <t>Jung, Jason/0000-0003-0050-7445</t>
  </si>
  <si>
    <t>3-540-22116-6</t>
  </si>
  <si>
    <t>Computer Science, Hardware &amp; Architecture; Computer Science, Theory &amp; Methods; Telecommunications</t>
  </si>
  <si>
    <t>BAG08</t>
  </si>
  <si>
    <t>WOS:000222048900067</t>
  </si>
  <si>
    <t>Wang, XT; Liu, KP; Wang, DJ; Wu, L; Fu, YJ; Xie, X</t>
  </si>
  <si>
    <t>Wang, Xiting; Liu, Kunpeng; Wang, Dongjie; Wu, Le; Fu, Yanjie; Xie, Xing</t>
  </si>
  <si>
    <t>Multi-level Recommendation Reasoning over Knowledge Graphs with Reinforcement Learning</t>
  </si>
  <si>
    <t>PROCEEDINGS OF THE ACM WEB CONFERENCE 2022 (WWW'22)</t>
  </si>
  <si>
    <t>Recommendation Reasoning; Knowledge Graphs; Explainability</t>
  </si>
  <si>
    <t>Knowledge graphs (KGs) have been widely used to improve recommendation accuracy. The multi-hop paths on KGs also enable recommendation reasoning, which is considered a crystal type of explainability. In this paper, we propose a reinforcement learning framework for multi-level recommendation reasoning over KGs, which leverages both ontology-view and instance-view KGs to model multi-level user interests. This framework ensures convergence to a more satisfying solution by effectively transferring high-level knowledge to lower levels. Based on the framework, we propose a multi-level reasoning path extraction method, which automatically selects between high-level concepts and low-level ones to form reasoning paths that better reveal user interests. Experiments on three datasets demonstrate the effectiveness of our method.</t>
  </si>
  <si>
    <t>[Wang, Xiting; Xie, Xing] Microsoft Res Asia, Beijing, Peoples R China; [Liu, Kunpeng; Wang, Dongjie; Fu, Yanjie] Univ Cent Florida, Orlando, FL 32816 USA; [Wu, Le] HeFei Univ Technol, Hefei, Peoples R China</t>
  </si>
  <si>
    <t>Microsoft; Microsoft Research Asia; Microsoft China; State University System of Florida; University of Central Florida; Hefei University of Technology</t>
  </si>
  <si>
    <t>Fu, YJ (corresponding author), Univ Cent Florida, Orlando, FL 32816 USA.</t>
  </si>
  <si>
    <t>xitwan@microsoft.com; kunpengliu@knights.ucf.edu; wangdongjie@knights.ucf.edu; lewu@hfut.edu.cn; yanjie.fu@ucf.edu; xing.xie@microsoft.com</t>
  </si>
  <si>
    <t>; Wang, Xiting/HGF-3827-2022; Liu, Kunpeng/HHZ-6496-2022</t>
  </si>
  <si>
    <t>Xie, Xing/0009-0009-3257-3077; Wang, Xiting/0000-0001-5768-1095; Liu, Kunpeng/0000-0002-6053-5977; Wang, Dongjie/0000-0003-3948-0059</t>
  </si>
  <si>
    <t>978-1-4503-9096-5</t>
  </si>
  <si>
    <t>10.1145/3485447.3512083</t>
  </si>
  <si>
    <t>BT8BZ</t>
  </si>
  <si>
    <t>WOS:000852713002017</t>
  </si>
  <si>
    <t>Yi, JB; Tian, Y; Zhao, YF</t>
  </si>
  <si>
    <t>Yi, Junbo; Tian, Yan; Zhao, Yuanfei</t>
  </si>
  <si>
    <t>Design of Red Culture Retrieval System Based on Multimodal Data Fusion and Innovation of Communication Strategy Path</t>
  </si>
  <si>
    <t>Red culture; cultural transmission; BI-GRU; CNN; feature fusion</t>
  </si>
  <si>
    <t>Cultural communication plays a vital role in social development and human interaction. Red culture, as an integral part of China's revolutionary history and socialist construction, holds significant meaning and exerts a wide influence. However, in the era of information technology, effectively disseminating red culture and stimulating public interest and participation has become an urgent challenge. In this study, we use the advanced deep learning tech to explore the use of multimodal data fusion for enhancing the effectiveness and impact of red culture communication. Specifically, we extract text features and image features from users' browsing information using BI-GRU and CNN, respectively. These features are then fused with user portraits to create a multi-source information fusion vector. Subsequently, we employ a BPNN (Backpropagation Neural Network) to perform user interest classification based on the fused features. Experimental results demonstrate that our proposed user recognition framework achieves an average recognition rate of 95.4% across three types of users, indicating high accuracy. Therefore, the user interest classification model, incorporating fused multi-features, presented in this paper offers a promising approach for future red culture communication, as well as user intelligent recommendation and analysis.</t>
  </si>
  <si>
    <t>[Yi, Junbo] Wuhan Univ Technol, Sch Civil Engn &amp; Architecture, Wuhan 430070, Hubei, Peoples R China; [Tian, Yan] Wuhan Nat Resources &amp; Planning Bur, Agcy Unit, Wuhan 430000, Hubei, Peoples R China; [Zhao, Yuanfei] Hubei Piesat Informat Technol Co Ltd, Mkt Dept, Huanggang 438000, Hubei, Peoples R China</t>
  </si>
  <si>
    <t>Yi, JB (corresponding author), Wuhan Univ Technol, Sch Civil Engn &amp; Architecture, Wuhan 430070, Hubei, Peoples R China.</t>
  </si>
  <si>
    <t>277839@whut.edu.cn</t>
  </si>
  <si>
    <t>Yi, Junbo/0009-0002-8620-9851</t>
  </si>
  <si>
    <t>10.1109/ACCESS.2023.3336419</t>
  </si>
  <si>
    <t>Z5VH5</t>
  </si>
  <si>
    <t>WOS:001112743700001</t>
  </si>
  <si>
    <t>Zhang, XC; Sun, YR; Zheng, AY; Wang, Y</t>
  </si>
  <si>
    <t>Zhang, Xucai; Sun, Yeran; Zheng, Anyao; Wang, Yu</t>
  </si>
  <si>
    <t>A New Approach to Refining Land Use Types: Predicting Point-of-Interest Categories Using Weibo Check-in Data</t>
  </si>
  <si>
    <t>ISPRS INTERNATIONAL JOURNAL OF GEO-INFORMATION</t>
  </si>
  <si>
    <t>POI; Weibo; check-in; big data; random forest</t>
  </si>
  <si>
    <t>USE CLASSIFICATION; COVER</t>
  </si>
  <si>
    <t>The information of land use plays an important role in urban planning and optimizing the allocation of resources. However, traditional land use classification is imprecise. For instance, the type of commercial land is highly filled with the categories of shopping, eating, etc. The number of mixed-use lands is increasingly growing nowadays, and these lands sometimes are too mixed to be well investigated by conventional approaches such as remote sensing technology. To address this issue, we used a new social sensing approach to classify land use according to human mobility and activity patterns. Previous studies used other social sensing approaches to predict land use types at the parcel or the area level, whilst fine-grained point-of-interest (POI)-level land use data are likely to more useful in urban planning. To abridge this research gap, we proposed a new social sensing approach dedicated to classifying land use at a finer scale (i.e., POI-level or building level) according to human mobility and activity patterns reflected by location-based social network (LBSN) data. Specifically, we firstly investigated spatial and temporal patterns of human mobility and activity behavior using check-in data from a popular Chinese LBSN named Sina Weibo and subsequently applied those patterns to predicting the category of POI to refine urban land use classification in Guangzhou, China. In this study, we applied three classification methods (i.e., naive Bayes, support vector machines, and random forest) to recognize category of a certain POI by spatial and temporal features of human mobility and activity behavior as well as POIs' locational characteristics. Random forest outperformed the other two methods and obtained an overall accuracy of 72.21%. Apart from that, we compared the results of the different rules in filtering check-in samples. The comparison results show that a reasonable rule to select samples is essential for predicting the category of POI. Moreover, the approach proposed in this study can be potentially applied to identifying functions of buildings according to visitors' mobility and activity behavior and buildings' locational characteristics.</t>
  </si>
  <si>
    <t>[Zhang, Xucai; Sun, Yeran; Zheng, Anyao] Sun Yat Sen Univ, Sch Geog &amp; Planning, Guangdong Prov Key Lab Urbanizat &amp; Geosimulat, Guangzhou 510275, Peoples R China; [Wang, Yu] Tianjin Univ, Sch Architecture, Dept Urban &amp; Rural Planning, Tianjin 300072, Peoples R China</t>
  </si>
  <si>
    <t>Sun Yat Sen University; Tianjin University</t>
  </si>
  <si>
    <t>Sun, YR (corresponding author), Sun Yat Sen Univ, Sch Geog &amp; Planning, Guangdong Prov Key Lab Urbanizat &amp; Geosimulat, Guangzhou 510275, Peoples R China.</t>
  </si>
  <si>
    <t>hangxc9@mail2.sysu.edu.cn; yeran.sun@gmail.com; zhengany@mail2.sysu.edu.cn; yu_wang2019@tju.edu.cn</t>
  </si>
  <si>
    <t>Wang, Yu/OVY-2891-2025; zhang, xucai/IWD-5908-2023; sun, yeran/GLR-4116-2022</t>
  </si>
  <si>
    <t>Wang, Yu/0000-0001-8890-5434; zhang, xucai/0000-0001-8266-481X; sun, yeran/0000-0002-6847-614X</t>
  </si>
  <si>
    <t>Fundamental Research Funds for the Central Universities [37000-31610453]; Economic and Social Research Council [ES/N010981/1] Funding Source: researchfish; ESRC [ES/N010981/1] Funding Source: UKRI</t>
  </si>
  <si>
    <t>Fundamental Research Funds for the Central Universities(Fundamental Research Funds for the Central Universities); Economic and Social Research Council(UK Research &amp; Innovation (UKRI)Economic &amp; Social Research Council (ESRC)); ESRC(UK Research &amp; Innovation (UKRI)Economic &amp; Social Research Council (ESRC))</t>
  </si>
  <si>
    <t>This work is supported by the Fundamental Research Funds for the Central Universities (Grant No. 37000-31610453).</t>
  </si>
  <si>
    <t>2220-9964</t>
  </si>
  <si>
    <t>ISPRS INT J GEO-INF</t>
  </si>
  <si>
    <t>ISPRS Int. J. Geo-Inf.</t>
  </si>
  <si>
    <t>10.3390/ijgi9020124</t>
  </si>
  <si>
    <t>Computer Science, Information Systems; Geography, Physical; Remote Sensing</t>
  </si>
  <si>
    <t>Computer Science; Physical Geography; Remote Sensing</t>
  </si>
  <si>
    <t>KY3CX</t>
  </si>
  <si>
    <t>WOS:000522449700064</t>
  </si>
  <si>
    <t>Hageman, SA; Pecukonis, EV</t>
  </si>
  <si>
    <t>Hageman, Sally A.; Pecukonis, Edward, V</t>
  </si>
  <si>
    <t>Public health financial social work: a model syllabus for research practice for graduate social work students</t>
  </si>
  <si>
    <t>SOCIAL WORK EDUCATION</t>
  </si>
  <si>
    <t>Financial social work; public health social work; teaching research methods; collaborative research teaching; social work research methods</t>
  </si>
  <si>
    <t>STATISTICS; PERSPECTIVES; PERCEPTIONS; COURSES</t>
  </si>
  <si>
    <t>Social work students consistently dread research and research classes, but studies suggest that integrating research with more appealing topics may help overcome this bias. As such, a new class integrating public health and financial social work was developed with an applied research project. The course objective is to foster and strengthen student interest in research methods related to public health and financial social work. We outline how integrating public health and financial social work topics in a graduate research course provides a practical connection to clinical and macro practice for students. Instructors may adapt this model syllabus for any research courses taught in the social work curriculum in any country. Recommendations for linking social work practice with research are discussed.</t>
  </si>
  <si>
    <t>[Hageman, Sally A.] Idaho State Univ, Sociol Social Work &amp; Criminol, Pocatello, ID 83209 USA; [Pecukonis, Edward, V] Univ Maryland, Sch Social Work, Ctr Publ Hlth Social Work Educ &amp; Training Sch Soc, 525 W Redwood St, Baltimore, MD 21201 USA</t>
  </si>
  <si>
    <t>Idaho State University; University System of Maryland; University of Maryland Baltimore</t>
  </si>
  <si>
    <t>Hageman, SA (corresponding author), Idaho State Univ, Sociol Social Work &amp; Criminol, Pocatello, ID 83209 USA.</t>
  </si>
  <si>
    <t>hagesall@isu.edu</t>
  </si>
  <si>
    <t>Hageman, Sally/AAA-7666-2021</t>
  </si>
  <si>
    <t>Hageman, Sally/0000-0002-0694-9829</t>
  </si>
  <si>
    <t>0261-5479</t>
  </si>
  <si>
    <t>1470-1227</t>
  </si>
  <si>
    <t>SOC WORK EDUC</t>
  </si>
  <si>
    <t>Soc. Work Educ.</t>
  </si>
  <si>
    <t>10.1080/02615479.2020.1826920</t>
  </si>
  <si>
    <t>Education &amp; Educational Research; Social Work</t>
  </si>
  <si>
    <t>ZU3XJ</t>
  </si>
  <si>
    <t>WOS:000574681500001</t>
  </si>
  <si>
    <t>Soares, DV; Pagani, MM; Lima, FD</t>
  </si>
  <si>
    <t>Soares, Debora Vieira; Pagani, Mario Mecenas; Lima, Fernanda de Souza</t>
  </si>
  <si>
    <t>INITIATION SWIMMING FOR CHILDREN</t>
  </si>
  <si>
    <t>REVISTA CIENTIFICA DA FACULDADE DE EDUCACAO E MEIO AMBIENTE</t>
  </si>
  <si>
    <t>Swimming; Adaptation to the liquid medium; child development</t>
  </si>
  <si>
    <t>The adaptation to the water is the first step towards implementation of swimming styles. When it comes to adapting many do not give importance for not believing in the benefits and quality of life provided to those who practice it. The approach to the subject is to present the various ways of working this adaptation, with the vital care to perform consistently and accurately, also emphasizing the benefits that you have to practice, as well as assist in the understanding of this adaptation for children 3-6 years of age, leaving them confident and safe to perform the activities proposed by the teacher. Swimming is a complete activity that can be practiced in various stages of life, with recreational, competitive or therapeutic method form, moreover, provides the first contact of pleasurable and safe way, in arousing student interest in practicing this modality.</t>
  </si>
  <si>
    <t>[Soares, Debora Vieira] Fac Educ &amp; Meio Ambiente FAEMA, Curso Licenciatura Educ Fis, Ariquemes, RO, Brazil; [Pagani, Mario Mecenas] FAEMA, Curso Licenciatura Educ Fis &amp; Posgrad Educ Fis Es, Ariquemes, RO, Brazil; [Pagani, Mario Mecenas] Inst Fed Educ IFRO, Educ Fis, Ariquemes, RO, Brazil; [Lima, Fernanda de Souza] FAEMA, Curso Licenciatura Educ Fis, Ariquemes, RO, Brazil</t>
  </si>
  <si>
    <t>Soares, DV (corresponding author), Fac Educ &amp; Meio Ambiente FAEMA, Curso Licenciatura Educ Fis, Ariquemes, RO, Brazil.</t>
  </si>
  <si>
    <t>FAEMA-FAC EDUCACAO &amp; MEIO AMBIENTE</t>
  </si>
  <si>
    <t>ARIQUEMES</t>
  </si>
  <si>
    <t>FAEMA-FAC EDUCACAO &amp; MEIO AMBIENTE, ARIQUEMES, 00000, BRAZIL</t>
  </si>
  <si>
    <t>2179-4200</t>
  </si>
  <si>
    <t>REV CIENT FAC EDUC M</t>
  </si>
  <si>
    <t>Rev. Cient. Fac. Educ. Meio Ambient.</t>
  </si>
  <si>
    <t>V0F5K</t>
  </si>
  <si>
    <t>WOS:000216181500007</t>
  </si>
  <si>
    <t>Tang, N; Vemuri, VR</t>
  </si>
  <si>
    <t>Murray, NV; Ras, ZW; Tsumoto, S</t>
  </si>
  <si>
    <t>User-interest-based document filtering via semi-supervised clustering</t>
  </si>
  <si>
    <t>FOUNDATIONS OF INTELLIGENT SYSTEMS, PROCEEDINGS</t>
  </si>
  <si>
    <t>LECTURE NOTES IN COMPUTER SCIENCE</t>
  </si>
  <si>
    <t>15th International Symposium on Methodologies for Intelligent Systems</t>
  </si>
  <si>
    <t>MAY 25-28, 2005</t>
  </si>
  <si>
    <t>Saratoga Springs, NY</t>
  </si>
  <si>
    <t>SUNY Albany,USA Res Off</t>
  </si>
  <si>
    <t>This paper studies the task of user-interest-based document filtering, where users target to find some documents of a specific topic among a large document collection. This is usually done by a text categorization process, which divides all the documents into two categorizes: one containing all the desired documents (called positive documents) and the other containing all the other documents (called negative documents). However, in many cases, some documents among the negative documents are close enough to the positive documents, prompting a re-consideration (called deviating negative documents). Simply treating them as negative documents would deteriorate the categorization accuracy. We modify and extend a semi-supervised clustering method to conduct the categorization. Compared to the original method, our approach incorporates more informative initialization and constraints and in a result leads to better clustering results. The experiments show that our approach retrieves better (sometimes significantly improved) categorization accuracy than the original method in the presence of the deviating negative documents.</t>
  </si>
  <si>
    <t>Univ Calif Davis, Dept Comp Sci, Davis, CA 95616 USA</t>
  </si>
  <si>
    <t>University of California System; University of California Davis</t>
  </si>
  <si>
    <t>Tang, N (corresponding author), Univ Calif Davis, Dept Comp Sci, Davis, CA 95616 USA.</t>
  </si>
  <si>
    <t>natang@ucdavis.edu; rvemuri@ucdavis.edu</t>
  </si>
  <si>
    <t>3-540-25878-7</t>
  </si>
  <si>
    <t>BCM02</t>
  </si>
  <si>
    <t>WOS:000229964000059</t>
  </si>
  <si>
    <t>Li, YP; Ren, Y; Yuan, J; Wang, Y; Huang, XH; Shan, XM</t>
  </si>
  <si>
    <t>Li Yi-Peng; Ren Yong; Yuan Jian; Wang Yue; Huang Xiao-Hong; Shan Xiu-Ming</t>
  </si>
  <si>
    <t>Network statistical analysis in peer-to-peer application</t>
  </si>
  <si>
    <t>ACTA PHYSICA SINICA</t>
  </si>
  <si>
    <t>Chinese</t>
  </si>
  <si>
    <t>peer-to-peer network; cluster structure; network statistical characteristic</t>
  </si>
  <si>
    <t>The rich statistical characteristics in peer-to-peer (p2p) network have recently attracted much research interest. This paper reveals the internal network statistical characteristics in the user network and resource network, both of which are abstracted from the real application downloading logs. The two-segment degree and weight distribution of user nodes indicate the dynamic of p2p users, and the similar power-law distribution of resource nodes shows the popularity diversity. Furthermore, we found that these two networks have the inherent cluster structure, only minority of clusters contain a large number of nodes, and the majority have fewer nodes in it. In user network, users in the same cluster have similar file-sharing interest, in contrast to the different user interest between clusters; meanwhile, there are obvious correlations between different resource categories in resource clusters.</t>
  </si>
  <si>
    <t>[Li Yi-Peng; Ren Yong; Yuan Jian; Wang Yue; Shan Xiu-Ming] Tsinghua Univ, Dept Elect Engn, Beijing 100084, Peoples R China; [Huang Xiao-Hong] Beijing Univ Posts &amp; Telecommun, Inst Networking Technol, Beijing 100876, Peoples R China</t>
  </si>
  <si>
    <t>Tsinghua University; Beijing University of Posts &amp; Telecommunications</t>
  </si>
  <si>
    <t>Li, YP (corresponding author), Tsinghua Univ, Dept Elect Engn, Beijing 100084, Peoples R China.</t>
  </si>
  <si>
    <t>yp-li05@mails.tsinghua.edu.cn</t>
  </si>
  <si>
    <t>National Natural Science Foundation of China [60932005]; State Key Development Prograrn for Basic Research of China [2007CB307100, 2007CB307105]</t>
  </si>
  <si>
    <t>National Natural Science Foundation of China(National Natural Science Foundation of China (NSFC)); State Key Development Prograrn for Basic Research of China</t>
  </si>
  <si>
    <t>Project supported by the National Natural Science Foundation of China (Grants No. 60932005), and the State Key Development Prograrn for Basic Research of China (Grant Nos. 2007CB307100,2007CB307105).</t>
  </si>
  <si>
    <t>CHINESE PHYSICAL SOC</t>
  </si>
  <si>
    <t>P O BOX 603, BEIJING 100080, PEOPLES R CHINA</t>
  </si>
  <si>
    <t>1000-3290</t>
  </si>
  <si>
    <t>ACTA PHYS SIN-CH ED</t>
  </si>
  <si>
    <t>Acta Phys. Sin.</t>
  </si>
  <si>
    <t>10.7498/aps.60.058901</t>
  </si>
  <si>
    <t>772ND</t>
  </si>
  <si>
    <t>WOS:000291239700122</t>
  </si>
  <si>
    <t>Jin, JR; Chen, XY; Zhang, WN; Yu, Y; Wang, J</t>
  </si>
  <si>
    <t>Jin, Jiarui; Chen, Xianyu; Zhang, Weinan; Yu, Yong; Wang, Jun</t>
  </si>
  <si>
    <t>Why Not Together? A Multiple-Round Recommender System for Queries and Items</t>
  </si>
  <si>
    <t>PROCEEDINGS OF THE 31ST ACM SIGKDD CONFERENCE ON KNOWLEDGE DISCOVERY AND DATA MINING V.1, KDD 2025</t>
  </si>
  <si>
    <t>Joint Recommendations of Queries and Items; Conversational Recommendations; Relational Graph; Label Propagation</t>
  </si>
  <si>
    <t>A fundamental technique of recommender systems involves modeling user preferences, where queries and items are widely used as symbolic representations of user interests. Queries delineate user needs at an abstract level, providing a high-level description, whereas items operate on a more specific and concrete level, representing the granular facets of user preference. While practical, both query and item recommendations encounter the challenge of sparse user feedback. To this end, we propose a novel approach named Multiple-round Auto Guess-and-Update System (MAGUS) that capitalizes on the synergies between both types, allowing us to leverage both query and item information to form user interests. This integrated system introduces a recursive framework that could be applied to any recommendation method to exploit queries and items in historical interactions and to provide recommendations for both queries and items in each interaction round. Concretely, MAGUS first represents queries and items through combinations of categorical words, and then constructs a relational graph to capture the interconnections and dependencies among these individual words and word combinations. In response to each user request, MAGUS employs an offline tuned recommendation model to assign estimated scores to words representing items; and these scores are subsequently disseminated throughout the graph, impacting each individual word or combination of words. Through multiple-round interactions, MAGUS initially guesses user interests by formulating meaningful word combinations and presenting them as potential queries or items. Subsequently, MAGUS is updated based on user feedback, enhancing its recommendations iteratively. Empirical results from testing 12 different recommendation methods demonstrate that integrating queries into item recommendations via MAGUS significantly enhances the efficiency, with which users can identify their preferred items during multiple-round interactions.</t>
  </si>
  <si>
    <t>[Jin, Jiarui; Chen, Xianyu; Zhang, Weinan; Yu, Yong] Shanghai Jiao Tong Univ, Shanghai, Peoples R China; [Jin, Jiarui] Xiaohongshu Inc, Shanghai, Peoples R China; [Chen, Xianyu] Tencent Inc, Shanghai, Peoples R China; [Jin, Jiarui; Wang, Jun] UCL, London, England</t>
  </si>
  <si>
    <t>Shanghai Jiao Tong University; Tencent; University of London; University College London</t>
  </si>
  <si>
    <t>Zhang, WN (corresponding author), Shanghai Jiao Tong Univ, Shanghai, Peoples R China.</t>
  </si>
  <si>
    <t>jinjiarui97@sjtu.edu.cn; xianyujun@sjtu.edu.cn; wnzhang@sjtu.edu.cn; yyu@sjtu.edu.cn; jun.wang@ucl.ac.uk</t>
  </si>
  <si>
    <t>zhang, weinan/PXB-6884-2026</t>
  </si>
  <si>
    <t>National Key R&amp;D Program of China [2022ZD0114804]; Shanghai Municipal Science and Technology Major Project [2021SHZDZX0102]; National Natural Science Foundation of China [62322603, 62076161, 62177033]</t>
  </si>
  <si>
    <t>National Key R&amp;D Program of China; Shanghai Municipal Science and Technology Major Project; National Natural Science Foundation of China(National Natural Science Foundation of China (NSFC))</t>
  </si>
  <si>
    <t>The Shanghai Jiao Tong University team is partially supported by National Key R&amp;D Program of China (No. 2022ZD0114804), Shanghai Municipal Science and Technology Major Project (No. 2021SHZDZX0102) and National Natural Science Foundation of China (No. 62322603, No. 62076161, No. 62177033).</t>
  </si>
  <si>
    <t>979-8-4007-1245-6</t>
  </si>
  <si>
    <t>10.1145/3690624.3709261</t>
  </si>
  <si>
    <t>BZ5EO</t>
  </si>
  <si>
    <t>WOS:001592410600052</t>
  </si>
  <si>
    <t>Tibély, G; Sousa-Rodrigues, D; Pollner, P; Palla, G</t>
  </si>
  <si>
    <t>Tibely, Gergely; Sousa-Rodrigues, David; Pollner, Peter; Palla, Gergely</t>
  </si>
  <si>
    <t>Comparing the Hierarchy of Keywords in On-Line News Portals</t>
  </si>
  <si>
    <t>ONTOLOGIES; NETWORKS; DYNAMICS</t>
  </si>
  <si>
    <t>Hierarchical organization is prevalent in networks representing a wide range of systems in nature and society. An important example is given by the tag hierarchies extracted from large on-line data repositories such as scientific publication archives, file sharing portals, blogs, on-line news portals, etc. The tagging of the stored objects with informative keywords in such repositories has become very common, and in most cases the tags on a given item are free words chosen by the authors independently. Therefore, the relations among keywords appearing in an on-line data repository are unknown in general. However, in most cases the topics and concepts described by these keywords are forming a latent hierarchy, with the more general topics and categories at the top, and more specialized ones at the bottom. There are several algorithms available for deducing this hierarchy from the statistical features of the keywords. In the present work we apply a recent, co-occurrence- based tag hierarchy extraction method to sets of keywords obtained from four different on-line news portals. The resulting hierarchies show substantial differences not just in the topics rendered as important (being at the top of the hierarchy) or of less interest (categorized low in the hierarchy), but also in the underlying network structure. This reveals discrepancies between the plausible keyword association frameworks in the studied news portals.</t>
  </si>
  <si>
    <t>[Tibely, Gergely] Eotvos Lorand Univ, Dept Biol Phys, Budapest, Hungary; [Sousa-Rodrigues, David] Open Univ, Fac Maths Comp &amp; Technol, Design Grp, Walton Hall, Milton Keynes, Bucks, England; [Pollner, Peter; Palla, Gergely] Hungarian Acad Sci, MTA ELTE Stat &amp; Biol Phys Res Grp, Budapest, Hungary</t>
  </si>
  <si>
    <t>Eotvos Lorand University; Open University - UK; Eotvos Lorand University; Hungarian Academy of Sciences</t>
  </si>
  <si>
    <t>Tibély, G (corresponding author), Eotvos Lorand Univ, Dept Biol Phys, Budapest, Hungary.</t>
  </si>
  <si>
    <t>tibelyg@hal.elte.hu</t>
  </si>
  <si>
    <t>Pollner, Peter/ITV-5375-2023; /AAE-6348-2019; Palla, Gergely/H-1767-2016; Roigues, David/E-7180-2010</t>
  </si>
  <si>
    <t>Palla, Gergely/0000-0002-3406-4200; Roigues, David/0000-0001-7512-7338</t>
  </si>
  <si>
    <t>Hungarian National Science Fund/Orszagos Tudomanyos Kutatasi Alapprogramok [OTKA K105447]</t>
  </si>
  <si>
    <t>Hungarian National Science Fund/Orszagos Tudomanyos Kutatasi Alapprogramok</t>
  </si>
  <si>
    <t>The research was supported by the Hungarian National Science Fund/Orszagos Tudomanyos Kutatasi Alapprogramok, grant no. OTKA K105447 (httpllotkahu/). The funders had no role in study design, data collection and analysis, decision to publish, or preparation of the manuscript.</t>
  </si>
  <si>
    <t>e0165728</t>
  </si>
  <si>
    <t>10.1371/journal.pone.0165728</t>
  </si>
  <si>
    <t>EA6CX</t>
  </si>
  <si>
    <t>WOS:000386714200046</t>
  </si>
  <si>
    <t>Odudukudu, M</t>
  </si>
  <si>
    <t>Odudukudu, Martin</t>
  </si>
  <si>
    <t>Pure and Objective Thinking: Interest and Desire</t>
  </si>
  <si>
    <t>student interest; interest and desire; pure thinking; objective thinking; appearance; determined object; uncertainty; undetermined object; amid objects</t>
  </si>
  <si>
    <t>MOTIVATION</t>
  </si>
  <si>
    <t>Jonas indicated that educators interpret/apply concepts of interest differently. Dewey, following the different ways that teachers apply concepts of student interest, categorized teachers as advocates of efforts and as advocates of autonomy. Renninger and Heidi claimed that the greatest defect in the psychology of learning is the lack of an adequate theory of interest. Together, Dewey, Jonas, and Renninger and Heidi claim that a scientific theory of interest has yet to be developed. Despite the importance of and the need to understand the place of student interest in teaching practices, a theory on students' interest is still unclear because many articles ask the wrong research questions. Specifically, Krapp and Renninger and Heidi emphasized that research on interest does not reflect a shared view of interest. Educational researchers and practitioners define and apply concepts of interest differently; they do not develop or operate with shared views of students' interest or engage one another in learning about students' interest or in learning to help students develop interest in learning. Using the phenomenological method, the purpose of this study is to evaluate the leading theories of student interest and develop a theory that explains how concepts of student interest relate to performance. Findings from this study are intended to help teachers develop an increased understanding of the concepts of student interest and to help students learn optimally.</t>
  </si>
  <si>
    <t>[Odudukudu, Martin] Ctr Dev Interest Learning, 20 Westfield Ave, Roosevelt, NY 11575 USA; [Odudukudu, Martin] New York Inst Teacher Educ, Roosevelt, NY USA</t>
  </si>
  <si>
    <t>Odudukudu, M (corresponding author), Ctr Dev Interest Learning, 20 Westfield Ave, Roosevelt, NY 11575 USA.</t>
  </si>
  <si>
    <t>asuwafo@aol.com</t>
  </si>
  <si>
    <t>APR 23</t>
  </si>
  <si>
    <t>10.1177/2158244019844086</t>
  </si>
  <si>
    <t>HU6OI</t>
  </si>
  <si>
    <t>WOS:000465399900001</t>
  </si>
  <si>
    <t>Kanagal, B; Ahmed, A; Pandey, S; Josifovski, V; Yuan, J; Garcia-Pueyo, L</t>
  </si>
  <si>
    <t>Kanagal, Bhargav; Ahmed, Amr; Pandey, Sandeep; Josifovski, Vanja; Yuan, Jeff; Garcia-Pueyo, Lluis</t>
  </si>
  <si>
    <t>Supercharging Recommender Systems using Taxonomies for Learning User Purchase Behavior</t>
  </si>
  <si>
    <t>PROCEEDINGS OF THE VLDB ENDOWMENT</t>
  </si>
  <si>
    <t>Recommender systems based on latent factor models have been effectively used for understanding user interests and predicting future actions. Such models work by projecting the users and items into a smaller dimensional space, thereby clustering similar users and items together and subsequently compute similarity between unknown user-item pairs. When user-item interactions are sparse (sparsity problem) or when new items continuously appear (cold start problem), these models perform poorly. In this paper, we exploit the combination of taxonomies and latent factor models to mitigate these issues and improve recommendation accuracy. We observe that taxonomies provide structure similar to that of a latent factor model: namely, it imposes human-labeled categories (clusters) over items. This leads to our proposed taxonomy-aware latent factor model (TF) which combines taxonomies and latent factors using additive models. We develop efficient algorithms to train the TF models, which scales to large number of users/items and develop scalable inference/recommendation algorithms by exploiting the structure of the taxonomy. In addition, we extend the TF model to account for the temporal dynamics of user interests using high-order Markov chains. To deal with large-scale data, we develop a parallel multi-core implementation of our TF model. We empirically evaluate the TF model for the task of predicting user purchases using a real-world shopping dataset spanning more than a million users and products. Our experiments demonstrate the benefits of using our TF models over existing approaches, in terms of both prediction accuracy and running time.</t>
  </si>
  <si>
    <t>[Kanagal, Bhargav; Ahmed, Amr; Pandey, Sandeep; Josifovski, Vanja; Yuan, Jeff; Garcia-Pueyo, Lluis] Yahoo Res, Sunnyvale, CA 94089 USA</t>
  </si>
  <si>
    <t>Yahoo! Inc</t>
  </si>
  <si>
    <t>Kanagal, B (corresponding author), Yahoo Res, Sunnyvale, CA 94089 USA.</t>
  </si>
  <si>
    <t>kbhargav@yahoo-inc.com; amrahmed@yahoo-inc.com; spandey@yahoo-inc.com; vanjaj@yahoo-inc.com; yuanjef@yahoo-inc.com; lluis@yahoo-inc.com</t>
  </si>
  <si>
    <t>2150-8097</t>
  </si>
  <si>
    <t>PROC VLDB ENDOW</t>
  </si>
  <si>
    <t>Proc. VLDB Endow.</t>
  </si>
  <si>
    <t>10.14778/2336664.2336669</t>
  </si>
  <si>
    <t>V5L8J</t>
  </si>
  <si>
    <t>WOS:000219725200006</t>
  </si>
  <si>
    <t>Rivas, DA; Guerrero-Zapata, M</t>
  </si>
  <si>
    <t>Antolino Rivas, David; Guerrero-Zapata, Manel</t>
  </si>
  <si>
    <t>Chains of Trust in vehicular networks: A secure Points of Interest dissemination strategy</t>
  </si>
  <si>
    <t>Security; VANETs; Chains; Trust; POI; Reputation</t>
  </si>
  <si>
    <t>This article describes a scheme which to the best of our knowledge is the first one to use user signatures to share information about Points of Interest in Vehicular Ad hoc Networks. In this scheme, users rate restaurants, hotels, etc. and sign those rates with their private key. Then, they broadcast that information and other vehicles store it for future use. When another user needs a Point of Interest recommendation he queries the system for the other users stored reviews and after he visits that Points of Interest for himself, he evaluates it and his level of trust in the reviewers with rates similar to his own increases. In the end, a user will be able to request to his vehicle information on a certain Point of Interest category and it will respond with the recommendations made by other users, prioritizing the ones in the user's Web of Trust. poi-Sim is the tool designed to simulate this scheme. It processes a 24 h mobility trace produced by a Multi-Agent Traffic Simulator, which realistically simulates public and private traffic over regional maps of Switzerland. The result is a Chains of Trust simulation with over 260,000 nodes, which shows that the proposed scheme performs satisfactorily in a realistic scenario. (C) 2012 Elsevier B.V. All rights reserved.</t>
  </si>
  <si>
    <t>[Antolino Rivas, David; Guerrero-Zapata, Manel] Univ Politecn Cataluna, Dept Comp Architecture, Barcelona 08034, Spain</t>
  </si>
  <si>
    <t>Rivas, DA (corresponding author), Univ Politecn Cataluna, Dept Comp Architecture, Barcelona 08034, Spain.</t>
  </si>
  <si>
    <t>antolino@ac.upc.edu</t>
  </si>
  <si>
    <t>Guerrero Zapata, Manel/AAA-5806-2019</t>
  </si>
  <si>
    <t>Guerrero Zapata, Manel/0000-0002-7983-2525</t>
  </si>
  <si>
    <t>EuroNF NoE; Spanish Grant [TIN2010-21378-C02-01, 2009-SGR-1167]</t>
  </si>
  <si>
    <t>EuroNF NoE; Spanish Grant(Spanish Government)</t>
  </si>
  <si>
    <t>This work was partially supported by the EuroNF NoE and by Spanish Grants TIN2010-21378-C02-01 and 2009-SGR-1167.</t>
  </si>
  <si>
    <t>10.1016/j.adhoc.2012.02.011</t>
  </si>
  <si>
    <t>944QI</t>
  </si>
  <si>
    <t>WOS:000304218500018</t>
  </si>
  <si>
    <t>Sadri, AM; Hasan, S; Ukkusuri, SV</t>
  </si>
  <si>
    <t>Sadri, Arif Mohaimin; Hasan, Samiul; Ukkusuri, Satish V.</t>
  </si>
  <si>
    <t>Joint inference of user community and interest patterns in social interaction networks</t>
  </si>
  <si>
    <t>POWER; CENTRALITY; MEDIA</t>
  </si>
  <si>
    <t>Online social media have become an integral part of our social beings. Analyzing conversations in social media platforms can lead to complex probabilistic models to understand social interaction networks. In this paper, we present a modeling approach for characterizing social interaction networks by jointly inferring user communities and interests based on social media interactions. We present several pattern inference models: (1) interest pattern model (IPM) captures population level interaction topics, (2) user interest pattern model (UIPM) captures user specific interaction topics, and (3) community interest pattern model (CIPM) captures both community structures and user interests. We test our methods on Twitter data collected from Purdue University community. From our model results, we observe the interaction topics and communities related to two big events within Purdue University community, namely Purdue Day of Giving and Senator Bernie Sanders' visit to Purdue University as part of Indiana Primary Election 2016. Constructing social interaction networks based on user interactions accounts for the similarity of users' interactions on various topics of interest and indicates their community belonging further beyond connectivity. We observed that the degree-distributions of such networks follow power-law that is indicative of the existence of fewer nodes in the network with higher levels of interactions, and many other nodes with less interaction. We also discuss the application of such networks as a useful tool to effectively disseminate specific information to the target audience towards planning any large-scale events and demonstrate how to single out specific nodes in a given community by running network algorithms.</t>
  </si>
  <si>
    <t>[Sadri, Arif Mohaimin] Florida Int Univ, Moss Sch Construct Infrastruct &amp; Sustainabil, 10555 West Flagler St, Miami, FL 33174 USA; [Hasan, Samiul] Univ Cent Florida, Dept Civil Environm &amp; Construct Engn, 12800 Pegasus Dr, Orlando, FL 32816 USA; [Ukkusuri, Satish V.] Purdue Univ, Lyles Sch Civil Engn, W Lafayette, IN 47907 USA</t>
  </si>
  <si>
    <t>State University System of Florida; Florida International University; State University System of Florida; University of Central Florida; Purdue University System; Purdue University</t>
  </si>
  <si>
    <t>Sadri, AM (corresponding author), Florida Int Univ, Moss Sch Construct Infrastruct &amp; Sustainabil, 10555 West Flagler St, Miami, FL 33174 USA.</t>
  </si>
  <si>
    <t>asadri@fiu.edu; samiul.hasan@ucf.edu; sukkusur@purdue.edu</t>
  </si>
  <si>
    <t>Sai, Arif Mohaimin/T-1558-2017; Hasan, Samiul/J-7539-2013; Ukkusuri, Satish/JXM-5723-2024</t>
  </si>
  <si>
    <t>Sai, Arif Mohaimin/0000-0001-5571-6741; Hasan, Samiul/0000-0002-5828-3352;</t>
  </si>
  <si>
    <t>National Science Foundation [CMMI-1131503, CMMI-1520338]</t>
  </si>
  <si>
    <t>The authors are grateful to National Science Foundation for the grant CMMI-1131503 and CMMI-1520338 to support the research presented in this paper. However, the authors are solely responsible for the findings presented in this study.</t>
  </si>
  <si>
    <t>MAR 14</t>
  </si>
  <si>
    <t>10.1007/s13278-019-0551-4</t>
  </si>
  <si>
    <t>HO9YN</t>
  </si>
  <si>
    <t>WOS:000461322000002</t>
  </si>
  <si>
    <t>Saha, K; Liu, YZ; Vincent, N; Chowdhury, FA; Neves, L; Shah, N; Bos, MW</t>
  </si>
  <si>
    <t>Saha, Koustuv; Liu, Yozen; Vincent, Nicholas; Chowdhury, Farhan Asif; Neves, Leonardo; Shah, Neil; Bos, Maarten W.</t>
  </si>
  <si>
    <t>AdverTiming Matters: Examining User Ad Consumption for Effective Ad Allocations on Social Media</t>
  </si>
  <si>
    <t>CHI '21: PROCEEDINGS OF THE 2021 CHI CONFERENCE ON HUMAN FACTORS IN COMPUTING SYSTEMS</t>
  </si>
  <si>
    <t>CHI Conference on Human Factors in Computing Systems</t>
  </si>
  <si>
    <t>MAY 08-13, 2021</t>
  </si>
  <si>
    <t>ACM SIGCHI,Assoc Comp Machinery,Bloomberg,Facebook,Google,Kyocera,Microsoft,Monash Univ,Verizon Media</t>
  </si>
  <si>
    <t>social media; ads; Snapchat; momentary behaviors; causal-inference</t>
  </si>
  <si>
    <t>CAUSAL INFERENCE; MOOD; ANTECEDENTS; CLICK; PERSONALITY; NETWORKS; EXPOSURE; OUTCOMES; DESIGN</t>
  </si>
  <si>
    <t>Showing ads delivers revenue for online content distributors, but ad exposure can compromise user experience and cause user fatigue and frustration. Correctly balancing ads with other content is imperative. Currently, ad allocation relies primarily on demographics and inferred user interests, which are treated as static features and can be privacy-intrusive. This paper uses person-centric and momentary context features to understand optimal ad-timing. In a quasi-experimental study on a three-month longitudinal dataset of 100K Snapchat users, we find ad timing influences ad effectiveness. We draw insights on the relationship between ad effectiveness and momentary behaviors such as duration, interactivity, and interaction diversity. We simulate ad reallocation, finding that our studydriven insights lead to greater value for the platform. This work advances our understanding of ad consumption and bears implications for designing responsible ad allocation systems, improving both user and platform outcomes. We discuss privacy-preserving components and ethical implications of our work.</t>
  </si>
  <si>
    <t>[Saha, Koustuv] Georgia Inst Technol, Atlanta, GA 30332 USA; [Liu, Yozen; Neves, Leonardo; Shah, Neil; Bos, Maarten W.] Snap Inc, Santa Monica, CA USA; [Vincent, Nicholas] Northwestern Univ, Evanston, IL USA; [Chowdhury, Farhan Asif] Univ New Mexico, Albuquerque, NM 87131 USA</t>
  </si>
  <si>
    <t>University System of Georgia; Georgia Institute of Technology; Northwestern University; University of New Mexico</t>
  </si>
  <si>
    <t>Saha, K (corresponding author), Georgia Inst Technol, Atlanta, GA 30332 USA.</t>
  </si>
  <si>
    <t>koustuv.saha@gatech.edu; yliu2@snap.com; nickvincent@u.northwestern.edu; fasifchowdhury@unm.edu; lneves@snap.com; nshah@snap.com; mbos@snap.com</t>
  </si>
  <si>
    <t>Saha, Koustuv/ABC-6546-2020; Neves, Leonardo/JUU-2639-2023</t>
  </si>
  <si>
    <t>978-1-4503-8096-6</t>
  </si>
  <si>
    <t>10.1145/3411764.3445394</t>
  </si>
  <si>
    <t>BS7AU</t>
  </si>
  <si>
    <t>WOS:000758168005012</t>
  </si>
  <si>
    <t>Armstrong, PI; Rounds, J; Hubert, L</t>
  </si>
  <si>
    <t>Armstrong, Patrick Ian; Rounds, James; Hubert, Lawrence</t>
  </si>
  <si>
    <t>Re-conceptualizing the past: Historical data in vocational interest research</t>
  </si>
  <si>
    <t>historical data; circumplex models; hierarchical clustering; vocational interests; Holland's RIASEC model</t>
  </si>
  <si>
    <t>HOLLANDS-THEORY; INTEREST MODELS; CIRCUMPLEX</t>
  </si>
  <si>
    <t>Noteworthy progress has been made in the development of statistical models for evaluating the structure of vocational interests over the past three decades. It is proposed that historically significant interest datasets, when combined with modern structural methods of data analysis, provide an opportunity to re-examine the underlying assumptions of J.L. Holland's [Holland, J. L. (1959). A theory of vocational choice. Journal of Counseling Psychology, 6, 35-45; Holland, J. L. of (1997). Making vocational choices (3rd ed.). Odessa, FL: Psychological Assessment Resources] RIASEC model. To illustrate this potential, data obtained from J. P. Guilford's study of interest structure were re-analyzed using modern circumplex and hierarchical clustering techniques to evaluate Holland's and I. Gati's [Gati, I. (1979). A hierarchical model for the structure of interests. Journal of Vocational Behavior, 15, 90-106; Gati, I. (1991). The structure of vocational interests. Psychological Bulletin, 109, 309-324] interest structures. Obtained results indicate that a circumplex model can be used to effectively represent the structure underlying Guilford's interest measures. However, hierarchical clustering results suggest that Holland's RIASEC types may not be the most effective categories for grouping specific interest measures into broader interest areas. The current findings provide support for the continued investigation of alternatives to Holland's interest categories using modern measures of basic interests. (c) 2007 Elsevier Inc. All rights reserved.</t>
  </si>
  <si>
    <t>[Armstrong, Patrick Ian] Iowa State Univ, Dept Psychol, Ames, IA 50011 USA; [Rounds, James] Univ Illinois, Dept Educ Psychol, Champaign, IL 61820 USA; [Hubert, Lawrence] Univ Illinois, Dept Psychol, Champaign, IL 61820 USA</t>
  </si>
  <si>
    <t>Iowa State University; University of Illinois System; University of Illinois Urbana-Champaign; University of Illinois System; University of Illinois Urbana-Champaign</t>
  </si>
  <si>
    <t>Armstrong, PI (corresponding author), Iowa State Univ, Dept Psychol, W112 Langomarcino Hall, Ames, IA 50011 USA.</t>
  </si>
  <si>
    <t>pia@iastate.edu</t>
  </si>
  <si>
    <t>/A-9286-2013</t>
  </si>
  <si>
    <t>10.1016/j.jvb.2007.09.004</t>
  </si>
  <si>
    <t>309IR</t>
  </si>
  <si>
    <t>WOS:000256454400002</t>
  </si>
  <si>
    <t>Lazar, G; Malureanu, A; Panisoara, G; Sandu, C</t>
  </si>
  <si>
    <t>Lazar, G.; Malureanu, A.; Panisoara, G.; Sandu, C.</t>
  </si>
  <si>
    <t>IMPROVING TEACHING AND LEARNING ACTIVITIES BY IMPROVING E-TEXTBOOK PERFORMANCE</t>
  </si>
  <si>
    <t>EDULEARN18: 10TH INTERNATIONAL CONFERENCE ON EDUCATION AND NEW LEARNING TECHNOLOGIES</t>
  </si>
  <si>
    <t>10th International Conference on Education and New Learning Technologies (EDULEARN)</t>
  </si>
  <si>
    <t>JUL 02-04, 2018</t>
  </si>
  <si>
    <t>Palma, SPAIN</t>
  </si>
  <si>
    <t>digital educational resource; perception; expectation; teaching and learning activity; technical performance of e-textbooks</t>
  </si>
  <si>
    <t>EDUCATION</t>
  </si>
  <si>
    <t>The improvement of the technical performance of e-textbooks involves understanding today's requirements, needs and expectations of both interest categories, learners and teachers. The role of digital educational resources in teaching and learning processes were clustered and features as interactivity, effective feedback, guidelines, usability, creativity and functionality were described. Responses to an open question about necessary components of digital textbooks that may improve the educational performance are discussed in the context of the necessity to improve teaching and learning activities. The survey contains open-ended questions related to this subject and was disseminated in digital form to 350 teachers. Only 162 answers were analysed, received from research participants who had used e-textbook before. The outcomes highlight the importance of the interactive content containing virtual simulations/demonstrations. This type of content can also include links to tutorials recommended by teachers (i.e. YouTube and more). Many teachers have identified a greater need for game-based learning content for digital textbooks as a powerful instruction tool. Different and many evaluation instruments, including those involving multiple choice response, were identified as being important for e-textbooks. The result of this analysis will be used to improve the future digital textbooks.</t>
  </si>
  <si>
    <t>[Lazar, G.; Malureanu, A.] Ascendia SA, Bucharest, Romania; [Panisoara, G.; Sandu, C.] Univ Bucharest, Bucharest, Romania</t>
  </si>
  <si>
    <t>University of Bucharest</t>
  </si>
  <si>
    <t>Lazar, G (corresponding author), Ascendia SA, Bucharest, Romania.</t>
  </si>
  <si>
    <t>Lazar, Gabriel/A-4180-2010; /AAY-3021-2020</t>
  </si>
  <si>
    <t>European Union; Romanian Government [89/09.08.2017, 115616]</t>
  </si>
  <si>
    <t>European Union(European Union (EU)); Romanian Government(Romanian Government)</t>
  </si>
  <si>
    <t>This research has been financially supported by the European Union and Romanian Government (Project 89/09.08.2017 SMIS code 115616).</t>
  </si>
  <si>
    <t>978-84-09-02709-5</t>
  </si>
  <si>
    <t>BO9JX</t>
  </si>
  <si>
    <t>WOS:000531474305116</t>
  </si>
  <si>
    <t>Mac Aoidh, E; Wilson, DC; Bertolotto, M</t>
  </si>
  <si>
    <t>Carswell, JD; Fotheringham, AS; McArdle, G</t>
  </si>
  <si>
    <t>Mac Aoidh, Eoin; Wilson, David C.; Bertolotto, Michela</t>
  </si>
  <si>
    <t>A Study of Spatial Interaction Behaviour for Improved Delivery of Web-Based Maps</t>
  </si>
  <si>
    <t>WEB AND WIRELESS GEOGRAPHICAL INFORMATION SYSTEMS, PROCEEDINGS</t>
  </si>
  <si>
    <t>9th International Symposium on Web and Wireless Geographical Information Systems</t>
  </si>
  <si>
    <t>DEC 07-08, 2009</t>
  </si>
  <si>
    <t>Maynooth, IRELAND</t>
  </si>
  <si>
    <t>Sci Fdn Ireland,Natl Ctr Geocomputat,Natl Univ Ireland,Strateg Res Adv Geotechnol,NUI MAYNOOTH,Strat-AG,Failte Ireland,Irelandinspires.com</t>
  </si>
  <si>
    <t>As access to large quantities of detailed spatial information becomes more commonplace through popular Web-based map browsing systems, the need for automatic spatial information filtering processes grows. Particulary in the case of wireless access, a suitable filtering mechanism can assist the user by personalising the map contents, giving priority to the most relevant content and eliding less relevant content. We have developed a generic solution for implicitly obtaining an insight into a user's interests and intentions based on their mouse interactions with a Web-based map browsing interface. Results of a previously reported experiment showed visual patterns in interface interaction across multiple users. This has led us to develop a new categorisation of the user interactions that can serve as a basis for more accurately weighting user interest profiles. This paper proposes a classification scheme for user interactions according to their functional properties by describing a 'mouse movement hierarchy'. The value of such a weighting is demonstrated by employing the hierarchy to make a new experimental analysis of a dataset of previously logged user interactions. By properly understanding sequences of interactions; implicit inferences about the users interests can be made, leading to improved map personalisation, ultimately improving the user's experience by delivering the most relevant content to the user in a timely fashion.</t>
  </si>
  <si>
    <t>[Wilson, David C.] Univ N Carolina, Charlotte, NC USA; [Bertolotto, Michela] UCD, Sch Comp Sci &amp; Informat, Dublin, Ireland</t>
  </si>
  <si>
    <t>University of North Carolina; University of North Carolina Charlotte; University College Dublin</t>
  </si>
  <si>
    <t>Mac Aoidh, E (corresponding author), NUI Maynooth, Natl Ctr Geocomputat, Maynooth, Kildare, Ireland.</t>
  </si>
  <si>
    <t>eoin.macaoidh@nuim.ie; davils@uncc.edu; michela.bertolotto@ucd.ie</t>
  </si>
  <si>
    <t>Bertolotto, Michela/0000-0003-0122-7656</t>
  </si>
  <si>
    <t>Strategic Research Cluster by Science Foundation Ireland under the National Development Plan [07/SRC/I1168]</t>
  </si>
  <si>
    <t>Strategic Research Cluster by Science Foundation Ireland under the National Development Plan(Science Foundation Ireland (SFI))</t>
  </si>
  <si>
    <t>We would like to thank Christophe Claramunt of the French Naval Academy Research Institute for his helpful comments which contributed to the development of the work presented in this paper.Research presented in this paper was funded by a Strategic Research Cluster grant (07/SRC/I1168) by Science Foundation Ireland under the National Development Plan. We gratefully acknowledge this support.</t>
  </si>
  <si>
    <t>978-3-642-10600-2</t>
  </si>
  <si>
    <t>Computer Science, Information Systems; Computer Science, Software Engineering; Computer Science, Theory &amp; Methods; Geosciences, Multidisciplinary</t>
  </si>
  <si>
    <t>Computer Science; Geology</t>
  </si>
  <si>
    <t>BPJ44</t>
  </si>
  <si>
    <t>WOS:000278995700009</t>
  </si>
  <si>
    <t>Lops, P; de Gemmis, M; Semeraro, G; Musto, C; Narducci, F; Bux, M</t>
  </si>
  <si>
    <t>Castellano, G; Jain, LC; Fanelli, AM</t>
  </si>
  <si>
    <t>Lops, Pasquale; de Gemmis, Marco; Semeraro, Giovanni; Musto, Cataldo; Narducci, Fedelucio; Bux, Massimo</t>
  </si>
  <si>
    <t>A Semantic Content-Based Recommender System Integrating Folksonomies for Personalized Access</t>
  </si>
  <si>
    <t>WEB PERSONALIZATION IN INTELLIGENT ENVIRONMENTS</t>
  </si>
  <si>
    <t>Content-based Recommender Systems; Web 2.0; Folksonomy; Machine Learning; Semantics</t>
  </si>
  <si>
    <t>Basic content personalization consists in matching tip the attributes of a user profile, in which preferences and interests are stored, against the attributes of a content object. The Web 2.0 (r)evolution and the advent of user generated content (UGC) have changed the game for personalization, since the role of people has evolved from passive consumers of information to that of active contributors. One of the forms of UGC that has drawn more attention from the research community is folksonomy, a taxonomy generated by users who collaboratively annotate and categorize resources of interests with freely chosen keywords called tags. In this chapter, we intend to investigate whether folksonomies might be a valuable source of information about user interests for a recommender system. In order to achieve that goal, folksonomies have been included into ITR (ITem Recommender), a content-based recommender system developed at the University of Bari [7]. Specifically, static content consisting of the descriptions of the items in a collection have been enriched with dynamic UGC through social tagging techniques. The new recommender system, called FIRSt (Folksonomy-based Item Recommender syStem), extends the original ITR system integrating UGC management by letting users to express their preferences for items by entering a numerical rating as well as to annotate rated items with free tags. The main contribution of the chapter is an integrated strategy that enables a content-based recommender to infer user interests by applying machine learning techniques, both on official item descriptions provided by a publisher and on tags which users adopt to freely annotate relevant items. Static content and tags are preventively analyzed by advanced linguistic techniques in order to capture the semantics of the user interests, often hidden behind keywords. The proposed approach has been evaluated in the domain Of Cultural heritage personalization. Experiments involving 40 real users show an improvement in the predictive accuracy of the tag-augmented recommender compared to the pure content-based one.</t>
  </si>
  <si>
    <t>[Lops, Pasquale; de Gemmis, Marco; Semeraro, Giovanni; Musto, Cataldo; Narducci, Fedelucio; Bux, Massimo] Univ Bari Aldo Moro, Dept Comp Sci, Bari, Italy</t>
  </si>
  <si>
    <t>Lops, P (corresponding author), Univ Bari Aldo Moro, Dept Comp Sci, Bari, Italy.</t>
  </si>
  <si>
    <t>lops@di.uniba.it; degemmis@di.uniba.it; semeraro@di.uniba.it; musto@di.uniba.it; narducci@di.uniba.it; bux@di.uniba.it</t>
  </si>
  <si>
    <t>narducci, fedelucio/0000-0002-9255-3256; Lops, Pasquale/0000-0002-6866-9451; Semeraro, Giovanni/0000-0001-6883-1853; Musto, Cataldo/0000-0001-6089-928X; de Gemmis, Marco/0000-0002-2007-9559</t>
  </si>
  <si>
    <t>978-3-642-02793-2</t>
  </si>
  <si>
    <t>10.1007/978-3-642-02794-9</t>
  </si>
  <si>
    <t>BLG02</t>
  </si>
  <si>
    <t>WOS:000270094400002</t>
  </si>
  <si>
    <t>Tang, JY; Qinghong; Jiao, L</t>
  </si>
  <si>
    <t>Xu, BY; Shen, J</t>
  </si>
  <si>
    <t>Tang, Jiayuan; Qinghong; Jiao, Li</t>
  </si>
  <si>
    <t>The Research and Implementation of Learning System Based on Interest Features</t>
  </si>
  <si>
    <t>2010 INTERNATIONAL CONFERENCE ON INFORMATION, ELECTRONIC AND COMPUTER SCIENCE, VOLS 1-3</t>
  </si>
  <si>
    <t>International Conference on Information Electronic and Computer Science</t>
  </si>
  <si>
    <t>NOV, 2010</t>
  </si>
  <si>
    <t>Zibo, PEOPLES R CHINA</t>
  </si>
  <si>
    <t>personalized learning system; student interest model sector space model</t>
  </si>
  <si>
    <t>This paper designs a personalized learning systems on student intersts. It mainly introduces how to construct the initial interest model of the student. How to update it in terms of the implict feedback during the learning in order to embody the idea of the personalized learning fully. Finally we prove the effectiveness of the model through the experiments.</t>
  </si>
  <si>
    <t>[Tang, Jiayuan; Qinghong; Jiao, Li] Jiang Univ, Comp Informat Engn Coll, Nanchang, Peoples R China</t>
  </si>
  <si>
    <t>Tang, JY (corresponding author), Jiang Univ, Comp Informat Engn Coll, Nanchang, Peoples R China.</t>
  </si>
  <si>
    <t>tangjiayuan720@yahoo.com.cn</t>
  </si>
  <si>
    <t>SCI RES PUBL, INC-SRP</t>
  </si>
  <si>
    <t>IRVIN</t>
  </si>
  <si>
    <t>5005 PASEO SEGOVIA, IRVIN, CA 92603-3334 USA</t>
  </si>
  <si>
    <t>978-1-935068-42-6</t>
  </si>
  <si>
    <t>Computer Science, Information Systems; Computer Science, Interdisciplinary Applications; Computer Science, Theory &amp; Methods; Engineering, Electrical &amp; Electronic</t>
  </si>
  <si>
    <t>BUW33</t>
  </si>
  <si>
    <t>WOS:000290499500108</t>
  </si>
  <si>
    <t>Zargham, M</t>
  </si>
  <si>
    <t>Arabnia, HR; Deligiannidis, L; Amirian, S; Mohammadi, FG; Shenavarmasouleh, F</t>
  </si>
  <si>
    <t>Zargham, Mehdi</t>
  </si>
  <si>
    <t>AI and Education</t>
  </si>
  <si>
    <t>AI REVOLUTION: RESEARCH, ETHICS AND SOCIETY, AIR-RES 2025, PT III</t>
  </si>
  <si>
    <t>2025 International Conference on the AI Revolution: Research, Ethics and Society-AIR-RES</t>
  </si>
  <si>
    <t>APR 14-16, 2025</t>
  </si>
  <si>
    <t>American Council on Science &amp; Education</t>
  </si>
  <si>
    <t>AI; Education; Knowledge Modules</t>
  </si>
  <si>
    <t>Recently, AI has advanced significantly and is used in many fields. We will obtain a much better outcome by applying these AI technologies to educate students from kindergarten to college. We can initiate a project-driven learning process that stimulates student interest but also stimulates students curiosity. AI generative models will provide 24/7 availability, physical place independence, individualization, low cost, and consist of concise knowledge units. Furthermore, generative models incorporated with Augmented Reality glasses can increase students motivation, engagement, conceptual knowledge, and learning outcomes. It brings a new world of knowledge with a mix of the real and virtual worlds. A proposal for a new curriculum for a Bachelor of Science in Computer Science is presented as an example of future college education when complemented with AI. This curriculum is based on knowledge units, allowing students to access their materials anytime, anywhere, and at any pace. It is flexible while encouraging teamwork, hands-on experiences, creativity, and industrial experience. It encourages students to develop problem-solving and teamwork skills and fosters creativity and logic. Furthermore, it is an adaptable educational model that educates students throughout their lives.</t>
  </si>
  <si>
    <t>[Zargham, Mehdi] Univ Dayton, Dayton, OH 45469 USA</t>
  </si>
  <si>
    <t>University System of Ohio; University of Dayton</t>
  </si>
  <si>
    <t>Zargham, M (corresponding author), Univ Dayton, Dayton, OH 45469 USA.</t>
  </si>
  <si>
    <t>zargham32@gmail.com</t>
  </si>
  <si>
    <t>978-3-032-13055-6; 978-3-032-13056-3</t>
  </si>
  <si>
    <t>10.1007/978-3-032-13056-3_2</t>
  </si>
  <si>
    <t>BA6KM</t>
  </si>
  <si>
    <t>WOS:001758847100002</t>
  </si>
  <si>
    <t>Wang, B</t>
  </si>
  <si>
    <t>Wang, Bei</t>
  </si>
  <si>
    <t>An intelligent integration method of AI English teaching resources information under multi-agent cooperation</t>
  </si>
  <si>
    <t>INTERNATIONAL JOURNAL OF CONTINUING ENGINEERING EDUCATION AND LIFE-LONG LEARNING</t>
  </si>
  <si>
    <t>multi-agent collaboration; AI English teaching; information integration; user interest model</t>
  </si>
  <si>
    <t>The traditional integration method has low integration accuracy and long integration time. AI English teaching resource information intelligent integration method, a multi-agent collaborative algorithm for intelligent integration of intelligent English teaching resources is proposed. Based on observation results of user implicit feedback, a user interest model is constructed. The interest model is formulated into a vector set composed of multiple vectors. The weight of the ontology is estimated by number of re-entry, content, behaviour, object and time, and the bias strength of the user ontology for a certain field is obtained. An information intelligent integration model under the cooperation of multi-agents is constructed. Thus, AI English teaching resources can be intelligently integrated. The simulation results show that the integration accuracy of AI English teaching resource information can reach 100% and the integration time can be shortened to 3S under the cooperation of multi-agents, thus delivering good integration effect and high efficiency.</t>
  </si>
  <si>
    <t>[Wang, Bei] Jiangsu Vocat Coll Agr &amp; Forestry, Ju Rong City 212400, Jiangsu, Peoples R China</t>
  </si>
  <si>
    <t>Jiangsu Vocational College of Agriculture &amp; Forestry</t>
  </si>
  <si>
    <t>Wang, B (corresponding author), Jiangsu Vocat Coll Agr &amp; Forestry, Ju Rong City 212400, Jiangsu, Peoples R China.</t>
  </si>
  <si>
    <t>beiwang@mls.sinanet.com</t>
  </si>
  <si>
    <t>1560-4624</t>
  </si>
  <si>
    <t>1741-5055</t>
  </si>
  <si>
    <t>INT J CONTIN ENG EDU</t>
  </si>
  <si>
    <t>Int. J. Contin. Eng. Educ. Life-Long Learn.</t>
  </si>
  <si>
    <t>10.1504/IJCEELL.2024.135266</t>
  </si>
  <si>
    <t>Z6QN8</t>
  </si>
  <si>
    <t>WOS:001113303500001</t>
  </si>
  <si>
    <t>Mylonas, P; Vallet, D; Castells, P; Fernández, M; Avrithis, Y</t>
  </si>
  <si>
    <t>Mylonas, Ph.; Vallet, D.; Castells, P.; Fernandez, M.; Avrithis, Y.</t>
  </si>
  <si>
    <t>Personalized information retrieval based on context and ontological knowledge</t>
  </si>
  <si>
    <t>KNOWLEDGE ENGINEERING REVIEW</t>
  </si>
  <si>
    <t>2nd International Workshop on Contexts and Ontologies/17th European Conference on Artificial Intelligence</t>
  </si>
  <si>
    <t>AUG, 2006</t>
  </si>
  <si>
    <t>Riva del Garda, ITALY</t>
  </si>
  <si>
    <t>FEEDBACK; SEARCH</t>
  </si>
  <si>
    <t>Context modeling has long been acknowledged as a key aspect in a wide variety of problem domains. In this paper we focus on the combination of contextualization and personalization methods to improve the performance of personalized information retrieval. The key aspects in our proposed approach are (1) the explicit distinction between historic user context and live user context, (2) the use of ontology-driven representations of the domain of discourse, as a common, enriched representational ground for content meaning, user interests, and contextual conditions, enabling the definition of effective means to relate the three of them, and (3) the introduction of fuzzy representations as an instrument to properly handle the uncertainty and imprecision involved in the automatic interpretation of meanings, user attention, and user wishes. Based on a formal grounding at the representational level, we propose methods for the automatic extraction of persistent semantic user preferences, and live, ad-hoc user interests, which are combined in order to improve the accuracy and reliability of personalization for retrieval.</t>
  </si>
  <si>
    <t>[Mylonas, Ph.; Avrithis, Y.] Natl Tech Univ Athens, Image Video &amp; Multimedia Lab, Athens 15773, Greece; [Vallet, D.; Castells, P.; Fernandez, M.] Univ Autonoma Madrid, Escuela Politecn Super, E-28049 Madrid, Spain</t>
  </si>
  <si>
    <t>National Technical University of Athens; Autonomous University of Madrid</t>
  </si>
  <si>
    <t>Mylonas, P (corresponding author), Natl Tech Univ Athens, Image Video &amp; Multimedia Lab, 9 Iroon Polytech St, Athens 15773, Greece.</t>
  </si>
  <si>
    <t>fmylonas@image.ntua.gr; david.vallet@uam.es; pablo.castells@uam.es; miriam.fernandez@uam.es; iavr@image.ntua.gr</t>
  </si>
  <si>
    <t>Castells, Pablo/B-5020-2010; /B-8332-2014; Fernandez, Miriam/JTT-1662-2023; Mylonas, Phivos/AAF-2497-2019</t>
  </si>
  <si>
    <t>Castells, Pablo/0000-0003-0668-6317;</t>
  </si>
  <si>
    <t>32 AVENUE OF THE AMERICAS, NEW YORK, NY 10013-2473 USA</t>
  </si>
  <si>
    <t>0269-8889</t>
  </si>
  <si>
    <t>1469-8005</t>
  </si>
  <si>
    <t>KNOWL ENG REV</t>
  </si>
  <si>
    <t>Knowl. Eng. Rev.</t>
  </si>
  <si>
    <t>10.1017/S0269888907001282</t>
  </si>
  <si>
    <t>292EY</t>
  </si>
  <si>
    <t>Green Submitted, Green Accepted, Bronze</t>
  </si>
  <si>
    <t>WOS:000255250500005</t>
  </si>
  <si>
    <t>Berrezueta, E; Sánchez-Cortez, JL; Aguilar-Aguilar, M</t>
  </si>
  <si>
    <t>Berrezueta, Edgar; Sanchez-Cortez, Jose Luis; Aguilar-Aguilar, Maribel</t>
  </si>
  <si>
    <t>Inventory and Characterization of Geosites in Ecuador: a Review</t>
  </si>
  <si>
    <t>GEOHERITAGE</t>
  </si>
  <si>
    <t>Geosites; Geoheritage; Geoparks; Ecuador</t>
  </si>
  <si>
    <t>The primary aims of this paper are to document the existing inventory and characterization of geosites in Ecuador, through the review of relevant public documents (articles, reports, etc.), and to demonstrate the potential of the country's geological heritage. The methodology was based on (i) the compilation of documents about inventory and characterization of sites with geological or mining interest in Ecuador and (ii) the assessment of the above studies according to the description and value of the geosites. A total of 372 geosites (56 in a UNESCO geopark, 47 in aspiring geoparks, 158 in geopark projects, 73 in geological itineraries and 38 in other initiatives) were identified in Ecuador. Two hundred seventy-six geosites (74.19% of those inventoried) were evaluated with international methods, 65.94% of which (182) used the ILIEG method. The 182 sites fall into the high and very high geological interest categories. In general, we found that most of the reviewed studies meet the protocols/guidelines recommended for this type of surveys. However, some limitations were also detected due to non-homogeneous assessment criteria or the lack of detailed quantitative assessment. The study revealed that Ecuador has a sound knowledge base to address the geoconservation challenges that the country will face in coming decades.</t>
  </si>
  <si>
    <t>[Berrezueta, Edgar] CSIC, Inst Geol &amp; Minero Espana IGME, Oviedo, Spain; [Sanchez-Cortez, Jose Luis] Univ Guayaquil UG, Fac Ciencias Nat, Guayaquil, Ecuador; [Aguilar-Aguilar, Maribel] ESPOL Polytech Univ, Ctr Invest &amp; Proyectos Aplicados Ciencias Tierra, Guayaquil, Ecuador</t>
  </si>
  <si>
    <t>Consejo Superior de Investigaciones Cientificas (CSIC)</t>
  </si>
  <si>
    <t>Berrezueta, E (corresponding author), CSIC, Inst Geol &amp; Minero Espana IGME, Oviedo, Spain.</t>
  </si>
  <si>
    <t>e.berrezueta@igme.es</t>
  </si>
  <si>
    <t>Sanchez Cortez, Jose Luis/AER-2706-2022; Berrezueta, Edgar/A-3310-2009</t>
  </si>
  <si>
    <t>Sanchez Cortez, Jose Luis/0000-0002-1236-2848; Berrezueta, Edgar/0000-0002-2667-7461</t>
  </si>
  <si>
    <t>Red Mineria XXI (CYTED) [407310RT0402]; [CIPAT-01-2018]</t>
  </si>
  <si>
    <t>Red Mineria XXI (CYTED);</t>
  </si>
  <si>
    <t>The authors would like to thank the research project called Registry of geological and mining heritage and its impact on the defense and preservation of geodiversity in Ecuador, CIPAT-01-2018. This work is based on previous initiatives sponsored by the Red Mineria XXI (CYTED: 407310RT0402, IGME). Furthermore, we thank the reviewers and editorial committee for their observations and suggestions for improving the manuscript</t>
  </si>
  <si>
    <t>1867-2477</t>
  </si>
  <si>
    <t>1867-2485</t>
  </si>
  <si>
    <t>Geoheritage</t>
  </si>
  <si>
    <t>10.1007/s12371-021-00619-y</t>
  </si>
  <si>
    <t>WM3AM</t>
  </si>
  <si>
    <t>WOS:000710961300001</t>
  </si>
  <si>
    <t>Guo, WY; Cui, Y; Zheng, K</t>
  </si>
  <si>
    <t>Onizuka, M; Lee, JG; Tong, Y; Xiao, C; Ishikawa, Y; Amer-Yahia, S; Jagadish, HV; Lu, K</t>
  </si>
  <si>
    <t>Guo, Weiyang; Cui, Yue; Zheng, Kai</t>
  </si>
  <si>
    <t>IntFair:Graph Neural Networks for Fair Recommendations with Interest Awareness</t>
  </si>
  <si>
    <t>DATABASE SYSTEMS FOR ADVANCED APPLICATIONS, DASFAA 2024, PT 3</t>
  </si>
  <si>
    <t>29th International Conference on Database Systems for Advanced Applications (DASFAA)</t>
  </si>
  <si>
    <t>JUL 02-05, 2024</t>
  </si>
  <si>
    <t>Gifu, JAPAN</t>
  </si>
  <si>
    <t>Recommendation System; Graph Neural Network; Fairness</t>
  </si>
  <si>
    <t>With the rapid development of recommender systems, it has been found that accuracy is not the only standard for evaluating the utility of recommender systems. In real-world recommendation scenarios, users' interests are typically diverse. However, due to the influence of popular bias, recommender systems vary significantly in their recommendation utility for different interests, which is unfair to users with multiple interests. In this paper, we propose the concept of interest-aware fairness, which suggests that the recommendation accuracy should be as consistent as possible between users' different interests. Additionally, we introduce a metric to quantify this fairness problem. To achieve interest-aware fairness, we propose IntFair, which contains three modules: The Balanced Category Sampling mitigates information redundancy during aggregation, Multi-Interest Capture Network encode the diverse interests of users, and Hybrid Expert System dynamically adjusts to different combinations of user interests. Experimental results on real datasets demonstrate that compared to other recommendation models, IntFair can maintain a comparable level of accuracy while achieving interest-aware fairness recommendation.</t>
  </si>
  <si>
    <t>[Guo, Weiyang; Zheng, Kai] Univ Elect Sci &amp; Technol China, Chengdu, Peoples R China; [Zheng, Kai] Univ Elect Sci &amp; Technol China, Yangtze Delta Reg Inst Quzhou, Chengdu, Peoples R China; [Cui, Yue] Hong Kong Univ Sci &amp; Technol, Hong Kong, Peoples R China</t>
  </si>
  <si>
    <t>University of Electronic Science &amp; Technology of China; University of Electronic Science &amp; Technology of China; Hong Kong University of Science &amp; Technology</t>
  </si>
  <si>
    <t>Zheng, K (corresponding author), Univ Elect Sci &amp; Technol China, Chengdu, Peoples R China.;Zheng, K (corresponding author), Univ Elect Sci &amp; Technol China, Yangtze Delta Reg Inst Quzhou, Chengdu, Peoples R China.;Cui, Y (corresponding author), Hong Kong Univ Sci &amp; Technol, Hong Kong, Peoples R China.</t>
  </si>
  <si>
    <t>guoweiyang@stu.uestc.edu.cn; ycuias@cse.ust.hk; zhengkai@uestc.edu.cn</t>
  </si>
  <si>
    <t>NSFC [61972069, 61836007, 61832017]; Shenzhen Municipal Science and Technology R&amp;D Funding Basic Research Program [JCYJ20210324133607021]; Municipal Government of Quzhou [2022D037, 2023D044]; Key Laboratory of Data Intelligence and Cognitive Computing, Longhua District, Shenzhen</t>
  </si>
  <si>
    <t>NSFC(National Natural Science Foundation of China (NSFC)); Shenzhen Municipal Science and Technology R&amp;D Funding Basic Research Program; Municipal Government of Quzhou; Key Laboratory of Data Intelligence and Cognitive Computing, Longhua District, Shenzhen</t>
  </si>
  <si>
    <t>This work is partially supported by NSFC (No. 61972069, 61836007 and 61832017), Shenzhen Municipal Science and Technology R&amp;D Funding Basic Research Program (JCYJ20210324133607021), and Municipal Government of Quzhou under Grant (No. 2022D037, 2023D044), and Key Laboratory of Data Intelligence and Cognitive Computing, Longhua District, Shenzhen.</t>
  </si>
  <si>
    <t>978-981-97-5554-7; 978-981-97-5555-4</t>
  </si>
  <si>
    <t>10.1007/978-981-97-5555-4_1</t>
  </si>
  <si>
    <t>BY3FW</t>
  </si>
  <si>
    <t>WOS:001416103900001</t>
  </si>
  <si>
    <t>Jiang, KY; Xu, LH; Lin, SP; Zhou, LY; Li, HJ; Gao, G</t>
  </si>
  <si>
    <t>Jiang, Kai-Yue; Xu, Li-Heng; Lin, Shi-Pei; Zhou, Li-Yang; Li, Hui-Jia; Gao, Ge</t>
  </si>
  <si>
    <t>Extracting fuzzy clusters from massive attributed graphs using Markov lumpability optimization</t>
  </si>
  <si>
    <t>CHINESE PHYSICS B</t>
  </si>
  <si>
    <t>attributed clustering; Markov chain; lumped random walk; fuzzy clusters; optimization; 89.75.Da; 02.50.Ey; 07.05.Tp; 05.40.-a</t>
  </si>
  <si>
    <t>Attributed graph clustering plays a vital role in uncovering hidden network structures, but it presents significant challenges. In recent years, various models have been proposed to identify meaningful clusters by integrating both structural and attribute-based information. However, these models often emphasize node proximities without adequately balancing the efficiency of clustering based on both structural and attribute data. Furthermore, they tend to neglect the critical fuzzy information inherent in attributed graph clusters. To address these issues, we introduce a new framework, Markov lumpability optimization, for efficient clustering of large-scale attributed graphs. Specifically, we define a lumped Markov chain on an attribute-augmented graph and introduce a new metric, Markov lumpability, to quantify the differences between the original and lumped Markov transition probability matrices. To minimize this measure, we propose a conjugate gradient projection-based approach that ensures the partitioning closely aligns with the intrinsic structure of fuzzy clusters through conditional optimization. Extensive experiments on both synthetic and real-world datasets demonstrate the superior performance of the proposed framework compared to existing clustering algorithms. This framework has many potential applications, including dynamic community analysis of social networks, user profiling in recommendation systems, functional module identification in biological molecular networks, and financial risk control, offering a new paradigm for mining complex patterns in high-dimensional attributed graph data.</t>
  </si>
  <si>
    <t>[Jiang, Kai-Yue; Xu, Li-Heng; Lin, Shi-Pei; Zhou, Li-Yang; Li, Hui-Jia] Nankai Univ, Sch Stat &amp; Data Sci, LPMC, Tianjin 300074, Peoples R China; [Jiang, Kai-Yue; Xu, Li-Heng; Lin, Shi-Pei; Zhou, Li-Yang; Li, Hui-Jia] Nankai Univ, KLMDASR, Tianjin 300074, Peoples R China; [Gao, Ge] Beijing Sport Univ, Sch Management, Beijing 100084, Peoples R China</t>
  </si>
  <si>
    <t>Nankai University; Nankai University; Beijing Sport University</t>
  </si>
  <si>
    <t>Li, HJ (corresponding author), Nankai Univ, Sch Stat &amp; Data Sci, LPMC, Tianjin 300074, Peoples R China.;Li, HJ (corresponding author), Nankai Univ, KLMDASR, Tianjin 300074, Peoples R China.;Gao, G (corresponding author), Beijing Sport Univ, Sch Management, Beijing 100084, Peoples R China.</t>
  </si>
  <si>
    <t>hjli@nankai.edu.cn; gaoge@bsu.edu.cn</t>
  </si>
  <si>
    <t>Zhou, Liyang/HGE-3250-2022; /G-2420-2014</t>
  </si>
  <si>
    <t>Gao, Ge/0000-0002-8557-2475</t>
  </si>
  <si>
    <t>National Natural Science Foundation of China [72571150]; Beijing Natural Science Foundation [9182015]</t>
  </si>
  <si>
    <t>National Natural Science Foundation of China(National Natural Science Foundation of China (NSFC)); Beijing Natural Science Foundation(Beijing Natural Science Foundation)</t>
  </si>
  <si>
    <t>This work is supported by the National Natural Science Foundation of China (Grant No. 72571150) and Beijing Natural Science Foundation (Grant No. 9182015).</t>
  </si>
  <si>
    <t>IOP Publishing Ltd</t>
  </si>
  <si>
    <t>TEMPLE CIRCUS, TEMPLE WAY, BRISTOL BS1 6BE, ENGLAND</t>
  </si>
  <si>
    <t>1674-1056</t>
  </si>
  <si>
    <t>2058-3834</t>
  </si>
  <si>
    <t>CHINESE PHYS B</t>
  </si>
  <si>
    <t>Chin. Phys. B</t>
  </si>
  <si>
    <t>10.1088/1674-1056/addaa2</t>
  </si>
  <si>
    <t>8FY8A</t>
  </si>
  <si>
    <t>WOS:001587750500001</t>
  </si>
  <si>
    <t>Kravitz, E; Ray, HM; Conlon, N; Ahmed, NR; Thomas, I; Szafir, DA</t>
  </si>
  <si>
    <t>AIAA</t>
  </si>
  <si>
    <t>Kravitz, Eli; Ray, Hunter M.; Conlon, Nicholas; Ahmed, Nisar R.; Thomas, Ian; Szafir, Danielle Albers</t>
  </si>
  <si>
    <t>Probabilistic Learning of Operator Interest in Surveillance Environments for Online Track Characterization</t>
  </si>
  <si>
    <t>AIAA SCITECH 2024 FORUM</t>
  </si>
  <si>
    <t>AIAA SciTech Forum</t>
  </si>
  <si>
    <t>JAN 08-12, 2024</t>
  </si>
  <si>
    <t>Orlando, FL</t>
  </si>
  <si>
    <t>Machine learning models that augment data-intensive human workflows must rely on an understanding of a user's interests and behaviors. By understanding what a user desires, these models can help intuitively prioritize workflow and essential information for decision making, and form the baseline for trusted autonomous systems. This work considers the problem of human interest classification for missile defense surveillance. In this case, users are satellite operators who must prioritize simultaneous processing and characterization of targets across the globe for extended duration while working under strict time and accuracy constraints. Learning human interest in this context is particularly challenging because user interests are generally not static, tracks have a short lifespan, and the user pool is small. Here, we formulated the solution similarly as a binary Bayesian logistic regression problem to classify operator interest in a given candidate track, but with the added complexity of partially observable feature variables and dependencies between these variables. Our approach leverages domain knowledge to instantiate priors on human interest and, using online user interactions with the system, can continuously infer human interest for candidate tracks. We validate our user interest classification algorithm using simulated truth testing across various configurations of expected operator behavior, which overall show that the algorithm can effectively learn relative track interest with minimal training data.</t>
  </si>
  <si>
    <t>[Kravitz, Eli; Ray, Hunter M.; Ahmed, Nisar R.] Univ Colorado Boulder, Smead Aerosp Engn Sci, Boulder, CO 80309 USA; [Conlon, Nicholas] Univ Colorado Boulder, Dept Comp Sci, Boulder, CO 80309 USA; [Thomas, Ian; Szafir, Danielle Albers] Univ North Carolina Chapel Hill, Dept Comp Sci, Chapel Hill, NC USA</t>
  </si>
  <si>
    <t>University of Colorado System; University of Colorado Boulder; University of Colorado System; University of Colorado Boulder; University of North Carolina; University of North Carolina Chapel Hill; University of North Carolina School of Medicine</t>
  </si>
  <si>
    <t>Kravitz, E (corresponding author), Univ Colorado Boulder, Smead Aerosp Engn Sci, Boulder, CO 80309 USA.</t>
  </si>
  <si>
    <t>eli.kravitz@colorado.edu; hunter.ray-1@colorado.edu; nicholas.conlon@colorado.edu; nisar.ahmed@colorado.edu</t>
  </si>
  <si>
    <t>Ray, Hunter/NGS-2894-2025</t>
  </si>
  <si>
    <t>United States Space Force (USSF) [FA8808-21-C-0006]</t>
  </si>
  <si>
    <t>United States Space Force (USSF)</t>
  </si>
  <si>
    <t>This material is based upon work supported by the United States Space Force (USSF) under Contract No. FA8808-21-C-0006. Any opinions, findings and conclusions or recommendations expressed in this material are those of the author(s) and do not necessarily reflect the views of USSF.</t>
  </si>
  <si>
    <t>AMER INST AERONAUTICS &amp; ASTRONAUTICS</t>
  </si>
  <si>
    <t>1801 ALEXANDER BELL DR, STE 500, RESTON, VA 20191-4344 USA</t>
  </si>
  <si>
    <t>978-1-62410-711-5</t>
  </si>
  <si>
    <t>Engineering, Aerospace; Engineering, Mechanical; Mechanics</t>
  </si>
  <si>
    <t>Engineering; Mechanics</t>
  </si>
  <si>
    <t>BY1TB</t>
  </si>
  <si>
    <t>WOS:001375995202041</t>
  </si>
  <si>
    <t>Szydlo, T; Brzoza-Woch, R; Konieczny, M</t>
  </si>
  <si>
    <t>Szydlo, Tomasz; Brzoza-Woch, Robert; Konieczny, Marek</t>
  </si>
  <si>
    <t>The Copernicus IoT platform: Teaching IoT at Computer Science case study</t>
  </si>
  <si>
    <t>IFAC PAPERSONLINE</t>
  </si>
  <si>
    <t>15th IFAC/IEEE Conference on Programmable Devices and Embedded Systems (PDeS)</t>
  </si>
  <si>
    <t>MAY 23-25, 2018</t>
  </si>
  <si>
    <t>Ostrawa, CZECH REPUBLIC</t>
  </si>
  <si>
    <t>Int Federat Automat Control, Tech Comm 3 1 Comp Control,Inst Elect &amp; Elect Engineers, Czechoslovakia Sect,Tech Univ Ostrava, Fac Elect Engn &amp; Comp Sci, Dept Cybernet &amp; Biomed Engn,Brno Univ Technol, Fac Elect Engn &amp; Commun, Dept Control &amp; Instrumentat,Silesian Tech Univ, Inst Elect,Slovak Univ Technol, Inst Appl Informat, Automat &amp; Mechatron,IEEE</t>
  </si>
  <si>
    <t>Internet of Things; IoT platform; Computer Science</t>
  </si>
  <si>
    <t>DEVICES</t>
  </si>
  <si>
    <t>Due to he complexity of the Internet of Things systems, embedded devices require complex hardware, usually composed of various microprocessors communicating with each other. This calls for deep understanding of communication protocols and features offered by various components for designers and programmers alike. Unfortunately, the available hardware platforms for prototyping IoT devices are not adapted to such complex design and do not tackle these aspects. In the paper we propose the Copernicus board, composed of two different microprocessors, focusing on the software aspects of IoT device design. The device is used in the Introduction to IoT course which is part of the Computer Science curriculum at AGH University of Science and Technology. At the end of the paper we summarize student interest in the course, in the form of statistics. (C) 2018, IFAC (International Federation of Automatic Control) Hosting by Elsevier Ltd. All rights reserved.</t>
  </si>
  <si>
    <t>[Szydlo, Tomasz; Brzoza-Woch, Robert; Konieczny, Marek] AGH Univ Sci &amp; Technol, Dept Comp Sci, Mickiewicza 30, PL-30059 Krakow, Poland</t>
  </si>
  <si>
    <t>AGH University of Krakow</t>
  </si>
  <si>
    <t>Szydlo, T (corresponding author), AGH Univ Sci &amp; Technol, Dept Comp Sci, Mickiewicza 30, PL-30059 Krakow, Poland.</t>
  </si>
  <si>
    <t>tomasz.szydlo@agh.edu.pl; robert.brzoza@agh.edu.pl; marek.konieczny@agh.edu.pl</t>
  </si>
  <si>
    <t>Konieczny, Marek/CAJ-5610-2022; Szydlo, Tomasz/J-9319-2012</t>
  </si>
  <si>
    <t>Konieczny, Marek/0000-0002-1167-8568; Szydlo, Tomasz/0000-0003-4101-2115</t>
  </si>
  <si>
    <t>Polish Ministry of Science and Higher Education under AGH University of Science and Technology [11.11.230.337]</t>
  </si>
  <si>
    <t>Polish Ministry of Science and Higher Education under AGH University of Science and Technology</t>
  </si>
  <si>
    <t>The research presented in this paper was partially supported by the Polish Ministry of Science and Higher Education under AGH University of Science and Technology Grant 11.11.230.337 (statutory project).</t>
  </si>
  <si>
    <t>PO BOX 211, 1000 AE AMSTERDAM, NETHERLANDS</t>
  </si>
  <si>
    <t>2405-8963</t>
  </si>
  <si>
    <t>10.1016/j.ifacol.2018.07.144</t>
  </si>
  <si>
    <t>GU9DM</t>
  </si>
  <si>
    <t>WOS:000445644900025</t>
  </si>
  <si>
    <t>Song, Y; Cui, WW; Liu, SX; Wang, KS</t>
  </si>
  <si>
    <t>Song, Yang; Cui, Weiwei; Liu, Shixia; Wang, Kuansan</t>
  </si>
  <si>
    <t>Online Behavioral Genome Sequencing from Usage Logs: Decoding the Search Behaviors</t>
  </si>
  <si>
    <t>Search task identification; user behavior modeling; personalization</t>
  </si>
  <si>
    <t>We present a system to analyze user interests by analyzing their online behaviors from large-scale usage logs. We surmise that user interests can be characterized by a large collection of features we call the behavioral genes that can be deduced from both their explicit and implicit online behaviors. It is the goal of this research to sequence the entire behavioral genome for online population, namely, to identify the pertinent behavioral genes and uncover their relationships in explaining and predicting user behaviors, so that high quality user profiles can he created and the online services can be better customized using these profiles. Within the scope of this paper, we demonstrate, the work using the partial genome derived from web search logs. Our demo system is supported by an open access web service we are releasing and sharing with the research community. The main functions of the web service are: (1) calculating query similarities based on their lexical, temporal and semantic scores, (2) clustering a group of user queries into tasks with the same search and browse intent, and (3) inferring user topical interests by providing a probability distribution over a search taxonomy.</t>
  </si>
  <si>
    <t>[Song, Yang; Cui, Weiwei; Liu, Shixia; Wang, Kuansan] Microsoft Res, Redmond, WA 98052 USA</t>
  </si>
  <si>
    <t>Song, Y (corresponding author), Microsoft Res, Redmond, WA 98052 USA.</t>
  </si>
  <si>
    <t>yangsong@microsoft.com; weiweicu@microsoft.com; shliu@microsoft.com; kuansanw@microsoft.com</t>
  </si>
  <si>
    <t>Liu, Shixia/0000-0003-4499-6420</t>
  </si>
  <si>
    <t>10.1145/2567948.2577015</t>
  </si>
  <si>
    <t>WOS:000455947000017</t>
  </si>
  <si>
    <t>Sheridan, SL; Felix, K; Pignone, MP; Lewis, CL</t>
  </si>
  <si>
    <t>Information needs of men regarding prostate cancer screening and the effect of a brief decision aid</t>
  </si>
  <si>
    <t>PATIENT EDUCATION AND COUNSELING</t>
  </si>
  <si>
    <t>Bi-Annual Meeting of the European-Association-for-Communication-in-Healthcare (EACH)</t>
  </si>
  <si>
    <t>SEP 14-17, 2004</t>
  </si>
  <si>
    <t>Bruges, BELGIUM</t>
  </si>
  <si>
    <t>European Assoc Commun Healthcare</t>
  </si>
  <si>
    <t>prostate cancer screening; decision-making; patient participation</t>
  </si>
  <si>
    <t>INFORMED-CONSENT; ANTIGEN; MEDICINE</t>
  </si>
  <si>
    <t>Background: Little is known about what information affects men's decisions about prostate cancer screening. Methods: We developed a four-part decision aid about prostate cancer screening and tested it in men, ages 45-85, to determine how the information in each part-(1) the epidemiology of prostate cancer; (2) the PSA test; (3) prostate biopsy and treatment options for prostate cancer; and (4) balance sheets to aid decision-making-affected men's interest in screening. Results: One hundred eighty-eight men from one general internal medicine clinic participated in our study (response rate 65%). Before the decision aid, 76% were interested in screening; 8% were not; and 16% were undecided. The decision aid increased the proportion of men who knew the advantages (+28%; 95% CI: 21-35) and disadvantages (+55%; 95% CI: 48-63%) of screening. It also increased the proportion who knew enough to make a decision (+24; 95% CI: 16-32%). It did not change mens' interest in screening (P = 0.134). Twenty percent of men, however, did change their interest category. Men who were undecided at baseline were more likely to change than those who were interested or not interested. There were no clinically meaningful changes in interest following each component part of the decision aid. Conclusion: Interest in prostate cancer screening is high and remained high after a 10 min decision aid. The decision aid increased the proportion of men with sufficient information to decide about screening. It also changed 20% of men's interest in screening. Because no single piece of information was influential to decision-making in all men, clinicians may want to tailor information to men's individual needs. (C) 2004 Elsevier Ireland Ltd. All rights reserved.</t>
  </si>
  <si>
    <t>Univ N Carolina, Div Gen Med &amp; Epidemiol, Chapel Hill, NC 27599 USA</t>
  </si>
  <si>
    <t>University of North Carolina; University of North Carolina Chapel Hill</t>
  </si>
  <si>
    <t>Sheridan, SL (corresponding author), Univ N Carolina, Div Gen Med &amp; Epidemiol, 5039 Old Clin Bldg,CB 7110, Chapel Hill, NC 27599 USA.</t>
  </si>
  <si>
    <t>ssherida@email.unc.edu</t>
  </si>
  <si>
    <t>; K, Thomas/KVY-2756-2024</t>
  </si>
  <si>
    <t>Pignone, Michael/0000-0002-6657-7342;</t>
  </si>
  <si>
    <t>BHP HRSA HHS [PE 14001-14] Funding Source: Medline</t>
  </si>
  <si>
    <t>BHP HRSA HHS</t>
  </si>
  <si>
    <t>ELSEVIER SCI IRELAND LTD</t>
  </si>
  <si>
    <t>CLARE</t>
  </si>
  <si>
    <t>CUSTOMER RELATIONS MANAGER, BAY 15, SHANNON INDUSTRIAL ESTATE CO, CLARE, IRELAND</t>
  </si>
  <si>
    <t>0738-3991</t>
  </si>
  <si>
    <t>PATIENT EDUC COUNS</t>
  </si>
  <si>
    <t>Patient Educ. Couns.</t>
  </si>
  <si>
    <t>10.1016/j.pec.2003.12.003</t>
  </si>
  <si>
    <t>Public, Environmental &amp; Occupational Health; Social Sciences, Interdisciplinary</t>
  </si>
  <si>
    <t>Conference Proceedings Citation Index - Science (CPCI-S); Conference Proceedings Citation Index - Social Science &amp; Humanities (CPCI-SSH); Science Citation Index Expanded (SCI-EXPANDED); Social Science Citation Index (SSCI)</t>
  </si>
  <si>
    <t>Public, Environmental &amp; Occupational Health; Social Sciences - Other Topics</t>
  </si>
  <si>
    <t>854AK</t>
  </si>
  <si>
    <t>WOS:000223872100013</t>
  </si>
  <si>
    <t>Khusumanegara, P; Mafrur, R; Choi, D</t>
  </si>
  <si>
    <t>Khalil, I; Neuhold, E; Tjoa, AM; DaXu, L; You, I</t>
  </si>
  <si>
    <t>Khusumanegara, Priagung; Mafrur, Rischan; Choi, Deokjai</t>
  </si>
  <si>
    <t>Profiler for Smartphone Users Interests Using Modified Hierarchical Agglomerative Clustering Algorithm Based on Browsing History</t>
  </si>
  <si>
    <t>INFORMATION AND COMMUNICATION TECHNOLOGY</t>
  </si>
  <si>
    <t>3rd IFIP TC 5/8 Information and Communication Technology-EurAsia Conf / 9th IFIP WG 8.9 Int Working Conf on Research and Practical Issues of Enterprise Information Systems</t>
  </si>
  <si>
    <t>OCT 04-07, 2015</t>
  </si>
  <si>
    <t>Int Federat Informat Proc TC 5 8,Int Federat Informat Proc WG 8 9</t>
  </si>
  <si>
    <t>Smartphone; User interests; Modified Hierarchical Agglomerative Clustering</t>
  </si>
  <si>
    <t>Nowadays, smartphone has been a life style for many people in the world and it has become an indispensable part of their live. Smartphone provides many applications to support human activity which one of the applications is web browser applications. People spend much time on browsing activity for finding useful information that they are interested on it. It is not easy to find the particular pieces of information that they interested on it. In this paper, user-profiler is presented as way of providing smartphone users with their interest based on their browsing history. In this study, we propose a Modified Hierarchical Agglomerative Clustering algorithm that uses filtering category groups on a server-based application to aid provides smartphone user profile for interests-focused based on browsing history automatically. Based on experimental results, the proposed algorithm can measure degree of smartphone user interest based on browsing history of web browser applications, provides smartphone users interests profile and also outperforms the C4.5 algorithm in execution time on all memory utilization.</t>
  </si>
  <si>
    <t>[Khusumanegara, Priagung; Mafrur, Rischan; Choi, Deokjai] Chonnam Natl Univ, Dept Elect &amp; Comp Engn, Gwangju, South Korea</t>
  </si>
  <si>
    <t>Chonnam National University</t>
  </si>
  <si>
    <t>Choi, D (corresponding author), Chonnam Natl Univ, Dept Elect &amp; Comp Engn, 77 Yongbong Ro, Gwangju, South Korea.</t>
  </si>
  <si>
    <t>priagung.123@gmail.com; rischanlab@gmail.com; dchoi@cnu.ac.kr</t>
  </si>
  <si>
    <t>Mafrur, Rischan/R-6262-2017</t>
  </si>
  <si>
    <t>Mafrur, Rischan/0000-0003-4424-3736</t>
  </si>
  <si>
    <t>978-3-319-24315-3; 978-3-319-24314-6</t>
  </si>
  <si>
    <t>10.1007/978-3-319-24315-3_9</t>
  </si>
  <si>
    <t>BE0KG</t>
  </si>
  <si>
    <t>WOS:000366189100009</t>
  </si>
  <si>
    <t>Prakash, M; Pabitha, P</t>
  </si>
  <si>
    <t>Prakash, M.; Pabitha, P.</t>
  </si>
  <si>
    <t>An Efficient Recommender System Using Collaborative Correlation Methodology</t>
  </si>
  <si>
    <t>PROCEEDINGS OF THE INTERNATIONAL CONFERENCE ON INTELLIGENT COMPUTING AND CONTROL SYSTEMS (ICICCS 2020)</t>
  </si>
  <si>
    <t>International Conference on Intelligent Computing and Control Systems (ICICCS)</t>
  </si>
  <si>
    <t>MAY 13-15, 2020</t>
  </si>
  <si>
    <t>Anna Univ, Vaigai Coll Engn, Madurai, INDIA</t>
  </si>
  <si>
    <t>Anna Univ, Vaigai Coll Engn</t>
  </si>
  <si>
    <t>Recommendation systems; collaborative filtering; correlation; tweepy; machine learning; decision tree</t>
  </si>
  <si>
    <t>Recommendation engines are the insights of every frontline application. They are working as the ideologists in determining the data to be shown for each specific user with respective of their interested categories. Current recommendation systems provide insights determining user interests but with a drawback of more amount of time taken for a recommendation, involving large user data to determine the user categories, also at some point of time giving the recommendations out of boundaries and also considering the domain of the user interest which is very vast. The proposed Collaborative Correlative Filtering (CCF) methodology involves the powerful integration of collaborative filtering with correlation factors. The combinatory method improves recommendation and improvises the existing system with a recommendation system involving the least amount of data, less space, and least domain specificity. The efficiency of the system is measured by metrics such as precision, recall, and F1-score to determine how relevant the data has been given by the proposed recommendation system.</t>
  </si>
  <si>
    <t>[Prakash, M.] Mitosis Technol, Dept Artificial Intelligence, Chennai, Tamil Nadu, India; [Pabitha, P.] Anna Univ, Dept Comp Technol, Chennai, Tamil Nadu, India</t>
  </si>
  <si>
    <t>Prakash, M (corresponding author), Mitosis Technol, Dept Artificial Intelligence, Chennai, Tamil Nadu, India.</t>
  </si>
  <si>
    <t>prakashmathialagan@gmail.com; pabithap@gmail.com</t>
  </si>
  <si>
    <t>M, Prakash/LTF-4432-2024; P, Pabitha/AHD-5145-2022</t>
  </si>
  <si>
    <t>M, Prakash/0000-0002-3937-9447; P, Pabitha/0000-0002-6321-9486</t>
  </si>
  <si>
    <t>978-1-7281-4876-2</t>
  </si>
  <si>
    <t>10.1109/iciccs48265.2020.9121012</t>
  </si>
  <si>
    <t>Automation &amp; Control Systems; Computer Science, Artificial Intelligence; Computer Science, Theory &amp; Methods</t>
  </si>
  <si>
    <t>BQ5ZQ</t>
  </si>
  <si>
    <t>WOS:000609825100164</t>
  </si>
  <si>
    <t>Rajan, PK</t>
  </si>
  <si>
    <t>Rajan, Packiaraj Kasi</t>
  </si>
  <si>
    <t>PRIVACY-PRESERVING ON-DEVICE AI FOR PERSONALIZED MOBILE VIDEO ADVERTISING</t>
  </si>
  <si>
    <t>SOUTHEASTCON 2026</t>
  </si>
  <si>
    <t>IEEE SoutheastCon-Proceedings</t>
  </si>
  <si>
    <t>2026 SoutheastCon</t>
  </si>
  <si>
    <t>FEB 20-MAR 15, 2026</t>
  </si>
  <si>
    <t>Huntsville, AL</t>
  </si>
  <si>
    <t>on-device machine learning; mobile video advertising; privacy-preserving personalization; edge intelligence; server-side ad insertion</t>
  </si>
  <si>
    <t>Personalized digital video advertising is widely used to improve user engagement and monetization in mobile streaming applications. However, most existing personalization systems rely on server-side processing that requires transmitting persistent user identifiers and behavioral data to centralized backends. This approach introduces significant privacy risks, regulatory compliance challenges, and scalability concerns. This paper proposes a privacy-preserving personalized video advertising framework based on on-device machine learning. User interaction signals are processed locally on the mobile device to infer coarse-grained interest categories without collecting or transmitting personally identifiable information. During advertisement requests, only abstracted and short-lived category signals are shared with the backend ad decision or server-side ad insertion pipeline. No persistent identifiers, raw behavioral data, or cross-session tracking information are exposed. The proposed architecture emphasizes deployability under mobile resource constraints through lightweight machine learning models and asynchronous inference. Experimental evaluation using realistic simulated workloads demonstrates that the on-device approach significantly improves advertisement relevance compared to non-personalized delivery while achieving performance comparable to traditional server-side personalization. At the same time, the framework substantially reduces privacy exposure and backend processing overhead. These results indicate that effective personalization and strong privacy guarantees can be jointly achieved through edge intelligence in mobile advertising systems.</t>
  </si>
  <si>
    <t>reachpackiarajk@gmail.com</t>
  </si>
  <si>
    <t>1091-0050</t>
  </si>
  <si>
    <t>979-8-3315-4643-4; 979-8-3315-4642-7</t>
  </si>
  <si>
    <t>IEEE SOUTHEASTCON</t>
  </si>
  <si>
    <t>10.1109/SOUTHEASTCON63549.2026.11476180</t>
  </si>
  <si>
    <t>Computer Science, Artificial Intelligence; Computer Science, Software Engineering; Computer Science, Theory &amp; Methods; Engineering, Electrical &amp; Electronic</t>
  </si>
  <si>
    <t>BA9ZJ</t>
  </si>
  <si>
    <t>WOS:001832498200139</t>
  </si>
  <si>
    <t>Polemis, E; Dimou, DM; Fryssouli, V; Zervakis, GI</t>
  </si>
  <si>
    <t>Polemis, Elias; Dimou, Dimitrios M.; Fryssouli, Vassiliki; Zervakis, Georgios I.</t>
  </si>
  <si>
    <t>Diversity of saproxylic basidiomycetes in Quercus ilex woodlands of central and insular Greece</t>
  </si>
  <si>
    <t>PLANT BIOSYSTEMS</t>
  </si>
  <si>
    <t>conservation; Fomitiporia; holm oak; mushroom diversity; Mediterranean; Quercus ilex; wood decay; wood-rot macrofungi</t>
  </si>
  <si>
    <t>SUBCLASS AGARICOMYCETIDAE; MACROFUNGI; FUNGI; MYCODIVERSITY; ECOSYSTEMS; ISLANDS; FORESTS; HYMENOCHAETACEAE; COMBINATIONS; BIODIVERSITY</t>
  </si>
  <si>
    <t>The sclerophyllous forests of Quercus ilex (holm oak) possess a unique position in earth's biosphere, existing only in countries of the Mediterranean basin. However, very little information exists about mushrooms associated with holm oak in east Mediterranean, including Greece, where Q. ilex appears mostly in relict forests and fragmented stands. A pertinent long-term investigation was undertaken in selected Q. ilex dominated habitats of Crete, Andros, Naxos and Ikaria islands (Aegean Archipelago) as well as in mountains of Attica. Specimens of xylotrophic basidiomycetes were collected and identified. As a result, 74 species were recorded; among them Hemimycena cephalotricha, Hyphoderma cremeoalbum, Hyphodontia radula, Irpex litschaueri, Mycena algeriensis, Phanerochaete martelliana, Phloeomana alba and Phlebia unica constitute new records for the Greek mycobiota, while 68 species are reported for the first time on Q. ilex in Greece. Moreover, the presence of Fomitiporia mediterranea on this host was evidenced through ITS sequencing, and comments are made about its relationship to F. punctata and F. pseudopunctata. The importance of findings is discussed in conjunction with their environmental value; five species could be assigned in the Species of Special Interest categories, and other five polypores are proposed as suitable indicators for Q. ilex habitat assessment and conservation.</t>
  </si>
  <si>
    <t>[Polemis, Elias; Dimou, Dimitrios M.; Fryssouli, Vassiliki; Zervakis, Georgios I.] Agr Univ Athens, Lab Gen &amp; Agr Microbiol, Athens, Greece; [Dimou, Dimitrios M.] Korytsas 10, Aghia Paraskevi, Greece</t>
  </si>
  <si>
    <t>Agricultural University of Athens</t>
  </si>
  <si>
    <t>Zervakis, GI (corresponding author), Agr Univ Athens, Lab Gen &amp; Agr Microbiol, Athens, Greece.</t>
  </si>
  <si>
    <t>zervakis@aua.gr</t>
  </si>
  <si>
    <t>Zervakis, Georgios/LDF-2773-2024; Fryssouli, Vassiliki/LSL-0770-2024</t>
  </si>
  <si>
    <t>Zervakis, Georgios/0000-0002-2892-098X; Polemis, Elias/0000-0002-2728-7350; Fryssouli, Vassiliki/0000-0002-8981-6748;</t>
  </si>
  <si>
    <t>European Union (European Social Fund - ESF); Greek national funds [THALIS - UOA - MIS 377062, IKY - MIS 5001552]</t>
  </si>
  <si>
    <t>European Union (European Social Fund - ESF)(European Union (EU)European Social Fund (ESF)); Greek national funds(General Secretariat for Research &amp; Technology)</t>
  </si>
  <si>
    <t>This work was supported by the European Union (European Social Fund - ESF) and Greek national funds [grant numbers THALIS - UOA - MIS 377062 and IKY - MIS 5001552].</t>
  </si>
  <si>
    <t>1126-3504</t>
  </si>
  <si>
    <t>1724-5575</t>
  </si>
  <si>
    <t>PLANT BIOSYST</t>
  </si>
  <si>
    <t>Plant Biosyst.</t>
  </si>
  <si>
    <t>MAY 4</t>
  </si>
  <si>
    <t>10.1080/11263504.2018.1492991</t>
  </si>
  <si>
    <t>Plant Sciences</t>
  </si>
  <si>
    <t>IC9OS</t>
  </si>
  <si>
    <t>WOS:000471313700007</t>
  </si>
  <si>
    <t>Xu, ZX; Chen, L; Dai, YM; Chen, GC</t>
  </si>
  <si>
    <t>Xu, Zhenxing; Chen, Ling; Dai, Yimeng; Chen, Gencai</t>
  </si>
  <si>
    <t>A Dynamic Topic Model and Matrix Factorization-Based Travel Recommendation Method Exploiting Ubiquitous Data</t>
  </si>
  <si>
    <t>Dynamic topic model (DTM); geotagged photo; travel recommendation</t>
  </si>
  <si>
    <t>The vast volumes of community-contributed geotagged photos (CCGPs) available on the Web can be utilized to make travel location recommendations. The sparsity of user location interactions makes it difficult to learn travel preferences, because a user usually visits only a limited number of travel locations. Static topic models can be used to solve the sparsity problem by considering user travel topics. However, all travel histories of a user are regarded as one document drawn from a set of static topics, ignoring the evolving of topics and travel preferences. In this paper, we propose a dynamic topic model (DTM) and matrix factorization (MF)-based travel recommendation method. A DTM is used to obtain the temporally fine-grained topic distributions (i.e., implicit topic information) of users and locations. In addition, a large amount of explicit information is extracted from the metadata and visual contents of CCGPs, check-ins, and point of interest categories datasets. The information is used to obtain user-user and location-location similarity information, which is imposed as two regularization terms to constraint MF. The proposed method is evaluated on a publicly available Flickr dataset. Experimental results demonstrate that the proposed method can generate significantly superior recommendations compared to other state-of-the-art travel location recommendation studies.</t>
  </si>
  <si>
    <t>[Xu, Zhenxing; Chen, Ling; Chen, Gencai] Zhejiang Univ, Coll Comp Sci, Hangzhou 310027, Zhejiang, Peoples R China; [Dai, Yimeng] Univ Melbourne, Sch Comp &amp; Informat Syst, Melbourne, Vic 3010, Australia</t>
  </si>
  <si>
    <t>Zhejiang University; University of Melbourne</t>
  </si>
  <si>
    <t>Chen, L (corresponding author), Zhejiang Univ, Coll Comp Sci, Hangzhou 310027, Zhejiang, Peoples R China.</t>
  </si>
  <si>
    <t>xuzhenx-ing2010@163.com; lingchen@zju.edu.cn; yimengd@student.unimelb.edu.au; chengc@zju.edu.cn</t>
  </si>
  <si>
    <t>Ministry of Industry and Information Technology of China [2010ZX01042-002-003-001]; China Knowledge Centre for Engineering Sciences and Technology [CKCEST-2014-1-5]; National Natural Science Foundation of China [60703040, 61332017]; Science and Technology Department of Zhejiang Province [2011C13042, 2015C33002]</t>
  </si>
  <si>
    <t>Ministry of Industry and Information Technology of China; China Knowledge Centre for Engineering Sciences and Technology; National Natural Science Foundation of China(National Natural Science Foundation of China (NSFC)); Science and Technology Department of Zhejiang Province</t>
  </si>
  <si>
    <t>This work was supported in part by the Ministry of Industry and Information Technology of China under Grant 2010ZX01042-002-003-001, in part by the China Knowledge Centre for Engineering Sciences and Technology under Grant CKCEST-2014-1-5, in part by the National Natural Science Foundation of China under Grant 60703040 and Grant 61332017, and in part by the Science and Technology Department of Zhejiang Province under Grant 2011C13042 and Grant 2015C33002. The associate editor coordinating the review of this manuscript and approving it for publication was Prof. Marco Bertini. (Corresponding author: Ling Chen.)</t>
  </si>
  <si>
    <t>10.1109/TMM.2017.2688928</t>
  </si>
  <si>
    <t>FH5VV</t>
  </si>
  <si>
    <t>WOS:000411240400020</t>
  </si>
  <si>
    <t>Yuan, JL; Yu, Y; Xiao, X; Li, XY</t>
  </si>
  <si>
    <t>Yuan, Jing-Ling; Yu, Yang; Xiao, Xuan; Li, Xiao-Yan</t>
  </si>
  <si>
    <t>SVM Based Classification Mapping for User Navigation</t>
  </si>
  <si>
    <t>In order to implement active service, a kind of user navigation based on Support Vector Machine (SVM) classification was proposed which solved many traditional problems such as lack of rules and adaptability and so on. Especially, this paper completed a dual classified coordination between user attribute classification and SVM user classification using mapping matrix. In our SVM based user navigation, we first regard User interest Set as input, then apply the SVM classifier to sort out users on the basis of their interests or attributes, and what is more, combine the merit that user attributes classification promise better service being offered to users whose using frequency is not high, a dual-classified collaborating navigation between user attribute classification, and SVM user classification by using mapping matrix is being proposed. We use the mapping method to mix their advantages of common classification methods which lead them to collaborate and to provide the new and old custom with navigation. Using Classification T to statistic the latest and the most frequently used demands of each user type, then applying a mapping from user attribute class (A) to user interest class (T) with the purpose to judge what kind of user type in Classification T has the most possibility the user might belong, to and then to provide the user with the latest services according to their interests. From the experiments, the fitting degree of A and T classification and the true personality of users are derived by tracking the demand of 50 users. We can see that with the increase of frequency in use, the matching degree between Users Attribute Classification (A) and real types of user are essentially the same, and User Personalized Classification (T) is gradually reaching saturation. Regarding the certain point as a dividing line, after using classification mapping, the user's true extent of matching has a broader applicability. SVM have excellent generalization performance and minimum structural risk, which is a good machine learning method that elicits objective regulation from complex statistical dates. So we have improved the user model of active service navigation system and user navigation combined with User Attribute Classification A and SVM User Interest Classification T by mapping matrix. Classification A and T using mapping matrix to bounding them can satisfy the requirement of a different user. The records in the Classified Statistic Library can provide feedback date and research information for further study between a personalized user and user attribute.</t>
  </si>
  <si>
    <t>[Yuan, Jing-Ling; Yu, Yang; Xiao, Xuan; Li, Xiao-Yan] Wuhan Univ Technol, Sch Comp Sci &amp; Technol, Wuhan 430070, Hubei, Peoples R China</t>
  </si>
  <si>
    <t>Yuan, JL (corresponding author), Wuhan Univ Technol, Sch Comp Sci &amp; Technol, Wuhan 430070, Hubei, Peoples R China.</t>
  </si>
  <si>
    <t>yjl@whut.edu.cn</t>
  </si>
  <si>
    <t>PII 908295359</t>
  </si>
  <si>
    <t>10.1080/15501320802523955</t>
  </si>
  <si>
    <t>431ZR</t>
  </si>
  <si>
    <t>WOS:000265103800031</t>
  </si>
  <si>
    <t>ElShaweesh, O; Hussain, FK; Lu, HY; Al-Hassan, M; Kharazmi, S</t>
  </si>
  <si>
    <t>ElShaweesh, Omar; Hussain, Farookh Khadeer; Lu, Haiyan; Al-Hassan, Malak; Kharazmi, Sadegh</t>
  </si>
  <si>
    <t>Personalized Web Search Based on Ontological User Profile in Transportation Domain</t>
  </si>
  <si>
    <t>NEURAL INFORMATION PROCESSING (ICONIP 2017), PT IV</t>
  </si>
  <si>
    <t>Fuzzy; Personalization; Ontology; Web search; User profile</t>
  </si>
  <si>
    <t>Current conventional search engines deliver similar results to all users for the same query. Because of the variety of user interests and preferences, personalized search engines, based on semantics, hold the promise of providing more efficient information that better reflects users' needs. The main feature of building a personalized web search is to represent user interests in terms of user profiles. This paper proposes a personalized search approach using an ontology-based user profile. The aim of this approach is to build user profiles based on user browsing behavior and semantic knowledge of specific domain ontology to enhance the quality of the search results. The proposed approach utilizes a re-ranked algorithm to sort the results returned by the search engine to provide a search result that best relates to the user query. This algorithm evaluates the similarity between a user query, the retrieved search results and the ontological concepts. This similarity is computed by taking into account a user's explicit browsing behavior, semantic knowledge of concepts, and synonyms of term-based vectors extracted from the WordNet API. A set of experiments using a case study from a transport service domain validates the effectiveness of the proposed approach and demonstrates promising results.</t>
  </si>
  <si>
    <t>[ElShaweesh, Omar; Hussain, Farookh Khadeer; Lu, Haiyan] Univ Technol, Sydney, NSW, Australia; [Al-Hassan, Malak] Univ Jordan, Amman, Jordan; [Kharazmi, Sadegh] Redbubble, Melbourne, Vic, Australia</t>
  </si>
  <si>
    <t>University of Technology Sydney; University of Jordan</t>
  </si>
  <si>
    <t>ElShaweesh, O (corresponding author), Univ Technol, Sydney, NSW, Australia.</t>
  </si>
  <si>
    <t>omar.g.elshaweesh@student.uts.edu.au</t>
  </si>
  <si>
    <t>Lu, Hai Yan/T-8426-2019; /T-9506-2019</t>
  </si>
  <si>
    <t>Lu, Hai Yan/0000-0001-5655-0237;</t>
  </si>
  <si>
    <t>978-3-319-70093-9; 978-3-319-70092-2</t>
  </si>
  <si>
    <t>10.1007/978-3-319-70093-9_25</t>
  </si>
  <si>
    <t>BQ1XT</t>
  </si>
  <si>
    <t>WOS:000578258900025</t>
  </si>
  <si>
    <t>Naudet, Y; Aghasaryan, A; Toms, Y; Senot, C</t>
  </si>
  <si>
    <t>Mylonas, P; Wallace, M; Angelides, M</t>
  </si>
  <si>
    <t>Naudet, Yannick; Aghasaryan, Armen; Toms, Yann; Senot, Christophe</t>
  </si>
  <si>
    <t>An Ontology-based Profiling and Recommending System for Mobile TV</t>
  </si>
  <si>
    <t>THIRD INTERNATIONAL WORKSHOP ON SEMANTIC MEDIA ADAPTATION AND PERSONALIZATION, PROCEEDINGS</t>
  </si>
  <si>
    <t>3rd International Workshop on Semantic Media Adaptation and Personalization (SMAP 2008)</t>
  </si>
  <si>
    <t>DEC 15-16, 2008</t>
  </si>
  <si>
    <t>CD Telematika,IEEE Computat Intelligence Soc,Slovak Univ Technol,Univ Ostrava</t>
  </si>
  <si>
    <t>We present here a recommending system that has been developed for filtering TV content provided to mobile devices users. This recommender is fully based on ontologies, which are used to formalize both the user and her/his interests, and the audiovisual content. The developed ontologies allow matchmaking between user and content at different levels, based on three means to define user interests: according to categories, content description, or any combination of concepts defined in an ontology. The computation of user profiles relies on both explicit and implicit profiling, based on incremental learning of interest degrees from content usage.</t>
  </si>
  <si>
    <t>[Naudet, Yannick] Ctr IT Innovat, Publ Res Ctr Henri Tudor, Luxembourg, Luxembourg; [Aghasaryan, Armen; Toms, Yann; Senot, Christophe] Alcatel Lucent, Paris, France</t>
  </si>
  <si>
    <t>Alcatel-Lucent</t>
  </si>
  <si>
    <t>Naudet, Y (corresponding author), Ctr IT Innovat, Publ Res Ctr Henri Tudor, Luxembourg, Luxembourg.</t>
  </si>
  <si>
    <t>yannick.naudet@tudor.lu; Armen.Aghasaryan@alcatel-lucent.com; Yann.Toms@alcatel-lucent.com; Christophe.Senot@alcatel-lucent.com</t>
  </si>
  <si>
    <t>Naudet, Yannick/0000-0001-8570-9200</t>
  </si>
  <si>
    <t>EUREKA Celtic initiative</t>
  </si>
  <si>
    <t>Project partially funded by EUREKA Celtic initiative.</t>
  </si>
  <si>
    <t>978-0-7695-3444-2</t>
  </si>
  <si>
    <t>10.1109/SMAP.2008.9</t>
  </si>
  <si>
    <t>Computer Science, Hardware &amp; Architecture; Computer Science, Information Systems; Computer Science, Theory &amp; Methods; Engineering, Electrical &amp; Electronic; Telecommunications</t>
  </si>
  <si>
    <t>BIY63</t>
  </si>
  <si>
    <t>WOS:000263714200016</t>
  </si>
  <si>
    <t>Cateté, V; Wassell, K; Barnes, T</t>
  </si>
  <si>
    <t>Dougherty, J; Nagel, K; Decker, A; Eiselt, K</t>
  </si>
  <si>
    <t>Catete, Veronica; Wassell, Kathleen; Barnes, Tiffany</t>
  </si>
  <si>
    <t>Use and Development of Entertainment Technologies in After School STEM Program</t>
  </si>
  <si>
    <t>PROCEEDINGS OF THE 45TH ACM TECHNICAL SYMPOSIUM ON COMPUTER SCIENCE EDUCATION (SIGCSE'14)</t>
  </si>
  <si>
    <t>45th ACM SIGCSE Technical Symposium on Computer Science Education (SIGCSE)</t>
  </si>
  <si>
    <t>MAR 05-08, 2014</t>
  </si>
  <si>
    <t>Assoc Comp Machinery,ACM Special Interest Grp Comp Sci Educ</t>
  </si>
  <si>
    <t>CS Education; SPARCS outreach; curriculum; games; mobile applications</t>
  </si>
  <si>
    <t>This design research paper examines the implementation and curriculum changes of an after school computer science program that promotes computational thinking to middle school students. The program, Students in Programming, Robotics, and Computer Science (SPARCS), can adapt to different presentation environments, such as independent after school sessions or a semester-long apprenticeship program. We trace one implementation of the program through the initial deployment, the development of infrastructure, and a reorganization of content to address student interests. We found that student attrition dropped and the average session enjoyment increased when our sessions integrated consumer technologies such as mobile applications, video games, and the Minecraft computer game. In this paper, we provide readers a framework for running computing outreach activities around similar consumer technologies.</t>
  </si>
  <si>
    <t>[Catete, Veronica; Wassell, Kathleen; Barnes, Tiffany] North Carolina State Univ, 890 Oval Dr, Raleigh, NC 27695 USA</t>
  </si>
  <si>
    <t>North Carolina State University</t>
  </si>
  <si>
    <t>Cateté, V (corresponding author), North Carolina State Univ, 890 Oval Dr, Raleigh, NC 27695 USA.</t>
  </si>
  <si>
    <t>vmcatete@ncsu.edu; kmwassel@ncsu.edu; tmbarnes@ncsu.edu</t>
  </si>
  <si>
    <t>Catete, Veronica/KIL-0267-2024</t>
  </si>
  <si>
    <t>Catete, Veronica/0000-0002-7620-7708; Barnes, Tiffany/0000-0002-6500-9976</t>
  </si>
  <si>
    <t>National Science Foundation [1252376]; [NSF-CNS 0739216]; Direct For Education and Human Resources; Division Of Graduate Education [1252376] Funding Source: National Science Foundation</t>
  </si>
  <si>
    <t>National Science Foundation(National Science Foundation (NSF)); ; Direct For Education and Human Resources; Division Of Graduate Education(National Science Foundation (NSF)NSF - Directorate for STEM Education (EDU))</t>
  </si>
  <si>
    <t>The authors would like to thank the members of the STARS Alliance and our community and industry partners who have made SPARCS possible. This research was partially supported by Grant NSF-CNS 0739216. This material is based upon work supported under a National Science Foundation Graduate Research Fellowship 1252376. Any opinions, findings, and conclusions or recommendations expressed in this material are those of the authors and do not necessarily reflect the views of the National Science Foundation.</t>
  </si>
  <si>
    <t>978-1-4503-2605-6</t>
  </si>
  <si>
    <t>10.1145/2538862.2538952</t>
  </si>
  <si>
    <t>BO0ZI</t>
  </si>
  <si>
    <t>WOS:000494249100033</t>
  </si>
  <si>
    <t>Long, D; Rollins, S; Ali-Diaz, J; Hancock, K; Nuonsinoeun, S; Roberts, J; Magerko, B</t>
  </si>
  <si>
    <t>Long, Duri; Rollins, Sophie; Ali-Diaz, Jasmin; Hancock, Katherine; Nuonsinoeun, Samnang; Roberts, Jessica; Magerko, Brian</t>
  </si>
  <si>
    <t>Fostering AI Literacy with Embodiment &amp; Creativity: From Activity Boxes to Museum Exhibits</t>
  </si>
  <si>
    <t>22ND ANNUAL ACM INTERACTION DESIGN AND CHILDREN CONFERENCE, IDC 2023: Rediscovering Childhood</t>
  </si>
  <si>
    <t>22nd Annual ACM Interaction Design and Children Conference (IDC)</t>
  </si>
  <si>
    <t>JUN 19-SEP 22, 2023</t>
  </si>
  <si>
    <t>NW Univ, Ctr Comp Sci &amp; Learning Sci, Chicago, IL</t>
  </si>
  <si>
    <t>Assoc Comp Machinery,SIGCHI,Bennett Day Sch,Honda Res Inst JP,NW Sch Educ &amp; Social Policy,Meta,Foundry10,Lando,NW Ctr Human Comp Interact + Design,Apple,MIT Press,Eccentr Orbit</t>
  </si>
  <si>
    <t>NW Univ, Ctr Comp Sci &amp; Learning Sci</t>
  </si>
  <si>
    <t>informal learning; museum exhibit; AI literacy; at-home learning; prototyping; design research; tangible user interfaces; AI education</t>
  </si>
  <si>
    <t>Fostering young learners' literacy surrounding AI technologies is becoming increasingly important as AI is becoming integrated in many aspects of our lives and is having far-reaching impacts on society. We have developed Knowledge Net and Creature Features, two activity boxes for family groups to engage with in their homes that communicate AI literacy competencies such as understanding knowledge representations, the steps of machine learning, and AI ethics. Our current work is exploring how to transform these activity boxes into museum exhibits for middle-school age learners, focusing on three key considerations: centering learner interests, generating personally meaningful outputs, and incorporating embodiment and collaboration on a larger scale. Our demonstration will feature the existing Knowledge Net and Creature Features activity boxes alongside early-stage prototypes adapting these activities into larger-scale museum exhibits. This paper contributes an exploration into how to design AI literacy learning interventions for varied informal learning contexts.</t>
  </si>
  <si>
    <t>[Long, Duri] Northwestern Univ, Dept Commun Studies, Evanston, IL 60208 USA; [Rollins, Sophie; Ali-Diaz, Jasmin; Hancock, Katherine; Nuonsinoeun, Samnang] Northwestern Univ, Creat Interfaces Res Design Studio, Evanston, IL 60208 USA; [Roberts, Jessica] Georgia Inst Technol, Sch Interact Comp, Atlanta, GA 30332 USA; [Magerko, Brian] Georgia Inst Technol, Express Machinery Lab, Atlanta, GA 30332 USA</t>
  </si>
  <si>
    <t>Northwestern University; Northwestern University; University System of Georgia; Georgia Institute of Technology; University System of Georgia; Georgia Institute of Technology</t>
  </si>
  <si>
    <t>Long, D (corresponding author), Northwestern Univ, Dept Commun Studies, Evanston, IL 60208 USA.</t>
  </si>
  <si>
    <t>duri@northwestern.edu; sophierollins2023@u.northwestern.edu; jasminali-diaz2024@u.northwestern.edu; katherinehancock2024@u.northwestern.edu; samnang@u.northwestern.edu; magerko@gatech.edu</t>
  </si>
  <si>
    <t>; Long, Duri/PVC-8325-2026</t>
  </si>
  <si>
    <t>Hancock, Katherine/0009-0006-4737-1126; Rollins, Sophie/0009-0004-5481-4824; Ali-Diaz, Jasmin/0009-0004-4168-5330; Roberts, Jessica/0000-0002-5961-4686; Magerko, Brian/0000-0003-1900-4020; Long, Duri/0000-0001-7613-0029</t>
  </si>
  <si>
    <t>Museum of Science and Industry, Chicago; NSF [DRL 2214463]</t>
  </si>
  <si>
    <t>Museum of Science and Industry, Chicago; NSF(National Science Foundation (NSF))</t>
  </si>
  <si>
    <t>We would like to thank the Museum of Science and Industry, Chicago and the NSF (DRL 2214463).</t>
  </si>
  <si>
    <t>979-8-4007-0131-3</t>
  </si>
  <si>
    <t>10.1145/3585088.3594495</t>
  </si>
  <si>
    <t>BW1BS</t>
  </si>
  <si>
    <t>WOS:001103422700095</t>
  </si>
  <si>
    <t>Chen, XM; Zhou, X; Scherl, R; Geller, J</t>
  </si>
  <si>
    <t>Kambayashi, Y; Mohania, M; Woss, W</t>
  </si>
  <si>
    <t>Using an interest ontology for improved support in rule mining</t>
  </si>
  <si>
    <t>DATA WAREHOUSING AND KNOWLEDGE DISCOVERY, PROCEEDINGS</t>
  </si>
  <si>
    <t>5th International Conference on Data Warehousing and Knowledge Discovery (DaWaK 2003)</t>
  </si>
  <si>
    <t>SEP 03-05, 2003</t>
  </si>
  <si>
    <t>This paper describes the use of a concept hierarchy for improving the results of association rule mining. Given a large set of tuples with demographic information and personal interest information, association rules can be derived, that associate ages and gender with interests. However, there are two problems. Some data sets axe too sparse for coming up with rules with high support. Secondly, some data sets with abstract interests do not represent the actual interests well. To overcome these problems, we are preprocessing the data tuples using an ontology of interests. Thus, interests within tuples that axe very specific axe replaced by more general interests retrieved from the interest ontology. This results in many more tuples at a more general level. Feeding those tuples to an association rule miner results in rules that have better support and that better represent the reality.(3)</t>
  </si>
  <si>
    <t>New Jersey Inst Technol, CS Dept, Newark, NJ 07102 USA; Monmouth Univ, Long Branch, NJ 07764 USA</t>
  </si>
  <si>
    <t>New Jersey Institute of Technology; Monmouth University</t>
  </si>
  <si>
    <t>Geller, J (corresponding author), New Jersey Inst Technol, CS Dept, Newark, NJ 07102 USA.</t>
  </si>
  <si>
    <t>3-540-40807-X</t>
  </si>
  <si>
    <t>BX62P</t>
  </si>
  <si>
    <t>WOS:000185936500032</t>
  </si>
  <si>
    <t>Dinh, AH; Souchon, R; Melodelima, C; Bratan, F; Mège-Lechevallier, F; Colombel, M; Rouvière, O</t>
  </si>
  <si>
    <t>Dinh, A. Hoang; Souchon, R.; Melodelima, C.; Bratan, F.; Mege-Lechevallier, F.; Colombel, M.; Rouviere, O.</t>
  </si>
  <si>
    <t>Characterization of prostate cancer using T2 mapping at 3 T: A multi-scanner study</t>
  </si>
  <si>
    <t>DIAGNOSTIC AND INTERVENTIONAL IMAGING</t>
  </si>
  <si>
    <t>Prostate cancer; Prostate multiparametric MRI; T2; Prostate cancer aggressiveness</t>
  </si>
  <si>
    <t>APPARENT DIFFUSION-COEFFICIENT; COMPUTER-AIDED DIAGNOSIS; CONTRAST-ENHANCED MRI; PERIPHERAL ZONE; GLEASON SCORE; NORMAL TISSUE; WEIGHTED MRI; T-2; BENIGN; DIFFERENTIATION</t>
  </si>
  <si>
    <t>Rationale and objectives: To assess the prostate T2 value as a predictor of malignancy on two different 3 T scanners. Patients and methods: Eighty-three pre-prostatectomy multiparametric MRIs were retrospectively evaluated [67 obtained on a General Electric MRI (scanner 1) and 16 on a Philips MRI (scanner 2)]. After correlation with prostatectomy specimens, readers measured the T2 value of regions-of-interest categorized as ''cancers'', ''false positive lesions'', or ''normal tissue''. Results: On scanner 1, in PZ, cancers had significantly lower T2 values than false positive lesions (P = 0.02) and normal tissue (P = 2 x 10(-9)). Gleason &gt;= 6 cancers had similar T2 values than false positive lesions and significantly higher T2 values than Gleason &gt;= 7 cancers (P = 0.009). T2 values corresponding to a 25% and 75% risk of Gleason = 7 malignancy were respectively 132 ms (95% CI: 129-135 ms) and 77 ms (95% CI: 74-81 ms). In TZ, cancers had significantly lower T2 values than normal tissue (P = 0.008), but not than false positive findings. Mean T2 values measured on scanner 2 were not significantly different than those measured on scanner 1 for all tissue classes. Conclusion: All tested tissue classes had similar mean T2 values on both scanners. In PZ, the T2 value was a significant predictor of Gleason &gt;= 7 cancers. (C) 2014 Editions francaises de radiologie. Published by Elsevier Masson SAS. All rights reserved.</t>
  </si>
  <si>
    <t>[Dinh, A. Hoang; Souchon, R.; Bratan, F.; Rouviere, O.] INSERM, U1032, LabTau, F-69003 Lyon, France; [Melodelima, C.] Univ Grenoble 1, Lab Ecol Alpine, F-38041 Grenoble, France; [Melodelima, C.] CNRS, UMR 5553, F-38041 Grenoble, France; [Bratan, F.; Rouviere, O.] Hop Edouard Herriot, Dept Urinary &amp; Vasc Radiol, Hosp Civils Lyon, F-69437 Lyon 03, France; [Bratan, F.; Colombel, M.; Rouviere, O.] Univ Lyon, F-69003 Lyon, France; [Bratan, F.; Colombel, M.; Rouviere, O.] Univ Lyon 1, Fac Med Lyon Est, F-69003 Lyon, France; [Mege-Lechevallier, F.] Hop Edouard Herriot, Dept Pathol, Hosp Civils Lyon, F-69437 Lyon 03, France; [Colombel, M.] Hop Edouard Herriot, Dept Urol, Hosp Civils Lyon, F-69437 Lyon 03, France</t>
  </si>
  <si>
    <t>Institut National de la Sante et de la Recherche Medicale (Inserm); Universite Lyon 1; Centre National de la Recherche Scientifique (CNRS); Universite Savoie Mont Blanc; Communaute Universite Grenoble Alpes; Universite Grenoble Alpes (UGA); Centre National de la Recherche Scientifique (CNRS); Universite Savoie Mont Blanc; Communaute Universite Grenoble Alpes; CNRS - Institute of Ecology &amp; Environment (INEE); Universite Grenoble Alpes (UGA); CHU Lyon; Universite Lyon 1; CHU Lyon; CHU Lyon</t>
  </si>
  <si>
    <t>Rouvière, O (corresponding author), Hop Edouard Herriot, Serv Radiol Urinaire &amp; Vasc, Pavillon P,5 Pl Arsonval, F-69437 Lyon 03, France.</t>
  </si>
  <si>
    <t>Olivier.rouviere@netcourrier.com</t>
  </si>
  <si>
    <t>; Souchon, Rémi/IAM-4910-2023; Gonindard, Christelle/G-1075-2018; Rouviere, Olivier/O-8150-2017</t>
  </si>
  <si>
    <t>colombel, marc/0000-0002-0152-8021; Souchon, Rémi/0000-0002-4931-8082; HOANG DINH, Au/0000-0003-3051-4945; Gonindard, Christelle/0000-0001-7945-108X; Rouviere, Olivier/0000-0002-0030-478X</t>
  </si>
  <si>
    <t>ELSEVIER MASSON, CORPORATION OFFICE</t>
  </si>
  <si>
    <t>65 CAMILLE DESMOULINS CS50083 ISSY-LES-MOULINEAUX, 92442 PARIS, FRANCE</t>
  </si>
  <si>
    <t>2211-5684</t>
  </si>
  <si>
    <t>DIAGN INTERV IMAG</t>
  </si>
  <si>
    <t>Diagn. Interv. Imaging</t>
  </si>
  <si>
    <t>10.1016/j.diii.2014.11.016</t>
  </si>
  <si>
    <t>CF9CJ</t>
  </si>
  <si>
    <t>WOS:000352858900007</t>
  </si>
  <si>
    <t>Hirschler, MM</t>
  </si>
  <si>
    <t>Hirschler, Marcelo M.</t>
  </si>
  <si>
    <t>Procedures for development and revision of codes and standards associated with fire safety in the USA</t>
  </si>
  <si>
    <t>FIRE AND MATERIALS</t>
  </si>
  <si>
    <t>codes; fire tests; regulations; standards</t>
  </si>
  <si>
    <t>The process of codes and standards development, and subsequent regulation, in the USA is very different from that in most other countries: it is managed by private (not-for-profit) companies and is via a consensus process. With regards to codes, primary code development occurs through International Code Council (ICC), for building, fire, and mechanical codes, and National Fire Protection Association (NFPA), for electrical and life safety codes. With regards to standards, the key fire test standards used in codes are also developed by companies, primarily American Society for Testing and Materials (ASTM) International and NFPA. All meetings at which codes and standards are developed are open to interested parties and/or observers. This study describes the way the major codes and standards are developed and amended, by the organizations referenced. Participation by all stakeholders is strongly encouraged, and the opinions of any interested parties are an essential component of the process. However, producers (or manufacturers) cannot represent more than a fraction of voting members in the committees and, in fact, in the case of ICC, only public officials are permitted to vote on the final action. At ASTM, technical committees are created by the organization and anyone can become a member. However, voting is restricted and balanced to ensure that producers cannot be a majority. No codes are developed by ASTM. Each committee chooses its projects to develop standards, within an overall scope; committee membership is not limited. The technical committee handling fire issues is ASTM E05, but other committees also develop fire test standards and specifications, including fire tests. At NFPA, technical committees are formed, and its members appointed, by the NFPA Standards Council, and committees are kept small. Appointments are made based on technical expertise and interest categories (one of which is manufacturers). Members in none of the interest categories can exceed one third of the committee membership. Every committee decision can be appealed (commented on), and the committee must consider the comments. The committee decisions can be appealed again, and the issues are debated in front of the general membership at meetings. Fire tests are issued by the technical committee on fire tests, while other committees deal with various codes and standards that can be adopted for regulation, including the National Electrical Code (NEC) (NFPA 70) and the Life Safety Code (NFPA 101). Most technical committees deal with a single document, but the technical committee on fire tests deals with all the fire test methods. In contrast, multiple committees handle separate sections of the major codes. Virtually, the entire country adopts the NEC and many states (as well as the healthcare industry) adopt NFPA 101. Almost all of the major codes with fire implications are developed at ICC. This includes the International Building Code, International Fire Code, International Mechanical Code, International Residential Code, International Existing Building Code, and International Wildland Urban Interface Code. Codes are revised on a 3-year basis, with code development committees appointed for each cycle, on the basis of expertise, interest category, and geographical location, to ensure full balance. Stakeholders are invited to argue for or against code proposals in front of the committees. Committee decisions can be appealed (commented on) by the public, and the comments are argued in front of code officials who are members of ICC, without a committee present. The only ICC members who are allowed to vote on this final action are those public officials present, including code and fire officials. The final action must be upheld (or not) by an online vote where the only voters are public officials who are ICC members. Codes incorporate standards (including fire test standards) and contain the pass/fail requirements for the various test methods (since such criteria are normally absent from the test method standards). In some cases, codes may also include some detailed clarifications of ways to conduct or modify the test methods, if such clarity is needed. Once the new edition of any code is finalized (by ICC or NFPA), each of the states in the United States is entitled to adopt one or more code as regulation or to modify any code to incorporate local needs or special considerations. In many states, cities or jurisdictions are also entitled to modify any state code but they would not be allowed to have a local regulation that is less severe than the state regulation.</t>
  </si>
  <si>
    <t>[Hirschler, Marcelo M.] GBH Int, 2 Friars Lane, Mill Valley, CA USA</t>
  </si>
  <si>
    <t>Hirschler, MM (corresponding author), GBH Int, 2 Friars Lane, Mill Valley, CA USA.</t>
  </si>
  <si>
    <t>mhirschler@gbhinternational.com</t>
  </si>
  <si>
    <t>0308-0501</t>
  </si>
  <si>
    <t>1099-1018</t>
  </si>
  <si>
    <t>FIRE MATER</t>
  </si>
  <si>
    <t>Fire Mater.</t>
  </si>
  <si>
    <t>10.1002/fam.2449</t>
  </si>
  <si>
    <t>FM0HO</t>
  </si>
  <si>
    <t>WOS:000414643700013</t>
  </si>
  <si>
    <t>Xu, Y; Nguyen, H; Li, YF</t>
  </si>
  <si>
    <t>Xu, Yue; Nguyen, Hanh; Li, Yuefeng</t>
  </si>
  <si>
    <t>A Semantic Based Approach for Topic Evaluation in Information Filtering</t>
  </si>
  <si>
    <t>Semantics; Ontologies; Text mining; Information retrieval; Pattern matching; Probability distribution; Licenses; Information filtering; concept matching; topic evaluation; topic modeling; user interest representation; word embedding</t>
  </si>
  <si>
    <t>Topic Modelling has been successfully applied in many text mining applications such as natural language processing, information retrieval, information filtering, etc. In information filtering systems (IFs), user interest representation is the core part which determines the success of the system. Topics in a topic model generated from a user &amp; x2019;s documents can be used to represent the user &amp; x2019;s information interest. However, the quality of a topic model generated from a document collection is not always accurate because the topics of the topic model might contain meaningless or ambiguous words. This ambiguity problem can affect the performance of IFs which use a topic model to represent user information interest. Hence, a topic evaluation method to assess the quality of topics in a topic model is important for ensuring the effectiveness of utilizing the topic model in text mining applications. One method in measuring the quality of a topic model is to match the topical words of the model to concepts in an ontology. However, a limitation of this method is that some topical words in an examined topic cannot be found in the mapping ontology. In this study, we propose a new model to evaluate the quality of topics by matching concepts in an ontology. In particular, word embedding technique is applied to dealing with the ambiguity problem by finding similar concept words based on word embeddings. The assessed topics are then used in an information filtering system for filtering relevant documents for a user. The proposed model was evaluated against some state-of-the-art baseline models in terms of term-based, phrase-based, and topic-based user interest representations, and also some topic evaluation models. The result of the evaluation shows that the new proposed model outperforms the state-of-the-art baseline models</t>
  </si>
  <si>
    <t>[Xu, Yue; Nguyen, Hanh; Li, Yuefeng] Queensland Univ Technol, Sch Comp Sci, Fac Sci &amp; Engn, Brisbane, Qld 4001, Australia</t>
  </si>
  <si>
    <t>Xu, Y (corresponding author), Queensland Univ Technol, Sch Comp Sci, Fac Sci &amp; Engn, Brisbane, Qld 4001, Australia.</t>
  </si>
  <si>
    <t>yue.xu@qut.edu.au</t>
  </si>
  <si>
    <t>10.1109/ACCESS.2020.2985079</t>
  </si>
  <si>
    <t>LF4UZ</t>
  </si>
  <si>
    <t>WOS:000527415900017</t>
  </si>
  <si>
    <t>Fan, M</t>
  </si>
  <si>
    <t>Fan, Min</t>
  </si>
  <si>
    <t>Personalised recommendation method for MOOC online educational resources: collaborative filtering algorithm</t>
  </si>
  <si>
    <t>collaborative filtering algorithm; MOOC; online educational resources; personalised recommendation; semi-supervised learning</t>
  </si>
  <si>
    <t>In order to address the practical challenges associated with the low recall rate, accuracy, and user satisfaction in conventional personalised recommendation approaches for educational materials, a personalised recommendation method for MOOC online educational resources based on collaborative filtering algorithm is proposed. The mean shift clustering algorithm is used for clustering processing of MOOC platform data, and the MFA algorithm is used to dimensionality reduction process the clustering results. Learner interest are determined by considering the label preference based on frequency weight, time weight, comprehensive frequency and time, as well as learners' interest preferences for label clusters. Based on the analysis of learner interest, personalised recommendation of MOOC online education resources is achieved using a collaborative filtering algorithm based on semi-supervised learning. Experimental results show that the maximum recall rate of this method is 98.3%, the maximum recommendation accuracy is 97.8%, the mean learner satisfaction is 97.95, indicating good recommendation effectiveness.</t>
  </si>
  <si>
    <t>[Fan, Min] Hangzhou Vocat &amp; Tech Coll, Hangzhou 310018, Peoples R China</t>
  </si>
  <si>
    <t>Hangzhou Polytechnic University</t>
  </si>
  <si>
    <t>Fan, M (corresponding author), Hangzhou Vocat &amp; Tech Coll, Hangzhou 310018, Peoples R China.</t>
  </si>
  <si>
    <t>fmtg7788@163.com</t>
  </si>
  <si>
    <t>The 2021 Hangzhou Philosophy and Social Science Planning Project Base Project [2021JD42]</t>
  </si>
  <si>
    <t>The 2021 Hangzhou Philosophy and Social Science Planning Project Base Project</t>
  </si>
  <si>
    <t>This work was supported by 2021 Hangzhou Philosophy and Social Science Planning Project Base Project No. 2021JD42.</t>
  </si>
  <si>
    <t>10.1504/IJCEELL.2025.143803</t>
  </si>
  <si>
    <t>R6S6E</t>
  </si>
  <si>
    <t>WOS:001392725500008</t>
  </si>
  <si>
    <t>Koltai, J; Rakovics, Z; Kmetty, Z; Száme, K; Ungvári, B; Váradi, B; Huszár, A</t>
  </si>
  <si>
    <t>Koltai, Julia; Rakovics, Zsofia; Kmetty, Zoltan; Szame, Kata; Ungvari, Borbala; Varadi, Bendeguz; Huszar, Akos</t>
  </si>
  <si>
    <t>Classifying social position with social media behavioral data</t>
  </si>
  <si>
    <t>EPJ DATA SCIENCE</t>
  </si>
  <si>
    <t>Observed digital behavior; Social position; Social inequalities; Social media; XGBoost; Classification</t>
  </si>
  <si>
    <t>The main question of our study is how far social position can be predicted solely based on digital behavior. The phenomenon that offline inequalities are reflected in the digital space has been heavily researched since the digital revolution. Nevertheless, there are few data, which both measure social inequalities and digital behavior: scientists either have information on the social status of people, or on their observed digital behavior, but not on both. When analyzing digital behavioral data, however large scale it is, information on the social position of the users is hardly available. In the current paper, we analyze a special dataset collected with a data donation technique, which contains information on both the social position and the observed digital behavior of participants, and which is representative for the internet user population of Hungary. In the analysis, using diverse models, we explored how well basic indicators measuring digital behavior on Facebook can classify users' social class measured by the 5-category version of the European Socio-economic Classification (ESeC). The results show that based on basic quantitative indicators of digital behavior and usage the models cannot classify users' social position with a high degree neither in the classification of social class, nor in the case of socio-economic status. Nevertheless, the inclusion of socio-demographic characteristics as features increased the predictive power of the models, that could differentiate between the lowest and highest social position with a high degree. The models based on purely observed digital behavior could identify those in the lowest social position with the highest performance. Among those features, that played an important role in this classification, usage time, frequency network size and language characteristics (especially the diversity of the used language and punctuation) should be highlighted, while diverse Facebook activities and detected interest categories also played a role. These results are in line with the results of previous studies derived from smaller-scale, non-representative, or self-reported survey-based data on the same topic.</t>
  </si>
  <si>
    <t>[Koltai, Julia; Rakovics, Zsofia; Szame, Kata; Ungvari, Borbala; Huszar, Akos] HUN REN Ctr Social Sci, MTA TK Lendulet Momentum Digital Social Sci Res Gr, Toth Kalman Utca 4, H-1097 Budapest, Hungary; [Koltai, Julia] Eotvos Lorand Univ, Fac Social Sci, Dept Social Res Methodol, Pazmany Peter Setany 1-A, H-1117 Budapest, Hungary; [Rakovics, Zsofia] Eotvos Lorand Univ, Fac Social Sci, Dept Stat, Pazmany Peter Setany 1-A, H-1117 Budapest, Hungary; [Kmetty, Zoltan; Varadi, Bendeguz] HUN REN Ctr Social Sci, CSS RECENS, Toth Kalman 13 Utca 4, H-1097 Budapest, Hungary; [Kmetty, Zoltan] Eotvos Lorand Univ, Fac Social Sci, Dept Sociol, Pazmany Peter Setany 1-A, H-1117 Budapest, Hungary; [Szame, Kata] Univ Pecs, Doctoral Sch Demog &amp; Sociol, Ifjusag Utja 6, H-7624 Pecs, Hungary; [Huszar, Akos] HUN REN Ctr Social Sci, Inst Sociol, Toth Kalman 13 Utca 4, H-1097 Budapest, Hungary</t>
  </si>
  <si>
    <t>Eotvos Lorand University; ELTE Centre for Social Sciences; Eotvos Lorand University; Eotvos Lorand University; Eotvos Lorand University; ELTE Centre for Social Sciences; Eotvos Lorand University; University of Pecs; Eotvos Lorand University; ELTE Centre for Social Sciences; Institute for Sociology - HAS</t>
  </si>
  <si>
    <t>Koltai, J (corresponding author), HUN REN Ctr Social Sci, MTA TK Lendulet Momentum Digital Social Sci Res Gr, Toth Kalman Utca 4, H-1097 Budapest, Hungary.;Koltai, J (corresponding author), Eotvos Lorand Univ, Fac Social Sci, Dept Social Res Methodol, Pazmany Peter Setany 1-A, H-1117 Budapest, Hungary.</t>
  </si>
  <si>
    <t>koltai.julia@tk.hun-ren.hu</t>
  </si>
  <si>
    <t>Rakovics, Zsófia/AEY-7727-2022; Kmetty, Zoltán/D-2027-2012; Koltai, Júlia/I-7060-2017</t>
  </si>
  <si>
    <t>Váradi, Bendegúz/0009-0008-2744-4062</t>
  </si>
  <si>
    <t>HUN-REN Centre for Social Sciences; Hungarian Academy of Sciences Lenduelet Program [LP2022-10/2022]; Bolyai Scholarship [BO/834/22]</t>
  </si>
  <si>
    <t>HUN-REN Centre for Social Sciences; Hungarian Academy of Sciences Lenduelet Program; Bolyai Scholarship(Hungarian Academy of Sciences)</t>
  </si>
  <si>
    <t>Open access funding provided by HUN-REN Centre for Social Sciences. J.K., Zs.R., A.H. acknowledges funding from the Hungarian Academy of Sciences Lenduelet Program: LP2022-10/2022. Z.K. acknowledges support from the Bolyai Scholarship, grant number: BO/834/22.</t>
  </si>
  <si>
    <t>2193-1127</t>
  </si>
  <si>
    <t>EPJ DATA SCI</t>
  </si>
  <si>
    <t>EPJ Data Sci.</t>
  </si>
  <si>
    <t>10.1140/epjds/s13688-025-00578-2</t>
  </si>
  <si>
    <t>Mathematics, Interdisciplinary Applications; Social Sciences, Mathematical Methods</t>
  </si>
  <si>
    <t>Mathematics; Mathematical Methods In Social Sciences</t>
  </si>
  <si>
    <t>6CW5B</t>
  </si>
  <si>
    <t>Green Accepted, Green Submitted, gold</t>
  </si>
  <si>
    <t>WOS:001550338900001</t>
  </si>
  <si>
    <t>Yang, QH; Yuan, DL; Zhang, JY</t>
  </si>
  <si>
    <t>Yang Qinghong; Yuan Dule; Zhang Junyu</t>
  </si>
  <si>
    <t>The Research of Personalized Learning System Based on Leamer Interests and Cognitive Level</t>
  </si>
  <si>
    <t>2014 PROCEEDINGS OF THE 9TH INTERNATIONAL CONFERENCE ON COMPUTER SCIENCE &amp; EDUCATION (ICCSE 2014)</t>
  </si>
  <si>
    <t>9th IEEE International Conference on Computer Science and Education (ICCSE)</t>
  </si>
  <si>
    <t>AUG 22-24, 2014</t>
  </si>
  <si>
    <t>IEEE,Univ British Columbia, Dept Mech Engn,Inst Elect &amp; Elect Engineers Vancouver Sect,Natl Res Council Comp Educ Coll &amp; Univ</t>
  </si>
  <si>
    <t>Vector space model; learning cognitive level; content filtering; collaborative personalized recommendation</t>
  </si>
  <si>
    <t>Based on learners' personalization features, the personalized learning system can actively recommend learning contents for learners to learn, which fully reflects the thought and idea of modern education. Nowadays, it has become one of the hot research topics in the domain of learning system development. This paper constructs vector space model for learning resources in knowledge base and also constructs learner interest model and learner cognitive level model, and mines learning resources which the learners are interested in by tracking the learners' learning behaviors, so that we can update the interest model. In the learning process, according to learner interest model and learner cognitive level model, the system can recommend learning resources based on content filtering or collaborative filtering recommendation technology, which can effectively improve the efficiency and quality of learning. In the end, this paper verifies the effectiveness of the proposed method by comparison experiment.</t>
  </si>
  <si>
    <t>[Yang Qinghong; Yuan Dule; Zhang Junyu] Jiangxi Normal Univ, Coll Comp Informat Engn, Nanchang, Peoples R China</t>
  </si>
  <si>
    <t>yangqh120@163.com; yudule@126.com; zhangjunyu1234@126.com</t>
  </si>
  <si>
    <t>978-1-4799-2951-1</t>
  </si>
  <si>
    <t>BE0QO</t>
  </si>
  <si>
    <t>WOS:000366610600097</t>
  </si>
  <si>
    <t>Lu, JR; Chen, L; Meng, KM; Wang, FY; Xiang, J; Chen, N; Han, X; Li, BY</t>
  </si>
  <si>
    <t>Lu, Junru; Chen, Le; Meng, Kongming; Wang, Fengyi; Xiang, Jun; Chen, Nuo; Han, Xu; Li, Binyang</t>
  </si>
  <si>
    <t>Identifying User Profile by Incorporating Self-Attention Mechanism based on CSDN Data Set</t>
  </si>
  <si>
    <t>DATA INTELLIGENCE</t>
  </si>
  <si>
    <t>Article; Data Paper</t>
  </si>
  <si>
    <t>User profile; Convolutional neural network (CNN); Self-attention; Keyword extraction</t>
  </si>
  <si>
    <t>With the popularity of social media, there has been an increasing interest in user profiling and its applications nowadays. This paper presents our system named UIR-SIST for User Profiling Technology Evaluation Campaign in SMP CUP 2017. UIR-SIST aims to complete three tasks, including keywords extraction from blogs, user interests labeling and user growth value prediction. To this end, we first extract keywords from a user's blog, including the blog itself, blogs on the same topic and other blogs published by the same user. Then a unified neural network model is constructed based on a convolutional neural network (CNN) for user interests tagging. Finally, we adopt a stacking model for predicting user growth value. We eventually receive the sixth place with evaluation scores of 0.563, 0.378 and 0.751 on the three tasks, respectively.</t>
  </si>
  <si>
    <t>[Lu, Junru; Chen, Le; Meng, Kongming; Xiang, Jun; Chen, Nuo; Li, Binyang] Univ Int Relat, Sch Informat Sci &amp; Technol, Beijing 100091, Peoples R China; [Meng, Kongming] Deep Brain Co Ltd, Shanghai 201200, Peoples R China; [Wang, Fengyi] Univ Chinese Acad Sci, Beijing 100049, Peoples R China; [Han, Xu] Capital Normal Univ, Coll Informat Engn, Beijing 100048, Peoples R China</t>
  </si>
  <si>
    <t>University of International Relations; Chinese Academy of Sciences; University of Chinese Academy of Sciences, CAS; Capital Normal University</t>
  </si>
  <si>
    <t>Li, BY (corresponding author), Univ Int Relat, Sch Informat Sci &amp; Technol, Beijing 100091, Peoples R China.</t>
  </si>
  <si>
    <t>byli@uir.edu.cn</t>
  </si>
  <si>
    <t>Chen, Nuo/JZD-0344-2024</t>
  </si>
  <si>
    <t>National Natural Science Foundation of China [61502115, 61602326, U1636103, U1536207]; Fundamental Research Fund for the Central Universities [3262017T12, 3262017T18, 3262018T02, 3262018T58]</t>
  </si>
  <si>
    <t>National Natural Science Foundation of China(National Natural Science Foundation of China (NSFC)); Fundamental Research Fund for the Central Universities</t>
  </si>
  <si>
    <t>This work is partially supported by the National Natural Science Foundation of China (Grant numbers: 61502115, 61602326, U1636103 and U1536207), and the Fundamental Research Fund for the Central Universities (Grant numbers: 3262017T12, 3262017T18, 3262018T02 and 3262018T58).</t>
  </si>
  <si>
    <t>MIT PRESS</t>
  </si>
  <si>
    <t>ONE ROGERS ST, CAMBRIDGE, MA 02142-1209 USA</t>
  </si>
  <si>
    <t>2641-435X</t>
  </si>
  <si>
    <t>Data Intell.</t>
  </si>
  <si>
    <t>SPR</t>
  </si>
  <si>
    <t>10.1162/dint_a_00009</t>
  </si>
  <si>
    <t>VK4NS</t>
  </si>
  <si>
    <t>WOS:000700578900004</t>
  </si>
  <si>
    <t>Vassiliou, G; Papadakis, N; Kondylakis, H</t>
  </si>
  <si>
    <t>Pesquita, C; Skaf-Molli, H; Efthymiou, V; Kirrane, S; Ngonga, A; Collarana, D; Cerqueira, R; Alam, M; Trojahn, C; Hertling, S</t>
  </si>
  <si>
    <t>Vassiliou, Giannis; Papadakis, Nikolaos; Kondylakis, Haridimos</t>
  </si>
  <si>
    <t>SummaryGPT: Leveraging ChatGPT for Summarizing Knowledge Graphs</t>
  </si>
  <si>
    <t>SEMANTIC WEB: ESWC 2023 SATELLITE EVENTS</t>
  </si>
  <si>
    <t>20th European Semantic Web Conference-ESWC-Annual</t>
  </si>
  <si>
    <t>MAY 28-JUN 01, 2023</t>
  </si>
  <si>
    <t>Khersonisos, GREECE</t>
  </si>
  <si>
    <t>Springer Nature,IOS Press</t>
  </si>
  <si>
    <t>Semantic summaries try to extract compact information from the original knowledge graph (KG) while reducing its size for various purposes such as query answering, indexing, or visualization. Although so far several techniques have been exploited for summarizing individual KGs, to the best of our knowledge, there is no approach summarizing the interests of the users in exploring those KGs, capturing also how these evolve. SummaryGPT fills this gap by enabling the exploration of users' interests as captured from their queries over time. For generating these summaries we first extract the nodes appearing in query logs, captured from a specific time period, and then we classify them into different categories in order to generate quotient summaries on top. For the classification, we explore both the KG type hierarchy (if existing) and also a large language model, i.e. ChatGPT. Exploring different time periods enables us to identify shifts in user interests and capture their evolution through time. In this demonstration we use WikiData KG in order to enable active exploration of the corresponding user interests, allowing end-users to visualize how these evolve over time.</t>
  </si>
  <si>
    <t>[Vassiliou, Giannis; Papadakis, Nikolaos; Kondylakis, Haridimos] Hellen Mediterranean Univ, ECE, Iraklion, Greece; [Kondylakis, Haridimos] FORTH ICS, Iraklion, Greece</t>
  </si>
  <si>
    <t>Hellenic Mediterranean University</t>
  </si>
  <si>
    <t>Kondylakis, H (corresponding author), Hellen Mediterranean Univ, ECE, Iraklion, Greece.;Kondylakis, H (corresponding author), FORTH ICS, Iraklion, Greece.</t>
  </si>
  <si>
    <t>giannisvas@ics.forth.gr; npapadak@cs.hmu.gr; kondylak@ics.forth.gr</t>
  </si>
  <si>
    <t>Kondylakis, Haridimos/AFL-2798-2022</t>
  </si>
  <si>
    <t>Kondylakis, Haridimos/0000-0002-9917-4486</t>
  </si>
  <si>
    <t>Hellenic Foundation for Research and Innovation (H.F.R.I.) [1147]; Hoirizon SafePolyMed EU project [101057639]; Horizon Europe - Pillar II [101057639] Funding Source: Horizon Europe - Pillar II</t>
  </si>
  <si>
    <t>Hellenic Foundation for Research and Innovation (H.F.R.I.); Hoirizon SafePolyMed EU project; Horizon Europe - Pillar II(European Union (EU)Horizon Europe - Pillar II)</t>
  </si>
  <si>
    <t>Work reported in this paper has been partially supported by the Hellenic Foundation for Research and Innovation (H.F.R.I.) under the 2nd Call for H.F.R.I. Research Projects to support Post-Doctoral Researchers (iQARuS Project No. 1147). Further is has been partially supported by the Hoirizon SafePolyMed EU project under grant agreement No. 101057639.</t>
  </si>
  <si>
    <t>978-3-031-43457-0; 978-3-031-43458-7</t>
  </si>
  <si>
    <t>10.1007/978-3-031-43458-7_31</t>
  </si>
  <si>
    <t>BZ3CL</t>
  </si>
  <si>
    <t>WOS:001560618200031</t>
  </si>
  <si>
    <t>Tchantchaleishvili, V; Lapar, DJ; Odell, DD; Stein, W; Aftab, M; Berfield, KS; Eilers, AL; Groth, SS; Lazar, JF; Robich, MP; Shah, AA; Smith, DA; Stephens, EH; Stock, CT; DeNino, WF; Nguyen, TC</t>
  </si>
  <si>
    <t>Tchantchaleishvili, Vakhtang; LaPar, Damien J.; Odell, David D.; Stein, William; Aftab, Muhammad; Berfield, Kathleen S.; Eilers, Amanda L.; Groth, Shawn S.; Lazar, John F.; Robich, Michael P.; Shah, Asad A.; Smith, Danielle A.; Stephens, Elizabeth H.; Stock, Cameron T.; DeNino, Walter F.; Nguyen, Tom C.</t>
  </si>
  <si>
    <t>Predictors of Career Choice Among Cardiothoracic Surgery Trainees</t>
  </si>
  <si>
    <t>ANNALS OF THORACIC SURGERY</t>
  </si>
  <si>
    <t>51st Annual Meeting of the Society-of-Thoracic-Surgeons</t>
  </si>
  <si>
    <t>JAN 24-28, 2015</t>
  </si>
  <si>
    <t>Soc Thorac Surg</t>
  </si>
  <si>
    <t>RESIDENTS; PROGRAMS</t>
  </si>
  <si>
    <t>Background. The impact of factors influencing career choice by cardiothoracic surgery (CTS) trainees remains poorly defined in the modern era. We sought to examine the associations between CTS trainee characteristics and future career aspirations. Methods. The 2012 Thoracic Surgery In-Training Examination survey results were used to categorize responders according to career interest: congenital, adult cardiac, mixed cardiac/thoracic, and general thoracic surgery. Univariate and multivariable analyses were used to identify and analyze characteristics associated with career interest categories. Results. With a 100% response rate, 300 responses from trainees in programs accredited by the Accreditation Council for Graduate Medical Education were included in the analysis. Multinomial logistic regression identified three factors associated with career choice in CTS: level of training (p &lt; 0.001), type of training pathway (p &lt; 0.001), and primary motivating factor to pursue CTS (p = 0.002). Trainees interested in general thoracic surgery were more likely to commit to CTS during their senior years of general surgery training and were more likely to enroll in 2-year or 3-year traditional fellowships, whereas individuals pursuing adult or congenital cardiac surgery were more likely to commit earlier during training and were more commonly interested in 6-year integrated or joint training pathways. Moreover, trainees interested in general thoracic surgery were predominantly influenced by early mentorship (p = 0.025 vs adult cardiac), and trainees interested in adult cardiac surgery were more likely to be influenced by types of operations (p = 0.047 vs general thoracic). Conclusions. Career choice in CTS appears strongly associated with level of training, exposure to mentors, and training paradigm. These results demonstrate the importance of maintaining all four currently approved training pathways to retain balance and diversity in future CTS practices. (C) 2015 by The Society of Thoracic Surgeons</t>
  </si>
  <si>
    <t>Univ Rochester, Med Ctr, Rochester, NY 14642 USA; Univ Virginia, Charlottesville, VA USA; Univ Pittsburgh, Pittsburgh, PA USA; Emory Univ, Atlanta, GA 30322 USA; Cleveland Clin Fdn, Cleveland, OH 44195 USA; Univ Washington, Seattle, WA 98195 USA; Univ Texas Hlth Sci Ctr San Antonio, San Antonio, TX 78229 USA; Baylor Coll Med, Houston, TX 77030 USA; Pinnacle Hlth Cardiovasc Inst, Harrisbsurg, PA USA; Duke Univ, Med Ctr, Durham, NC USA; Northwestern Univ, Chicago, IL 60611 USA; Columbia Univ, New York, NY USA; Massachusetts Gen Hosp, Boston, MA 02114 USA; Med Univ S Carolina, Charleston, SC 29425 USA; Univ Texas Houston, Sch Med, Mem Hermann Hosp, Inst Heart &amp; Vasc, Houston, TX USA</t>
  </si>
  <si>
    <t>University of Rochester; University of Virginia; Pennsylvania Commonwealth System of Higher Education (PCSHE); University of Pittsburgh; Emory University; Cleveland Clinic Foundation; University of Washington; University of Washington Seattle; University of Texas System; University of Texas at San Antonio; Baylor College of Medicine; Duke University; Northwestern University; Columbia University; Harvard University; Harvard University Medical Affiliates; Massachusetts General Hospital; Medical University of South Carolina; University of Texas System; University of Texas Health Science Center Houston</t>
  </si>
  <si>
    <t>Nguyen, TC (corresponding author), Univ Texas Houston Mem Hermann, Houston, TX 77030 USA.</t>
  </si>
  <si>
    <t>tom.c.nguyen@gmail.com</t>
  </si>
  <si>
    <t>; Aftab, Muhammad/O-5160-2019</t>
  </si>
  <si>
    <t>Tchantchaleishvili, Vakhtang/0000-0002-4357-3533; Aftab, Muhammad/0000-0002-2465-9964</t>
  </si>
  <si>
    <t>360 PARK AVE SOUTH, NEW YORK, NY 10010-1710 USA</t>
  </si>
  <si>
    <t>0003-4975</t>
  </si>
  <si>
    <t>1552-6259</t>
  </si>
  <si>
    <t>ANN THORAC SURG</t>
  </si>
  <si>
    <t>Ann. Thorac. Surg.</t>
  </si>
  <si>
    <t>10.1016/j.athoracsur.2015.04.073</t>
  </si>
  <si>
    <t>Cardiac &amp; Cardiovascular Systems; Respiratory System; Surgery</t>
  </si>
  <si>
    <t>Cardiovascular System &amp; Cardiology; Respiratory System; Surgery</t>
  </si>
  <si>
    <t>CX6OM</t>
  </si>
  <si>
    <t>WOS:000365820400059</t>
  </si>
  <si>
    <t>Shi, ZZ; Cheema, AA</t>
  </si>
  <si>
    <t>Shi, Zhouzhou; Cheema, Adeel Ashraf</t>
  </si>
  <si>
    <t>Adaptive modeling combined with reinforcement learning to handle text multi-categorization tasks in news pushing</t>
  </si>
  <si>
    <t>Text classification; Personalized push notifications; Reinforcement learning</t>
  </si>
  <si>
    <t>With the swift advancement of information technology, news push-a pivotal means of information dissemination-has progressively evolved towards greater intelligence and personalization. User interest classification and precise push mechanisms, central to the development of news recommender systems, not only enhance the efficiency with which users access information but also effectively cater to their individualized needs. However, the performance of traditional methods in classification and recommendation remains constrained by the high dimensionality of news data, limited annotations, and dynamic fluctuations in user interests. In light of these challenges, this article proposes Bert-based Two-Stage Question Language Model (BTQLM), a novel framework for news classification and recommendation that seamlessly integrates pre-trained language models with reinforcement learning. Initially, this study extracts contextual semantic features of the text through Bidirectional Encoder Representations from Transformers (BERT), bolsters local feature extraction by incorporating a convolutional pooling layer, and captures global dependencies via the Transformer network. Building upon this, a reinforcement learning mechanism is introduced to dynamically refine the classification strategy by defining loss and reward functions, followed by joint optimization, thereby effectively enhancing classification performance. Furthermore, the article combines classification results with an Neural Collaborative Filtering (NCF)-based collaborative filtering method to enable personalized news recommendations through user-interest modeling and similarity computation. Experimental results demonstrate that BTQLM significantly outperforms traditional methods such as Text Convolutional Neural Network (CNN), Attention-Based Bidirectional Long Short-Term Memory ConvolutionalNeural Network at the Word Level (ABLCNN-Word), Tree-long short-term memory (LSTM), and AdaSent in classification accuracy, achieving over 0.85 accuracy on both the Multi-Interest Network with Dynamic routing (MIND) and MIND-small datasets. In the recommendation task, the push strategy based on BTQLM's classification results attains a recommendation accuracy exceeding 0.6 across diverse scenarios. The research presented herein offers an efficient technical solution for the design of intelligent news push systems, providing both theoretical underpinnings and practical guidance for advancing the field of news recommendation.</t>
  </si>
  <si>
    <t>[Shi, Zhouzhou] Wuhan Univ Commun, Sch Journalism &amp; Commun, Wuhan, Peoples R China; [Cheema, Adeel Ashraf] Natl Univ Comp &amp; Emerging Sci, Dept Artificial Intelligence &amp; Data Sci, Islamabad, Pakistan</t>
  </si>
  <si>
    <t>Wuhan College of Communication</t>
  </si>
  <si>
    <t>Shi, ZZ (corresponding author), Wuhan Univ Commun, Sch Journalism &amp; Commun, Wuhan, Peoples R China.</t>
  </si>
  <si>
    <t>shizhouzhou0906@163.com</t>
  </si>
  <si>
    <t>Shi, Zhouzhou/QTT-0177-2026</t>
  </si>
  <si>
    <t>APR 9</t>
  </si>
  <si>
    <t>e3759</t>
  </si>
  <si>
    <t>10.7717/peerj-cs.3759</t>
  </si>
  <si>
    <t>GL3EU</t>
  </si>
  <si>
    <t>WOS:001739108200001</t>
  </si>
  <si>
    <t>Duan, TL; Zhang, FX; Li, QC</t>
  </si>
  <si>
    <t>Duan, Tianle; Zhang, Fengxiu; Li, Qingchun</t>
  </si>
  <si>
    <t>Evaluating access and functional needs as human mobility factors under extreme heat</t>
  </si>
  <si>
    <t>JOURNAL OF TRANSPORT GEOGRAPHY</t>
  </si>
  <si>
    <t>Human mobility; Extreme heat; Access and functional needs; Point of interest; Built environment</t>
  </si>
  <si>
    <t>PUBLIC-HEALTH; URBAN; CLIMATE; MICROCLIMATE; TEMPERATURES; WEATHER; SURFACE; IMPACT</t>
  </si>
  <si>
    <t>This study examines how varying access and functional needs (AFN) shape community mobility responses to extreme heat for essential and non-essential services. We use mobile device location data to measure human mobility and distinguish trip purposes based on Point of Interest categories. Focusing on the understudied Midwest United States, we analyze the 2023 heatwave in St. Louis area, Missouri, capturing two distinct dimensions of heat-induced mobility disruptions: mobility reduction and mobility delay. Results show that nonessential trips-such as those to art, entertainment, and recreation services-experienced the largest declines. Communities with higher AFN burdens and lower socioeconomic status exhibited less flexibility to reduce their trips during heatwaves and were more likely to shift their trips to cooler periods. In contrast, communities with lower AFN burdens demonstrated greater capacity to reduce non-essential trips. We find no statistically significant evidence that tree canopy cover or road network density moderates heat-related mobility disruptions. These findings highlight heterogeneous mobility adaptation strategies under extreme heat and underscore the importance of accounting for access and functional needs when designing equitable heat-resilient transportation and urban planning.</t>
  </si>
  <si>
    <t>[Duan, Tianle; Li, Qingchun] Purdue Univ, Bowen Sch Construct, W Lafayette, IN USA; [Zhang, Fengxiu] George Mason Univ, Schar Sch Policy &amp; Govt, Arlington, VA USA</t>
  </si>
  <si>
    <t>Purdue University System; Purdue University; George Mason University</t>
  </si>
  <si>
    <t>Duan, TL (corresponding author), Purdue Univ, 420 Cent Dr, W Lafayette, IN 47907 USA.</t>
  </si>
  <si>
    <t>duan114@purdue.edu</t>
  </si>
  <si>
    <t>0966-6923</t>
  </si>
  <si>
    <t>1873-1236</t>
  </si>
  <si>
    <t>J TRANSP GEOGR</t>
  </si>
  <si>
    <t>J. Transp. Geogr.</t>
  </si>
  <si>
    <t>10.1016/j.jtrangeo.2026.104840</t>
  </si>
  <si>
    <t>Economics; Geography; Transportation</t>
  </si>
  <si>
    <t>Business &amp; Economics; Geography; Transportation</t>
  </si>
  <si>
    <t>OA3AO</t>
  </si>
  <si>
    <t>WOS:001872779400001</t>
  </si>
  <si>
    <t>Deng, ZY; Yan, M; Sang, JT; Xu, CS</t>
  </si>
  <si>
    <t>Deng, Zhengyu; Yan, Ming; Sang, Jitao; Xu, Changsheng</t>
  </si>
  <si>
    <t>Twitter is Faster: Personalized Time-Aware Video Recommendation from Twitter to YouTube</t>
  </si>
  <si>
    <t>Algorithms; Experimentation; Performance; Short-term interest; personalization; video recommendation; time-aware; cross-platform</t>
  </si>
  <si>
    <t>Traditional personalized video recommendation methods focus on utilizing user profile or user history behaviors to model user interests, which follows a static strategy and fails to capture the swift shift of the short-term interests of users. According to our cross-platform data analysis, the information emergence and propagation is faster in social textual stream-based platforms than that in multimedia sharing platforms at micro user level. Inspired by this, we propose a dynamic user modeling strategy to tackle personalized video recommendation issues in the multimedia sharing platform YouTube, by transferring knowledge from the social textual stream-based platform Twitter. In particular, the cross-platform video recommendation strategy is divided into two steps. (1) Real-time hot topic detection: the hot topics that users are currently following are extracted from users' tweets, which are utilized to obtain the related videos in YouTube. (2) Time-aware video recommendation: for the target user in YouTube, the obtained videos are ranked by considering the user profile in YouTube, time factor, and quality factor to generate the final recommendation list. In this way, the short-term (hot topics) and long-term (user profile) interests of users are jointly considered. Carefully designed experiments have demonstrated the advantages of the proposed method.</t>
  </si>
  <si>
    <t>[Deng, Zhengyu; Yan, Ming; Sang, Jitao; Xu, Changsheng] Chinese Acad Sci, Inst Automat, Natl Lab Pattern Recognit, Beijing 100190, Peoples R China; China Singapore Inst Digital Media, Singapore, Singapore</t>
  </si>
  <si>
    <t>Chinese Academy of Sciences; Institute of Automation, CAS</t>
  </si>
  <si>
    <t>Xu, CS (corresponding author), Chinese Acad Sci, Inst Automat, Natl Lab Pattern Recognit, Beijing 100190, Peoples R China.</t>
  </si>
  <si>
    <t>zydeng@nlpr.ia.ac.cn; ming.yan@nlpr.ia.ac.cn; jtsang@nlpr.ia.ac.cn; csxu@nlpr.ia.ac.cn</t>
  </si>
  <si>
    <t>Xu, Changsheng/MYR-4655-2025; Yan, Mingfu/QTU-0843-2026</t>
  </si>
  <si>
    <t>National Basic Research Program of China [2012CB316304]; National Natural Science Foundation of China [61225009, 61332016, 61303176]; Beijing Natural Science Foundation [4131004]; Singapore National Research Foundation under its International Research Centre @ Singapore Funding Initiative</t>
  </si>
  <si>
    <t>National Basic Research Program of China(National Basic Research Program of China); National Natural Science Foundation of China(National Natural Science Foundation of China (NSFC)); Beijing Natural Science Foundation(Beijing Natural Science Foundation); Singapore National Research Foundation under its International Research Centre @ Singapore Funding Initiative(National Research Foundation, Singapore)</t>
  </si>
  <si>
    <t>This work is supported in part by the National Basic Research Program of China (No. 2012CB316304), National Natural Science Foundation of China (No. 61225009, 61332016, 61303176), and Beijing Natural Science Foundation (No. 4131004). This work is also supported by the Singapore National Research Foundation under its International Research Centre @ Singapore Funding Initiative and administered by the IDM Programme Office.</t>
  </si>
  <si>
    <t>10.1145/2637285</t>
  </si>
  <si>
    <t>AZ6DM</t>
  </si>
  <si>
    <t>WOS:000348308800008</t>
  </si>
  <si>
    <t>Sibicky, ME</t>
  </si>
  <si>
    <t>Sibicky, Mark E.</t>
  </si>
  <si>
    <t>The automatic sweetheart: An assignment in a History of Psychology</t>
  </si>
  <si>
    <t>This article describes an assignment in a History of Psychology course used to enhance student retention of material and increase student interest and discussion of the long-standing debate between humanistic and mechanistic models in psychology. Adapted from William James's (1955) automatic sweetheart question, the assignment asks students to imagine if they could love their sweetheart after finding out that he or she was not a conscious human being but a technologically advanced machine. Compared to a control group, students completing the assignment demonstrated improved performance on a posttest quiz. Students also reported the assignment was interesting, had educational value, and helped them understand the historical significance of a fundamental debate in the History of Psychology.</t>
  </si>
  <si>
    <t>Marietta Coll, Dept Psychol, Marietta, OH 45750 USA</t>
  </si>
  <si>
    <t>University System of Ohio; Marietta College</t>
  </si>
  <si>
    <t>Sibicky, ME (corresponding author), Marietta Coll, Dept Psychol, 215 5th St, Marietta, OH 45750 USA.</t>
  </si>
  <si>
    <t>Sibickym@marietta.edu</t>
  </si>
  <si>
    <t>10.1207/s15328023top3401_11</t>
  </si>
  <si>
    <t>138QB</t>
  </si>
  <si>
    <t>WOS:000244376200010</t>
  </si>
  <si>
    <t>Galeas, JDV; Murillo, GAM; Vera, IYZ; Zapata, JAV</t>
  </si>
  <si>
    <t>Galeas, Janett del Rocio Verdesoto; Murillo, Gloria Adelina Moran; Vera, Ingrid Yolanda Zumba; Zapata, Juan Antonio Vera</t>
  </si>
  <si>
    <t>MOTIVATION IN STUDENTS OFTHE PSYCHOLOGY MAJOR, TECHNICAL UNIVERSITY OF BABAHOYO, ECUADOR</t>
  </si>
  <si>
    <t>REVISTA CONRADO</t>
  </si>
  <si>
    <t>Emotional state; dimensions; university students</t>
  </si>
  <si>
    <t>LEARNING-STRATEGIES</t>
  </si>
  <si>
    <t>University education is a complex process that is not free of risks that influence the emotional state of students and manifest themselves in negative reactions in the teaching process and on a personal level. The objective of this research is to identify the type of motivation of new students studying Psychology at the Technical University of Babahoyo to adapt to the university environment. The study has a quantitative approach and exploratory scope, with a non-experimental cross-sectional design. The Educational Motivation Scale (EME) was applied as an instrument, composed of 28 items and three merged dimensions: Intrinsic Motivation, Extrinsic Motivation and Demotivation, validated in Ecuador. The results were processed through a descriptive statistical analysis, accompanied by bivariate correlations. The instrument reflected high levels of intrinsic motivation in these students, focused on internal satisfaction and personal interest. Students find pleasure and enjoy the training process itself; this behavior was more significant in the female gender. The correlation between Demotivation and Intrinsic Motivation was significant, thus demonstrating the strength and robustness of the internal components of the Intrinsic Motivation dimension to weaken Demotivation.</t>
  </si>
  <si>
    <t>[Galeas, Janett del Rocio Verdesoto; Murillo, Gloria Adelina Moran; Vera, Ingrid Yolanda Zumba; Zapata, Juan Antonio Vera] Univ Tecn Babahoyo, Babahoyo, Ecuador</t>
  </si>
  <si>
    <t>Universidad Tecnica de Babahoyo</t>
  </si>
  <si>
    <t>Galeas, JDV (corresponding author), Univ Tecn Babahoyo, Babahoyo, Ecuador.</t>
  </si>
  <si>
    <t>jverdesoto@utb.edu.ec; gmoranm@utb.edu.ec; izumbav@utb.edu.ec; jveraz@utb.edu.ec</t>
  </si>
  <si>
    <t>VERA ZAPATA, JUAN/GXM-9930-2022</t>
  </si>
  <si>
    <t>UNIV CIENFUEGOS</t>
  </si>
  <si>
    <t>CIENFUEGOS</t>
  </si>
  <si>
    <t>CARRETERA RODAS KM 4, CUATRO CAMINOS, CIENFUEGOS, 00000, CUBA</t>
  </si>
  <si>
    <t>1990-8644</t>
  </si>
  <si>
    <t>REV CONRADO</t>
  </si>
  <si>
    <t>REV. CONRADO</t>
  </si>
  <si>
    <t>E8P1R</t>
  </si>
  <si>
    <t>WOS:001305555600016</t>
  </si>
  <si>
    <t>Fei, Y; Lv, C; Feng, YS; Zhao, DY</t>
  </si>
  <si>
    <t>Fei, Yue; Lv, Chao; Feng, Yansong; Zhao, Dongyan</t>
  </si>
  <si>
    <t>Real-time Filtering on Interest Profiles in Twitter Stream</t>
  </si>
  <si>
    <t>2016 IEEE/ACM JOINT CONFERENCE ON DIGITAL LIBRARIES (JCDL)</t>
  </si>
  <si>
    <t>16th ACM/IEEE-CS Joint Conference on Digital Libraries (JCDL)</t>
  </si>
  <si>
    <t>JUN 19-23, 2016</t>
  </si>
  <si>
    <t>Newark, NJ</t>
  </si>
  <si>
    <t>Assoc Comp Machinery,ACM Special Interest Grp Informat Retrieval,ACM SIGWEB,IEEE TCDL,Rutgers Inst Data Sci Learning &amp; Applicat,Univ Maryland Baltimore Cty,Univ Pittsburgh, Sch Informat Sci,IEEE Comp Soc</t>
  </si>
  <si>
    <t>Real-time Filtering; Neural Network Language Model; Adaptive Thresholding</t>
  </si>
  <si>
    <t>The advent of Twitter has led to the ubiquitous information overload problem with a dramatic increase in the amount of tweets a user is exposed to. In this paper, we consider real-time tweet filtering with respect to users' interest profiles in public Twitter stream. While traditional filtering methods mainly focus on judging relevance of a document, we aim to retrieve relevant and novel documents to address the high redundancy of tweets. An unsupervised approach is proposed to model relevance between tweets and different profiles adaptively and a neural network language model is employed to learn semantic representation for tweets. Experiments on TREC 2015 dataset demonstrate the effectiveness of the proposed approach.</t>
  </si>
  <si>
    <t>[Fei, Yue; Lv, Chao; Feng, Yansong; Zhao, Dongyan] Peking Univ, Inst Comp Sci &amp; Technol, Beijing, Peoples R China</t>
  </si>
  <si>
    <t>Peking University</t>
  </si>
  <si>
    <t>Feng, YS (corresponding author), Peking Univ, Inst Comp Sci &amp; Technol, Beijing, Peoples R China.</t>
  </si>
  <si>
    <t>feiyue@pku.edu.cn; lvchao@pku.edu.cn; fengyansong@pku.edu.cn; zhaody@pku.edu.cn</t>
  </si>
  <si>
    <t>978-1-4503-4229-2</t>
  </si>
  <si>
    <t>10.1145/2910896.2925462</t>
  </si>
  <si>
    <t>BG5HY</t>
  </si>
  <si>
    <t>WOS:000389502300061</t>
  </si>
  <si>
    <t>Chen, JM; Luo, LM; Song, J</t>
  </si>
  <si>
    <t>Chen, Jiaming; Luo, Liming; Song, Jie</t>
  </si>
  <si>
    <t>Course performance prediction for basic courses of universities based on support vector machine</t>
  </si>
  <si>
    <t>2018 INTERNATIONAL CONFERENCE ON COMPUTER INFORMATION SCIENCE AND APPLICATION TECHNOLOGY</t>
  </si>
  <si>
    <t>International Conference on Computer Information Science and Application Technology (CISAT)</t>
  </si>
  <si>
    <t>DEC 07-09, 2018</t>
  </si>
  <si>
    <t>NE Petr Univ, Daqing, PEOPLES R CHINA</t>
  </si>
  <si>
    <t>NE Petr Univ</t>
  </si>
  <si>
    <t>As the popular area of educational data mining, course performance prediction is the prediction of the final performance of students in a course, assisting educators' personalized teaching and reducing the pressure of students. With proper features and algorithms specified, prediction models with high accuracy can be built. Course performance prediction for basic courses of universities requires feature selection from both subjective and objective aspects. GPA, grades of prerequisite courses, assignment scores and the inquiry count are selected as the objective features and the individual interest is specified as the subjective feature. The output of the prediction is the students' final performance divided into 5 levels. The Gaussian support vector machine, the polynomial support vector machine, BP neural network, random forest and logistic regression were employed as the classifier, with the accuracy and AP of the five algorithms compared. It is found that the Gaussian support vector machine combined with selected features can reach the optimal accuracy and AP, reaching 99%. With the Gaussian support vector machine applied, a course performance prediction model for basic courses of universities is proposed, which provides a novel method for the study on course performance prediction for basic courses of universities.</t>
  </si>
  <si>
    <t>[Chen, Jiaming; Luo, Liming; Song, Jie] Capital Normal Univ, Coll Informat Engn, Beijing 100048, Peoples R China</t>
  </si>
  <si>
    <t>Capital Normal University</t>
  </si>
  <si>
    <t>Luo, LM (corresponding author), Capital Normal Univ, Coll Informat Engn, Beijing 100048, Peoples R China.</t>
  </si>
  <si>
    <t>luolm@cnu.edu.cn</t>
  </si>
  <si>
    <t>China National Nature Science Foundation [61672361]; Beijing Advanced Innovation Center for Imaging Technology [BAICIT-2016004]</t>
  </si>
  <si>
    <t>China National Nature Science Foundation(National Natural Science Foundation of China (NSFC)); Beijing Advanced Innovation Center for Imaging Technology</t>
  </si>
  <si>
    <t>This research is supported by China National Nature Science Foundation (61672361) and Beijing Advanced Innovation Center for Imaging Technology (BAICIT-2016004).</t>
  </si>
  <si>
    <t>10.1088/1742-6596/1168/3/032066</t>
  </si>
  <si>
    <t>BM9MB</t>
  </si>
  <si>
    <t>WOS:000471120700174</t>
  </si>
  <si>
    <t>Ruta, M; Scioscia, F; Ieva, S; Di Sciascio, E</t>
  </si>
  <si>
    <t>Daniel, F; Facca, FM</t>
  </si>
  <si>
    <t>Ruta, Michele; Scioscia, Floriano; Ieva, Saverio; Di Sciascio, Eugenio</t>
  </si>
  <si>
    <t>T2.OM TOM: Techniques and Technologies for an Ontology-Based Mobility Tool with Open Maps</t>
  </si>
  <si>
    <t>CURRENT TRENDS IN WEB ENGINEERING</t>
  </si>
  <si>
    <t>10th International Conference on Web Engineering</t>
  </si>
  <si>
    <t>JUL 05-09, 2010</t>
  </si>
  <si>
    <t>Vienna Univ Technol,Business Informat Grp,Austrian Comp Soc,Austrian Fed Minist Sci &amp; Res,Austrian Fed Minist Transport, Innovat &amp; Technol,Vienna Convent Bur,SIEMENS AG,Google,Austrian Airlines</t>
  </si>
  <si>
    <t>MATCHMAKING</t>
  </si>
  <si>
    <t>Nowadays, vehicle navigation systems have a limited effectiveness in satisfying user interests and needs. They basically locate the user's GPS position on a map and calculate a path toward a given destination. This paper presents an innovative semantic-based navigation system, acting as intelligent agent offering an advanced assistance during a road trip. It integrates a mobile matchmaker, which allows a knowledge-oriented destination discovery, in order to fully accomplish requirements of a user during her travel. The framework we propose is based on open standards, and particularly it uses crowd-sourced maps available under the OpenStreetMap project, where Points Of Interest (POI) of the basic cartography are semantically featured in order to enable novel services supporting a traveling user.</t>
  </si>
  <si>
    <t>[Ruta, Michele; Scioscia, Floriano; Ieva, Saverio; Di Sciascio, Eugenio] Politecn Bari, I-70125 Bari, Italy</t>
  </si>
  <si>
    <t>Politecnico di Bari</t>
  </si>
  <si>
    <t>Ruta, M (corresponding author), Politecn Bari, Via Re David 200, I-70125 Bari, Italy.</t>
  </si>
  <si>
    <t>m.rata@poliba.it; f.scioscia@poliba.it; ieva@deemail.poliba.it; disciascio@poliba.it</t>
  </si>
  <si>
    <t>Scioscia, Floriano/E-2205-2017</t>
  </si>
  <si>
    <t>Scioscia, Floriano/0000-0002-7859-9602; RUTA, Michele/0000-0003-2125-327X; di sciascio, eugenio/0000-0002-5484-9945</t>
  </si>
  <si>
    <t>978-3-642-16984-7</t>
  </si>
  <si>
    <t>6385s</t>
  </si>
  <si>
    <t>BUV36</t>
  </si>
  <si>
    <t>WOS:000290453500018</t>
  </si>
  <si>
    <t>Chang, PC; Quiroga, LM</t>
  </si>
  <si>
    <t>Chang, Pei-Chia; Quiroga, Luz M.</t>
  </si>
  <si>
    <t>Using Wikipedia's Content for Cross-Website Page Recommendations that Consider Serendipity</t>
  </si>
  <si>
    <t>INTERNATIONAL CONFERENCE ON TECHNOLOGIES AND APPLICATIONS OF ARTIFICIAL INTELLIGENCE (TAAI 2010)</t>
  </si>
  <si>
    <t>Conference on Technologies and Applications of Artificial Intelligence</t>
  </si>
  <si>
    <t>15th Annual International Conference on Technologies and Applications of Artificial Intelligence (TAAI)</t>
  </si>
  <si>
    <t>NOV 18-20, 2010</t>
  </si>
  <si>
    <t>Hsinchu, TAIWAN</t>
  </si>
  <si>
    <t>IEEE Comp Soc,Taiwanese Assoc AI</t>
  </si>
  <si>
    <t>Recommender; personalization; Wikipedia; information filtering</t>
  </si>
  <si>
    <t>A majority of web personalization research concentrates on customizing a single website. On the contrary, recommending web pages across websites is the focus of this study. We emphasize that eliciting user interests among different topics within a domain is an important concern in cross-website page recommendations. Enhancing Wikipedia's categorization system through heuristic information extraction, we constructed a system to study the coverage of a user's interests in order to promote serendipity, new and interesting information, in recommendations. We compared our system's performance regarding topicality and serendipity with the classical vector space model and obtained a slightly superior result.</t>
  </si>
  <si>
    <t>[Chang, Pei-Chia] Univ Hawaii Manoa, Informat &amp; Comp Sci, Honolulu, HI 96822 USA; [Quiroga, Luz M.] Univ Hawaii Manoa, Lib &amp; Informat Sci, Informat &amp; Comp Sci, Honolulu, HI 96822 USA</t>
  </si>
  <si>
    <t>University of Hawaii System; University of Hawaii Manoa; University of Hawaii System; University of Hawaii Manoa</t>
  </si>
  <si>
    <t>Chang, PC (corresponding author), Univ Hawaii Manoa, Informat &amp; Comp Sci, Honolulu, HI 96822 USA.</t>
  </si>
  <si>
    <t>pcchang@hawaii.edu; lquiroga@hawaii.edu</t>
  </si>
  <si>
    <t>2376-6816</t>
  </si>
  <si>
    <t>978-0-7695-4253-9</t>
  </si>
  <si>
    <t>CONF TECHNOL APPL</t>
  </si>
  <si>
    <t>10.1109/TAAI.2010.55</t>
  </si>
  <si>
    <t>BH3JH</t>
  </si>
  <si>
    <t>WOS:000399726300044</t>
  </si>
  <si>
    <t>Hutton, NS; Allen, MJ</t>
  </si>
  <si>
    <t>Hutton, Nicole S.; Allen, Michael J.</t>
  </si>
  <si>
    <t>Flood Hazard Awareness at Old Dominion University: Assessment and Opportunity</t>
  </si>
  <si>
    <t>JOURNAL OF CONTEMPORARY WATER RESEARCH &amp; EDUCATION</t>
  </si>
  <si>
    <t>flood; risk perception; survey; hazards; education; resilience</t>
  </si>
  <si>
    <t>SEA-LEVEL RISE; NATURAL HAZARDS; CLIMATE-CHANGE; HAMPTON ROADS; ADAPTATION; PERCEPTION; VULNERABILITY; GOVERNANCE; RESPONSES; EDUCATION</t>
  </si>
  <si>
    <t>Building resilience to flooding is a commitment of several universities; however, student interest in flood education programs is unclear. The goals of this research are three-fold: 1) to determine the origin of flood messaging on the Old Dominion University (ODU) campus, 2) to assess on-campus flood awareness, and 3) to evaluate the interest in additional flood education. This study evaluates student awareness of flooding via a survey of ODU students and contextual analysis of University warning messages. Many students experienced reduced access to campus as a result of flooding and expressed an interest in additional flood information. Some students reported receiving flood-related information through in-class instruction or orientation-based programming. However, the content varies in detail, and ODU could formally integrate additional resources into outreach and flood education programming. These findings could support the development of a campus wide flood awareness program at ODU and other universities.</t>
  </si>
  <si>
    <t>[Hutton, Nicole S.; Allen, Michael J.] Old Dominion Univ, Dept Polit Sci &amp; Geog, Norfolk, VA 23529 USA</t>
  </si>
  <si>
    <t>Old Dominion University</t>
  </si>
  <si>
    <t>Hutton, NS (corresponding author), Old Dominion Univ, Dept Polit Sci &amp; Geog, Norfolk, VA 23529 USA.</t>
  </si>
  <si>
    <t>nhuttons@odu.edu; mallen@odu.edu</t>
  </si>
  <si>
    <t>1936-7031</t>
  </si>
  <si>
    <t>1936-704X</t>
  </si>
  <si>
    <t>J CONTEMP WAT RES ED</t>
  </si>
  <si>
    <t>J. Contemp. Wat. Res. Educ.</t>
  </si>
  <si>
    <t>10.1111/j.1936-704X.2021.3352.x</t>
  </si>
  <si>
    <t>Water Resources</t>
  </si>
  <si>
    <t>SO6HU</t>
  </si>
  <si>
    <t>WOS:000659071700003</t>
  </si>
  <si>
    <t>Hanna, A; Rounds, J</t>
  </si>
  <si>
    <t>Hanna, Alexis; Rounds, James</t>
  </si>
  <si>
    <t>How Accurate Are Interest Inventories? A Quantitative Review of Career Choice Hit Rates</t>
  </si>
  <si>
    <t>PSYCHOLOGICAL BULLETIN</t>
  </si>
  <si>
    <t>career choice; hit rate; interest inventories; meta-analysis; vocational interests</t>
  </si>
  <si>
    <t>VOCATIONAL-INTEREST BLANK; CAMPBELL INTEREST INVENTORY; SELF-DIRECTED SEARCH; BASIC INTEREST SCALES; MATH/SCIENCE GRADUATE-STUDENTS; OCCUPATIONAL INTEREST SURVEY; CRITERION-RELATED VALIDITY; KUDER PREFERENCE RECORD; HIGH-SCHOOL SENIORS; HIGH POINT CODES</t>
  </si>
  <si>
    <t>Vocational interests have a rich history throughout the last century of psychological research, playing an influential role in fields such as personality, development, education, counseling, and organizational psychology. Yet interest measures are typically developed with the goal of matching people to careers, and there has never been a quantitative review of interests and career choice. The present meta-analysis examines the validity of interest inventories for predicting educational choices and occupational membership. This analysis of predictive hit rates incorporates almost 100 years of research investigating the accuracy of interest inventories. Using a binomial-normal meta-analytic model, the present analysis found that measured interests attain an estimated overall hit rate of 50.8% for predicting career choice. Because of the vast amount of career choice possibilities, this effect size conveys a significant degree of predictive accuracy. We also tested several potential moderators to address historical debates surrounding interest measurement. In particular, accuracy was moderated by year of publication, interest inventory, type of interest inventory scale, type of career choice outcome, and hit rate calculation method. Finally, the present study reintroduces base rates into the evaluation of predictive accuracy. We demonstrate the importance of taking base rates into account by comparing interest category hit rates and employment rates within those categories. Overall, the results of this study demonstrate that interest inventories possess considerable validity for predicting career choice, supporting their use in research, education, and work contexts.</t>
  </si>
  <si>
    <t>[Hanna, Alexis; Rounds, James] Univ Illinois, Dept Psychol, Urbana, IL 61801 USA; [Hanna, Alexis] Univ Nevada Reno, Dept Management, 1664 South Virginia St, Reno, NV 89509 USA</t>
  </si>
  <si>
    <t>University of Illinois System; University of Illinois Urbana-Champaign; Nevada System of Higher Education (NSHE); University of Nevada Reno</t>
  </si>
  <si>
    <t>Hanna, A (corresponding author), Univ Illinois, Dept Psychol, Urbana, IL 61801 USA.;Hanna, A (corresponding author), Univ Nevada Reno, Dept Management, 1664 South Virginia St, Reno, NV 89509 USA.</t>
  </si>
  <si>
    <t>alexishanna@unr.edu</t>
  </si>
  <si>
    <t>Hanna, Alexis/AAA-2409-2022</t>
  </si>
  <si>
    <t>Hanna, Alexis/0000-0001-8869-0437</t>
  </si>
  <si>
    <t>0033-2909</t>
  </si>
  <si>
    <t>1939-1455</t>
  </si>
  <si>
    <t>PSYCHOL BULL</t>
  </si>
  <si>
    <t>Psychol. Bull.</t>
  </si>
  <si>
    <t>10.1037/bul0000269</t>
  </si>
  <si>
    <t>Psychology; Psychology, Multidisciplinary</t>
  </si>
  <si>
    <t>NG2FA</t>
  </si>
  <si>
    <t>WOS:000563799600002</t>
  </si>
  <si>
    <t>Chen, YP; Wang, JK; Jiang, YT; Wen, LQ; Zhao, W</t>
  </si>
  <si>
    <t>Chen, Yipu; Wang, Jingkun; Jiang, Yongtao; Wen, Liqiang; Zhao, Wen</t>
  </si>
  <si>
    <t>UNEG: A Description-Enhanced Graph-based News Recommendation Method</t>
  </si>
  <si>
    <t>2022 6TH INTERNATIONAL SYMPOSIUM ON COMPUTER SCIENCE AND INTELLIGENT CONTROL, ISCSIC</t>
  </si>
  <si>
    <t>6th International Symposium on Computer Science and Intelligent Control (ISCSIC)</t>
  </si>
  <si>
    <t>NOV 11-13, 2022</t>
  </si>
  <si>
    <t>Xian Jiaotong Liverpool Univ,Zhejiang Univ,Newcastle Univ,IASED,Processes</t>
  </si>
  <si>
    <t>graph neural network; attention mechanism; news recommendation</t>
  </si>
  <si>
    <t>Modeling news and users accurately became more and more crucial in personalized news recommendation. Exploring rich relational information with graph-based representation learning methods is challenging. Existing graph-based methods learn the representations of news items and user interests with external knowledge graphs or user-news bipartite graphs. However, they rarely link two news through the entities they refer to in common and fail to consider their correlations. In this paper, we propose a novel User-News-Entity Graph, named UNEG, which associates news items with their mentioned entities and users with the news articles they browsed. In our practice, we use categoryaware graph attention networks to model representations of high-order relationships between nodes in UNEG. Furthermore, we introduce entity descriptions as auxiliary information to enrich the initial representations of entity nodes, which provide additional text information on entity labels. We conduct experiments on a real-world dataset, and the results validate the effectiveness of our approach.</t>
  </si>
  <si>
    <t>[Chen, Yipu] Beida Software Engn Corp, Beijing, Peoples R China; [Wang, Jingkun; Jiang, Yongtao; Wen, Liqiang; Zhao, Wen] Peking Univ, Beijing, Peoples R China</t>
  </si>
  <si>
    <t>Zhao, W (corresponding author), Peking Univ, Beijing, Peoples R China.</t>
  </si>
  <si>
    <t>chenyp@beidasoft.com; wjk@pku.edu.cn; yongtao@pku.edu.cn; wenlq@pku.edu.cn; zhaowen@pku.edu.cn</t>
  </si>
  <si>
    <t>jiang, yongtao/GXZ-9105-2022</t>
  </si>
  <si>
    <t>National Key Research and Development Program of China [2020YFC0833300]</t>
  </si>
  <si>
    <t>National Key Research and Development Program of China(National Key Research &amp; Development Program of China)</t>
  </si>
  <si>
    <t>This work is supported by the National Key Research and Development Program of China (No. 2020YFC0833300).</t>
  </si>
  <si>
    <t>978-1-6654-5488-9</t>
  </si>
  <si>
    <t>10.1109/ISCSIC57216.2022.00037</t>
  </si>
  <si>
    <t>BV1RH</t>
  </si>
  <si>
    <t>WOS:000995421300026</t>
  </si>
  <si>
    <t>Lei, DJ</t>
  </si>
  <si>
    <t>Li, T; Mao, R; Wang, G; Teng, F; Zhang, L; Wang, L; Cui, L; Hu, J</t>
  </si>
  <si>
    <t>Lei, Dejun</t>
  </si>
  <si>
    <t>FCI: Feature Cross and User Interest Network</t>
  </si>
  <si>
    <t>BIG DATA, BIGDATA 2022</t>
  </si>
  <si>
    <t>10th CCF Big Data Conference (BigData)</t>
  </si>
  <si>
    <t>NOV 18-20, 2022</t>
  </si>
  <si>
    <t>the CCF Task Force Big Data,Southwest Jiaotong Univ,Sichuan Univ,Univ Elect Sci technology,Southwestern Univ Finance Econ,Chengdu New Econ Dev Commission,Sichuan Assoc Artificial Intelligence</t>
  </si>
  <si>
    <t>Recommended system; Behavior mining; Feature-cross; Sorting algorithm; Recommendation model</t>
  </si>
  <si>
    <t>Recommendation systems are widely used on Internet platforms and the Recommendation system is one of the most mature scenarios for data mining applications. Ranking algorithms in recommender systems are the most effective means to increase user clicks. At present, the recommendation system ranking algorithm is mainly divided into two categories. One is based on data mining, such as user features, product features, and scene features and crosses these functions manually or automatically. The second method, by mining the user's behavior sequence, obtains the user's interests and displays the product to the user. The first approach does not mine useful behavioral data. The second method cannot effectively perform feature crossover and loses some crossover information between users and products. This paper proposes a new ranking method for recommender systems. Feature Cross and User Interest Network FCI. It can efficiently and automatically discover cross features based on users, products, and scenarios. At the same time, mining the historical behavior information of users. In this algorithm, firstly our put-forward model resembles a wide-depth structure. Wide structure puts feature intersection network, deep structure puts user historical behavior mining network. Secondly experimental comparisons are made by changing different feature intersection networks and user behavior sequence networks. Finally, by adding the pre-training vector of the product, compare different pre-training methods. This approach greatly improves the CTR in practical recommender systems.</t>
  </si>
  <si>
    <t>[Lei, Dejun] Southwest Petr Univ, Sch Comp Sci, 8 Xindu Ave, Chengdu 610599, Sichuan, Peoples R China</t>
  </si>
  <si>
    <t>Southwest Petroleum University</t>
  </si>
  <si>
    <t>Lei, DJ (corresponding author), Southwest Petr Univ, Sch Comp Sci, 8 Xindu Ave, Chengdu 610599, Sichuan, Peoples R China.</t>
  </si>
  <si>
    <t>leidejun1992@sina.com</t>
  </si>
  <si>
    <t>978-981-19-8330-6; 978-981-19-8331-3</t>
  </si>
  <si>
    <t>10.1007/978-981-19-8331-3_8</t>
  </si>
  <si>
    <t>BU5SM</t>
  </si>
  <si>
    <t>WOS:000917930300008</t>
  </si>
  <si>
    <t>Zarchi, MS; Monadjemi, A; Jamshidi, K</t>
  </si>
  <si>
    <t>Zarchi, Mohsen Sardari; Monadjemi, Amirhasan; Jamshidi, Kamal</t>
  </si>
  <si>
    <t>A semantic model for general purpose content-based image retrieval systems</t>
  </si>
  <si>
    <t>COMPUTERS &amp; ELECTRICAL ENGINEERING</t>
  </si>
  <si>
    <t>FEATURE-SELECTION; SEGMENTATION; ALGORITHMS</t>
  </si>
  <si>
    <t>The 'semantic gap' is the main challenge in content-based image retrieval. To overcome this challenge, we propose a semantic-based model to retrieve images efficiently with considering user-interested concepts. In this model, an interactive image segmentation algorithm is carried out on the query image to extract the user-interested regions. To recognize the image objects from regions, a neural network classifier is used in this model. In order to have a general-purpose system, no priori assumptions should be made regarding the nature of images in extracting features. So a large number of features should be extracted from all aspect of the image. The high dimensional feature space, not only increases the complexity and required memory, but also may reduce the efficiency and accuracy. Hence, the ant colony optimization algorithm is employed to eliminate irrelevant and redundant features. To find the most similar images to the query image, the similarity between images is measured based on their semantic objects which are defined according to a predefined ontology. (C) 2014 Elsevier Ltd. All rights reserved.</t>
  </si>
  <si>
    <t>[Zarchi, Mohsen Sardari; Monadjemi, Amirhasan; Jamshidi, Kamal] Univ Isfahan, Fac Comp Engn &amp; Informat Technol, Esfahan, Iran</t>
  </si>
  <si>
    <t>Zarchi, MS (corresponding author), Univ Isfahan, Fac Comp Engn &amp; Informat Technol, Hezar Jerib Ave, Esfahan, Iran.</t>
  </si>
  <si>
    <t>m.sardari@eng.ui.ac.ir; monadjemi@eng.ui.ac.ir; jamshidi@eng.ui.ac.ir</t>
  </si>
  <si>
    <t>Sardari Zarchi, Mohsen/AAA-7240-2022</t>
  </si>
  <si>
    <t>Sardari Zarchi, Mohsen/0000-0003-0831-3426</t>
  </si>
  <si>
    <t>0045-7906</t>
  </si>
  <si>
    <t>1879-0755</t>
  </si>
  <si>
    <t>COMPUT ELECTR ENG</t>
  </si>
  <si>
    <t>Comput. Electr. Eng.</t>
  </si>
  <si>
    <t>10.1016/j.compeleceng.2014.07.008</t>
  </si>
  <si>
    <t>Computer Science, Hardware &amp; Architecture; Computer Science, Interdisciplinary Applications; Engineering, Electrical &amp; Electronic</t>
  </si>
  <si>
    <t>AU6OL</t>
  </si>
  <si>
    <t>WOS:000345722000004</t>
  </si>
  <si>
    <t>Xia, X; Eksombatchai, P; Pancha, N; Badani, DD; Wang, PW; Gu, N; Joshi, SV; Farahpour, N; Zhang, ZY; Zhai, A</t>
  </si>
  <si>
    <t>Xia, Xue; Eksombatchai, Pong; Pancha, Nikil; Badani, Dhruvil Deven; Wang, Po-Wei; Gu, Neng; Joshi, Saurabh Vishwas; Farahpour, Nazanin; Zhang, Zhiyuan; Zhai, Andrew</t>
  </si>
  <si>
    <t>TransAct: Transformer-based Realtime User Action Model for Recommendation at Pinterest</t>
  </si>
  <si>
    <t>PROCEEDINGS OF THE 29TH ACM SIGKDD CONFERENCE ON KNOWLEDGE DISCOVERY AND DATA MINING, KDD 2023</t>
  </si>
  <si>
    <t>29th ACM SIGKDD Conference on Knowledge Discovery and Data Mining (KDD)</t>
  </si>
  <si>
    <t>AUG 06-10, 2023</t>
  </si>
  <si>
    <t>Long Beach, CA</t>
  </si>
  <si>
    <t>Personalization; Recommender Systems; Sequential Recommendation; User Interest Modeling</t>
  </si>
  <si>
    <t>NEURAL-NETWORKS</t>
  </si>
  <si>
    <t>Sequential models that encode user activity for next action prediction have become a popular design choice for building web-scale personalized recommendation systems. Traditional methods of sequential recommendation either utilize end-to-end learning on realtime user actions, or learn user representations separately in an offline batch-generated manner. This paper (1) presents Pinterest's ranking architecture for Homefeed, our personalized recommendation product and the largest engagement surface; (2) proposes TransAct, a sequential model that extracts users' short-term preferences from their realtime activities; (3) describes our hybrid approach to ranking, which combines end-to-end sequential modeling via TransAct with batch-generated user embeddings. The hybrid approach allows us to combine the advantages of responsiveness from learning directly on realtime user activity with the cost-effectiveness of batch user representations learned over a longer time period. We describe the results of ablation studies, the challenges we faced during productionization, and the outcome of an online A/B experiment, which validates the effectiveness of our hybrid ranking model. We further demonstrate the effectiveness of TransAct on other surfaces such as contextual recommendations and search. Our model has been deployed to production in Homefeed, Related Pins, Notifications, and Search at Pinterest.</t>
  </si>
  <si>
    <t>[Xia, Xue; Eksombatchai, Pong; Pancha, Nikil; Badani, Dhruvil Deven; Wang, Po-Wei; Gu, Neng; Joshi, Saurabh Vishwas; Farahpour, Nazanin; Zhang, Zhiyuan; Zhai, Andrew] Pinterest, San Francisco, CA 94107 USA</t>
  </si>
  <si>
    <t>Xia, X (corresponding author), Pinterest, San Francisco, CA 94107 USA.</t>
  </si>
  <si>
    <t>xxia@pinterest.com; pong@pinterest.com; npancha@pinterest.com; dbadani@pinterest.com; poweiwang@pinterest.com; ngu@pinterest.com; sjoshi@pinterest.com; nfarahpour@pinterest.com; zhiyuan@pinterest.com; andrew@aideate.ai</t>
  </si>
  <si>
    <t>Pancha, Nikil/0000-0002-1755-7601; Farahpour, Nazanin/0009-0007-2124-6877; Wang, Po-Wei/0009-0005-0662-1312; Joshi, Saurabh Vishwas/0009-0001-2414-4151; Badani, Dhruvil Deven/0009-0001-5060-967X</t>
  </si>
  <si>
    <t>979-8-4007-0103-0</t>
  </si>
  <si>
    <t>10.1145/3580305.3599918</t>
  </si>
  <si>
    <t>BW2LZ</t>
  </si>
  <si>
    <t>WOS:001118896305026</t>
  </si>
  <si>
    <t>Chen, JJ; Wang, WJ; Gao, CM; Wu, P; Wei, JX; Hua, QS</t>
  </si>
  <si>
    <t>Chen, Jiaju; Wang, Wenjie; Gao, Chongming; Wu, Peng; Wei, Jianxiong; Hua, Qingsong</t>
  </si>
  <si>
    <t>Treatment Effect Estimation for User Interest Exploration on Recommender Systems</t>
  </si>
  <si>
    <t>PROCEEDINGS OF THE 47TH INTERNATIONAL ACM SIGIR CONFERENCE ON RESEARCH AND DEVELOPMENT IN INFORMATION RETRIEVAL, SIGIR 2024</t>
  </si>
  <si>
    <t>47th Annual International ACM SIGIR Conference on Research and Development in Information Retrieval (SIGIR)</t>
  </si>
  <si>
    <t>JUL 14-18, 2024</t>
  </si>
  <si>
    <t>Recommender Systems; User Interest Exploration; Treatment Effect Estimation; Multivariate Continuous Treatments</t>
  </si>
  <si>
    <t>Recommender systems learn personalized user preferences from user feedback like clicks. However, user feedback is usually biased towards partially observed interests, leaving many users' hidden interests unexplored. Existing approaches typically mitigate the bias, increase recommendation diversity, or use bandit algorithms to balance exploration-exploitation trade-offs. Nevertheless, they fail to consider the potential rewards of recommending different categories of items and lack the global scheduling of allocating top-N recommendations to categories, leading to suboptimal exploration. In this work, we propose an Uplift model-based Recommender (UpliftRec) framework, which regards top-N recommendation as a treatment optimization problem. UpliftRec estimates the treatment effects, i.e., the click-through rate (CTR) under different category exposure ratios, by using observational user feedback. UpliftRec calculates group-level treatment effects to discover users' hidden interests with high CTR rewards and leverages inverse propensity weighting to alleviate confounder bias. Thereafter, UpliftRec adopts a dynamic programming method to calculate the optimal treatment for overall CTR maximization. We implement UpliftRec on different backend models and conduct extensive experiments on three datasets. The empirical results validate the effectiveness of UpliftRec in discovering users' hidden interests while achieving superior recommendation accuracy.</t>
  </si>
  <si>
    <t>[Chen, Jiaju; Gao, Chongming] Univ Sci &amp; Technol China, Hefei, Anhui, Peoples R China; [Wang, Wenjie] Natl Univ Singapore, Singapore, Singapore; [Wu, Peng] Beijing Technol &amp; Business Univ, Beijing, Peoples R China; [Wei, Jianxiong; Hua, Qingsong] Meituan, Beijing, Peoples R China</t>
  </si>
  <si>
    <t>Chinese Academy of Sciences; University of Science &amp; Technology of China, CAS; National University of Singapore; Beijing Technology &amp; Business University</t>
  </si>
  <si>
    <t>Wang, WJ (corresponding author), Natl Univ Singapore, Singapore, Singapore.</t>
  </si>
  <si>
    <t>cjj01@mail.ustc.edu.cn; wenjiewang96@gmail.com; chongming.gao@gmail.com; pengwu@btbu.edu.cn; weijianxiong@meituan.com; huaqingsong@meituan.com</t>
  </si>
  <si>
    <t>hua, Qingsong/QDN-5846-2026; Gao, Chongming/AAC-7707-2021</t>
  </si>
  <si>
    <t>Wei, Jianxiong/0009-0001-9193-118X; Gao, Chongming/0000-0002-5187-9196</t>
  </si>
  <si>
    <t>National Key Research and Development Program of China [2022YFB3104701]; National Natural Science Foundation of China [62272437]; CCCD Key Lab of Ministry of Culture and Tourism</t>
  </si>
  <si>
    <t>National Key Research and Development Program of China(National Key Research &amp; Development Program of China); National Natural Science Foundation of China(National Natural Science Foundation of China (NSFC)); CCCD Key Lab of Ministry of Culture and Tourism</t>
  </si>
  <si>
    <t>This work is supported by the National Key Research and Development Program of China (2022YFB3104701), the National Natural Science Foundation of China (62272437), and the CCCD Key Lab of Ministry of Culture and Tourism.</t>
  </si>
  <si>
    <t>979-8-4007-0431-4</t>
  </si>
  <si>
    <t>10.1145/3626772.3657736</t>
  </si>
  <si>
    <t>BX2ZL</t>
  </si>
  <si>
    <t>WOS:001273410001091</t>
  </si>
  <si>
    <t>Morrow, T; Sarvestani, SS; Hurson, AR</t>
  </si>
  <si>
    <t>Morrow, Tyler; Sarvestani, Sahra Sedigh; Hurson, Ali R.</t>
  </si>
  <si>
    <t>Algorithmic Decision Support for Personalized Education</t>
  </si>
  <si>
    <t>PROCEEDINGS OF 2016 IEEE 17TH INTERNATIONAL CONFERENCE ON INFORMATION REUSE AND INTEGRATION (IEEE IRI)</t>
  </si>
  <si>
    <t>17th IEEE International Conference on Information Reuse and Integration</t>
  </si>
  <si>
    <t>JUL 28-30, 2016</t>
  </si>
  <si>
    <t>Pittsburgh, PA</t>
  </si>
  <si>
    <t>IEEE,IEEE Comp Soc,Univ Pittsburgh, Sch Informat Sci,IBM, Almaden Inst</t>
  </si>
  <si>
    <t>personalized learning; educational technology; recommendation algorithm; PERCEPOLIS</t>
  </si>
  <si>
    <t>This paper describes algorithmic decision support that facilitates recommendation of course schedules personalized to the background and interests of a given student. More specifically, recommendations are made with prioritized consideration of four categories of information: (1) degree requirements, (2) student interests, (3) student performance, and (4) time-to-degree. All four categories of information may not be available for a given student. The algorithm generates personalized recommendations by constructing a graph from degree requirements, identifying critical paths in the graph, and placing such paths within a course schedule. We describe the implementation of the algorithm in the context of PERCEPOLIS, a Pervasive Cyberinfrastructure for Personalized Learning and Instructional Support, a framework constructed in our earlier work on personalized learning.</t>
  </si>
  <si>
    <t>[Morrow, Tyler; Hurson, Ali R.] Missouri Univ Sci &amp; Technol, Dept Comp Sci, Rolla, MO 65409 USA; [Sarvestani, Sahra Sedigh] Missouri Univ Sci &amp; Technol, Dept Elect &amp; Comp Engn, Rolla, MO 65409 USA</t>
  </si>
  <si>
    <t>University of Missouri System; Missouri University of Science &amp; Technology; University of Missouri System; Missouri University of Science &amp; Technology</t>
  </si>
  <si>
    <t>Morrow, T (corresponding author), Missouri Univ Sci &amp; Technol, Dept Comp Sci, Rolla, MO 65409 USA.</t>
  </si>
  <si>
    <t>tmorrow@mst.edu; sedighs@mst.edu; hurson@mst.edu</t>
  </si>
  <si>
    <t>Hurson, Alireza/JXY-2465-2024</t>
  </si>
  <si>
    <t>Hurson, Alireza/0000-0002-9510-0762</t>
  </si>
  <si>
    <t>978-1-5090-3207-5</t>
  </si>
  <si>
    <t>10.1109/IRI.2016.32</t>
  </si>
  <si>
    <t>BG7KA</t>
  </si>
  <si>
    <t>WOS:000391397100023</t>
  </si>
  <si>
    <t>Nadee, W; Li, YF; Xu, Y</t>
  </si>
  <si>
    <t>Nadee, Wanvimol; Li, Yuefeng; Xu, Yue</t>
  </si>
  <si>
    <t>Acquiring User Information Needs For Recommender Systems</t>
  </si>
  <si>
    <t>2013 IEEE/WIC/ACM INTERNATIONAL JOINT CONFERENCE ON WEB INTELLIGENCE AND INTELLIGENT AGENT TECHNOLOGY - WORKSHOPS (WI-IAT), VOL 3</t>
  </si>
  <si>
    <t>Recommender systems; content-based recommender system; item taxonomic descriptors; concept hierarchy; items' popularity; concept vector; user interest</t>
  </si>
  <si>
    <t>Most recommender systems attempt to use collaborative filtering, content-based filtering or hybrid approach to recommend items to new users. Collaborative filtering recommends items to new users based on their similar neighbours, and content-based filtering approach tries to recommend items that are similar to new users' profiles. The fundamental issues include how to profile new users, and how to deal with the over-specialization in content-based recommender systems. Indeed, the terms used to describe items can be formed as a concept hierarchy. Therefore, we aim to describe user profiles or information needs by using concepts vectors. This paper presents a new method to acquire user information needs, which allows new users to describe their preferences on a concept hierarchy rather than rating items. It also develops a new ranking function to recommend items to new users based on their information need. The proposed approach is evaluated on Amazon book datasets. The experimental results demonstrate that the proposed approach can largely improve the effectiveness of recommender systems.</t>
  </si>
  <si>
    <t>[Nadee, Wanvimol; Li, Yuefeng; Xu, Yue] Queensland Univ Technol, Fac Sci &amp; Engn, Sch Elect Engn &amp; Comp Sci, Brisbane, Qld 4001, Australia</t>
  </si>
  <si>
    <t>Nadee, W (corresponding author), Queensland Univ Technol, Fac Sci &amp; Engn, Sch Elect Engn &amp; Comp Sci, Brisbane, Qld 4001, Australia.</t>
  </si>
  <si>
    <t>wanvimol.nadee@student.qut.edu.au; y2.li@qut.edu.au; yue.xu@qut.edu.au</t>
  </si>
  <si>
    <t>Nadee, Wanvimol/GRE-9113-2022; Xu, Yue/AAD-9854-2020</t>
  </si>
  <si>
    <t>Xu, Yue/0000-0002-1137-0272</t>
  </si>
  <si>
    <t>10.1109/WI-IAT.2013.140</t>
  </si>
  <si>
    <t>BA0EJ</t>
  </si>
  <si>
    <t>WOS:000331078300002</t>
  </si>
  <si>
    <t>Siriaraya, P; Yamaguchi, Y; Morishita, M; Inagaki, Y; Nakamoto, R; Zhang, JW; Aoi, J; Nakajima, S</t>
  </si>
  <si>
    <t>Siriaraya, Panote; Yamaguchi, Yuriko; Morishita, Mimpei; Inagaki, Yoichi; Nakamoto, Reyn; Zhang, Jianwei; Aoi, Junichi; Nakajima, Shinsuke</t>
  </si>
  <si>
    <t>Using categorized web browsing history to estimate the user's latent interests for web advertisement recommendation</t>
  </si>
  <si>
    <t>Recommender systems; Online advertising; User profile analysis; analysis of categorized browsing history</t>
  </si>
  <si>
    <t>Online advertising has become a popular method for companies to market their products and services to potential customers. The methods used by conventional web advertisement systems to decide on which advertisements to display to users in a real-time bidding environment generally do not consider the latent interests of users and as such it is difficult for advertisers to target and acquire new customers with potential interest in the product. Therefore, we proposed the development of a recommender system which could recommend advertisements to users based on their latent interests. In this paper, we outline two experiment studies related to the development of this system. The first study was carried out to examine the effect of using a long and short browsing history acquisition period to train the user model and predict user interests. The results suggested that a longer browsing history acquisition period did not necessarily result in better predictive performance. The second study examined the use of a categorized web browsing history to predict user interest. The results showed the accuracy of the classifiers increased when website categories were used instead of Fully Qualified Domain Names.</t>
  </si>
  <si>
    <t>[Siriaraya, Panote; Yamaguchi, Yuriko; Nakajima, Shinsuke] Kyoto Sangyo Univ, Fac Comp Sci &amp; Engn, Kyoto, Japan; [Morishita, Mimpei; Inagaki, Yoichi; Nakamoto, Reyn] Kizasi Co Inc, Tokyo, Japan; [Zhang, Jianwei] Iwate Univ, Fac Sci &amp; Engn, Morioka, Iwate, Japan; [Aoi, Junichi] MicroAd Inc, Tokyo, Japan</t>
  </si>
  <si>
    <t>Kyoto Sangyo University; Iwate University</t>
  </si>
  <si>
    <t>Siriaraya, P (corresponding author), Kyoto Sangyo Univ, Fac Comp Sci &amp; Engn, Kyoto, Japan.</t>
  </si>
  <si>
    <t>spanote@gmail.com; i1658164@cc.kyoto-su.ac.jp; mimpei@kizasi.jp; inagaki@kizasi.jp; reyn@kizasi.jp; zhang@iwate-u.ac.jp; aoi_junichi@microad.co.jp; nakajima@cc.kyoto-su.ac.jp</t>
  </si>
  <si>
    <t>/W-4704-2019</t>
  </si>
  <si>
    <t>JSPS KAKENHI [17H01822, 26330351]; Grants-in-Aid for Scientific Research [17H01822, 26330351] Funding Source: KAKEN</t>
  </si>
  <si>
    <t>The work carried out in this paper is supported by the JSPS KAKENHI research grant (Grants number 17H01822 and 26330351).</t>
  </si>
  <si>
    <t>WOS:000428073704062</t>
  </si>
  <si>
    <t>Zhang, GY; Cai, GH; Wu, H; Zheng, SW</t>
  </si>
  <si>
    <t>Zhang, L; Xu, D</t>
  </si>
  <si>
    <t>Zhang, Guoying; Cai, Guanghui; Wu, Hao; Zheng, Shuwen</t>
  </si>
  <si>
    <t>A nonnegative Matrix Tri-Factorization Technique for Recommendation in Microblog</t>
  </si>
  <si>
    <t>PROCEEDINGS OF THE 2016 6TH INTERNATIONAL CONFERENCE ON MACHINERY, MATERIALS, ENVIRONMENT, BIOTECHNOLOGY AND COMPUTER (MMEBC)</t>
  </si>
  <si>
    <t>AER-Advances in Engineering Research</t>
  </si>
  <si>
    <t>6th International Conference on Machinery, Materials, Environment, Biotechnology and Computer (MMEBC)</t>
  </si>
  <si>
    <t>JUN 11-12, 2016</t>
  </si>
  <si>
    <t>Int Informat &amp; Engn Assoc,Indian Inst Technol,Univ Sydney Technol,Univ Polytechn Bucharest,Univ Teknologi MARA</t>
  </si>
  <si>
    <t>Micro-blogging communities; Recommendation system; Demographic information; Genre information</t>
  </si>
  <si>
    <t>Nowadays, more and more users share news and information in micro-blogging communities such as Twitter, Tumblr or Plurk. With the increasing number of registered users in this kind of sites, finding relevant and reliable sources of information becomes essential. For recommending sufficient information for a user, it is important to extract automatically user's interest with accuracy and to collect new information which interests and attracts the user. To address this problem, we propose a social matrix tri-factorization model with two auxiliary matrices to improve the accuracy of recommendation in microblog. We construct two matrices on the users and items respectively, to exploit the user's demographic information and item's genre information which play an important role in microblog recommendation system. Experimental results show that our method achieves a higher performance and provide more effective results than the state-of-art methods especially when recommending informations. We also show that out model captures user interests more precisely and gives better recommendation interpretability.</t>
  </si>
  <si>
    <t>[Zhang, Guoying; Wu, Hao; Zheng, Shuwen] Yunnan Univ, Sch Informat Sci &amp; Engn, Kunming 650091, Peoples R China; [Cai, Guanghui] Yunnan Univ, Sch Resource Environm &amp; Earth Sci, Kunming 650091, Peoples R China</t>
  </si>
  <si>
    <t>Yunnan University; Yunnan University</t>
  </si>
  <si>
    <t>Zhang, GY (corresponding author), Yunnan Univ, Sch Informat Sci &amp; Engn, Kunming 650091, Peoples R China.</t>
  </si>
  <si>
    <t>jqueebi@126.com; ghcai@ynu.edu.cn; haowu@ynu.edu.cn; 463580488@qq.com</t>
  </si>
  <si>
    <t>Wu, Hao/T-5893-2019</t>
  </si>
  <si>
    <t>2352-5401</t>
  </si>
  <si>
    <t>978-94-6252-210-7</t>
  </si>
  <si>
    <t>AER ADV ENG RES</t>
  </si>
  <si>
    <t>Engineering, Multidisciplinary; Multidisciplinary Sciences</t>
  </si>
  <si>
    <t>Engineering; Science &amp; Technology - Other Topics</t>
  </si>
  <si>
    <t>BG6PL</t>
  </si>
  <si>
    <t>WOS:000390720000293</t>
  </si>
  <si>
    <t>Surya, WP; Arty, IS</t>
  </si>
  <si>
    <t>Surya, W. P.; Arty, I. S.</t>
  </si>
  <si>
    <t>Students' attitudes toward chemistry based on their learning experiences</t>
  </si>
  <si>
    <t>INTERNATIONAL CONFERENCE ON MATHEMATICS AND SCIENCE EDUCATION (ICMSCE) 2020</t>
  </si>
  <si>
    <t>International Conference on Mathematics and Science Education (ICMScE)</t>
  </si>
  <si>
    <t>JUL 14-15, 2020</t>
  </si>
  <si>
    <t>Someone with special interest in a topic will easily participate in learning activities and easily adapt to the learning environment as needed. The purpose of this study is to analyze students' interest in chemistry based on student learning experiences in classroom. In this study, a questionnaire containing several statements about students' interests was distributed. The questionnaire was developed based on four categories, namely the level of student interest in chemistry, personal choice, teacher's role, and situational interest. The number of students who participated in this study was 61 students in high schools in Yogyakarta, Indonesia. Questionnaire data were analyzed quantitatively as means, standard deviations, and percentages, then categorized as low, medium, or high. Data shows that as many as 29.2% of students have high interest, 67.2% of students have moderate interest, and 3.3% of students have low interest. Female students are more interested in chemistry than male students. This research can be useful as additional information for teachers and other researchers to increase student interest because interest influences the learning process.</t>
  </si>
  <si>
    <t>[Surya, W. P.] Yogyakarta State Univ, Grad Sch, Jl Colombo 1, Yogyakarta 55281, Indonesia; [Arty, I. S.] Yogyakarta State Univ, Chem Dept, Fac Math &amp; Nat Sci, Jl Colombo 1, Yogyakarta 55281, Indonesia</t>
  </si>
  <si>
    <t>Universitas Negeri Yogyakarta; Universitas Negeri Yogyakarta</t>
  </si>
  <si>
    <t>Surya, WP (corresponding author), Yogyakarta State Univ, Grad Sch, Jl Colombo 1, Yogyakarta 55281, Indonesia.</t>
  </si>
  <si>
    <t>wisnupramanasurya@gmail.com</t>
  </si>
  <si>
    <t>Prammana Surya, Wisnu/0000-0002-8763-1213</t>
  </si>
  <si>
    <t>10.1088/1742-6596/1806/1/012178</t>
  </si>
  <si>
    <t>BR6UL</t>
  </si>
  <si>
    <t>WOS:000664182600177</t>
  </si>
  <si>
    <t>Lubowich, D; Shupla, C</t>
  </si>
  <si>
    <t>Manning, JG; Hemenway, MK; Jensen, JB; Gibbs, MG</t>
  </si>
  <si>
    <t>Lubowich, Donald; Shupla, Christine</t>
  </si>
  <si>
    <t>Edible Earth and Space Science Activities</t>
  </si>
  <si>
    <t>ENSURING STEM LITERACY: A NATIONAL CONFERENCE ON STEM EDUCATION AND PUBLIC OUTREACH</t>
  </si>
  <si>
    <t>125th ASP Annual Conference on Ensuring STEM Literacy: A National Conference on STEM Education and Public Outreach</t>
  </si>
  <si>
    <t>JUL 20-24, 2013</t>
  </si>
  <si>
    <t>EXOPLANET EXPLORAT PROGRAM,JPL,Stratospher Observ Infrared Astron,NRAO,E&amp;S,Sky Skan,LOCKHEED MARTIN,sapl learn,Bell Aerosp &amp; Technol Corp,AAS,EXPLORE SCI,SEILER INSTRUMENT,Astron Soc Pacif,San Jose State Univ</t>
  </si>
  <si>
    <t>In this workshop we describe using Earth and Space Science demonstradons with edible ingredients to increase student interest. We show how to use chocolate, candy, cookies, popcorn, bagels, pastries, Pringles, marshmallows, whipped cream, and Starburst candy for activities such as: plate tectonics, the interior structure of the Earth and Mars, radioactivity/radioactive dating of rocks and stars, formation of the planets, lunar phases, convection, comets, black holes, curvature of space, dark energy, and the expansion of the Universe. In addition to creating an experience that will help students remember specific concepts, edible activities can be used as a formative assessment, providing students with the opportunity to create something that demonstrates their understanding of the model. The students often eat the demonstrations. These demonstrations are an effective teaching tool for all ages, and can be adapted for cultural, culinary, and ethnic differences among the students.</t>
  </si>
  <si>
    <t>[Lubowich, Donald] Hofstra Univ, Dept Phys &amp; Astron, Hempstead, NY 11549 USA; [Shupla, Christine] Lunar &amp; Planetary Inst, Houston, TX 77058 USA</t>
  </si>
  <si>
    <t>Hofstra University</t>
  </si>
  <si>
    <t>Lubowich, D (corresponding author), Hofstra Univ, Dept Phys &amp; Astron, Hempstead, NY 11549 USA.</t>
  </si>
  <si>
    <t>978-1-58381-850-3</t>
  </si>
  <si>
    <t>Astronomy &amp; Astrophysics; Education &amp; Educational Research; Education, Scientific Disciplines</t>
  </si>
  <si>
    <t>Astronomy &amp; Astrophysics; Education &amp; Educational Research</t>
  </si>
  <si>
    <t>BE7YU</t>
  </si>
  <si>
    <t>WOS:000376047500023</t>
  </si>
  <si>
    <t>McNeill, M</t>
  </si>
  <si>
    <t>McNeill, Myndee</t>
  </si>
  <si>
    <t>Vertical Zonation: Studying Ecological Patterns in the Rocky Intertidal Zone</t>
  </si>
  <si>
    <t>SCIENCE ACTIVITIES</t>
  </si>
  <si>
    <t>vertical zonation; adaptations; biome; niche; physiology</t>
  </si>
  <si>
    <t>Vertical zonation is a fascinating and well-studied ecological pattern that is readily observable in nature, and general aspects of it can be easily understood by fifth-and sixth-grade students. In this lesson, live animals can be used to engage student interest, and provide a simple yet effective means of teaching students about the importance of animal adaptations in determining an animal's distribution in the rocky intertidal zone. Knowledge of different animals' adaptations, combined with a basic knowledge of the physiological stresses faced by these animals that live in what is perhaps the world's harshest biome, enable the students to make predictions about where each of the animals might be found within the rocky intertidal zone.</t>
  </si>
  <si>
    <t>[McNeill, Myndee] Oregon Inst Marine Biol, POB 5389, Charleston, OR 97420 USA</t>
  </si>
  <si>
    <t>McNeill, M (corresponding author), Oregon Inst Marine Biol, POB 5389, Charleston, OR 97420 USA.</t>
  </si>
  <si>
    <t>myndee@uoregon.edu</t>
  </si>
  <si>
    <t>0036-8121</t>
  </si>
  <si>
    <t>1940-1302</t>
  </si>
  <si>
    <t>SCI ACT</t>
  </si>
  <si>
    <t>Sci. Act.</t>
  </si>
  <si>
    <t>10.1080/00368120903280735</t>
  </si>
  <si>
    <t>V3M2I</t>
  </si>
  <si>
    <t>WOS:000218383500002</t>
  </si>
  <si>
    <t>Lee, CJ; Craswell, N; Murdock, V</t>
  </si>
  <si>
    <t>Lee, Chia-Jung; Craswell, Nick; Murdock, Vanessa</t>
  </si>
  <si>
    <t>Inter-Category Variation in Location Search</t>
  </si>
  <si>
    <t>SIGIR 2015: PROCEEDINGS OF THE 38TH INTERNATIONAL ACM SIGIR CONFERENCE ON RESEARCH AND DEVELOPMENT IN INFORMATION RETRIEVAL</t>
  </si>
  <si>
    <t>38th Annual International ACM SIGIR Conference on Research and Development in Information Retrieval (SIGIR)</t>
  </si>
  <si>
    <t>AUG 09-13, 2015</t>
  </si>
  <si>
    <t>Santiago, CHILE</t>
  </si>
  <si>
    <t>Assoc Comp Machinery Special Interest Grp Informat Retrieval</t>
  </si>
  <si>
    <t>Mobile local search; category; rank distance; cross entropy</t>
  </si>
  <si>
    <t>When searching for place entities such as businesses or points of interest, the desired place may be close (finding the nearest ATM) or far away (finding a hotel in another city). Understanding the role of distance in predicting user interests can guide the design of location search and recommendation systems. We analyze a large dataset of location searches on GPS-enabled mobile devices with 15 location categories. We model user-location distance based on raw geographic distance (kilometers) and intervening opportunities (nth closest). Both models are helpful in predicting user interests, with the intervening opportunity model performing somewhat better. We find significant inter-category variation. For instance, the closest movie theater is selected in 17.7% of cases, while the closest restaurant in only 2.1% of cases. Overall, we recommend taking category information into account when modeling location preferences of users in search and recommendation systems.</t>
  </si>
  <si>
    <t>[Lee, Chia-Jung] Univ Massachusetts, Coll Informat &amp; Comp Sci, Amherst, MA 01003 USA; [Craswell, Nick; Murdock, Vanessa] Microsoft, Redmond, WA USA</t>
  </si>
  <si>
    <t>University of Massachusetts System; University of Massachusetts Amherst; Microsoft</t>
  </si>
  <si>
    <t>Lee, CJ (corresponding author), Univ Massachusetts, Coll Informat &amp; Comp Sci, Amherst, MA 01003 USA.</t>
  </si>
  <si>
    <t>cjlee@cs.umass.edu; nickcr@microsoft.com; vanmur@microsoft.com</t>
  </si>
  <si>
    <t>978-1-4503-3621-5</t>
  </si>
  <si>
    <t>10.1145/2766462.2767797</t>
  </si>
  <si>
    <t>BF5NJ</t>
  </si>
  <si>
    <t>WOS:000382307300111</t>
  </si>
  <si>
    <t>Ajanovski, VV</t>
  </si>
  <si>
    <t>Ajanovski, Vangel V.</t>
  </si>
  <si>
    <t>What to study next? Visual Guidance in Knowledge Acquisition</t>
  </si>
  <si>
    <t>PROCEEDINGS OF THE 25TH INTERNATIONAL CONFERENCE ON INTELLIGENT USER INTERFACES COMPANION (IUI'20)</t>
  </si>
  <si>
    <t>25th ACM International Conference on Intelligent User Interfaces (IUI)</t>
  </si>
  <si>
    <t>MAR 17-20, 2020</t>
  </si>
  <si>
    <t>Cagliari, ITALY</t>
  </si>
  <si>
    <t>Educational recommender systems; Learning analytics dashboards; Student progress tracking; Curriculum mapping</t>
  </si>
  <si>
    <t>This is a demo of a virtual academic adviser that enables student self-guidance and counters the unavailability of true academic advisers. The adviser integrates four visual tools: flexible and personalized planning of future terms and courses, body of knowledge acquisition mapping tool for easier finding of courses that are aligned to personal interests in terms of the acquired knowledge and abilities, and study program switch exploration tool to ease student mobility.</t>
  </si>
  <si>
    <t>[Ajanovski, Vangel V.] Ss Cyril &amp; Methodius Univ Skopje, Fac Comp Sci &amp; Engn, Skopje, North Macedonia</t>
  </si>
  <si>
    <t>Saints Cyril &amp; Methodius University of Skopje</t>
  </si>
  <si>
    <t>Ajanovski, VV (corresponding author), Ss Cyril &amp; Methodius Univ Skopje, Fac Comp Sci &amp; Engn, Skopje, North Macedonia.</t>
  </si>
  <si>
    <t>vangel.ajanovski@finki.ukim.mk</t>
  </si>
  <si>
    <t>Ajanovski, Vangel/Q-4114-2016</t>
  </si>
  <si>
    <t>Ajanovski, Vangel/0000-0002-6789-0111</t>
  </si>
  <si>
    <t>Faculty of Computer Science and Engineering</t>
  </si>
  <si>
    <t>This is a result of the SISng project framework, partially financed by the Faculty of Computer Science and Engineering. The source codes and demonstrations are available on the project website[2].</t>
  </si>
  <si>
    <t>978-1-4503-7513-9</t>
  </si>
  <si>
    <t>10.1145/3379336.3381454</t>
  </si>
  <si>
    <t>Computer Science, Artificial Intelligence; Computer Science, Cybernetics</t>
  </si>
  <si>
    <t>BR0KP</t>
  </si>
  <si>
    <t>WOS:000629492200029</t>
  </si>
  <si>
    <t>Zhao, ZY; Feng, SZ; Liang, YQ; Zeng, QT; Fan, JP</t>
  </si>
  <si>
    <t>Hu, ZB; Liu, QT</t>
  </si>
  <si>
    <t>Zhao, Zhongying; Feng, Shengzhong; Liang, Yongquan; Zeng, Qingtian; Fan, Jianping</t>
  </si>
  <si>
    <t>Mining User's Interest from Interactive Behaviors in QA System</t>
  </si>
  <si>
    <t>PROCEEDINGS OF THE FIRST INTERNATIONAL WORKSHOP ON EDUCATION TECHNOLOGY AND COMPUTER SCIENCE, VOL II</t>
  </si>
  <si>
    <t>1st International Workshop on Education Technology and Computer Science</t>
  </si>
  <si>
    <t>MAR 07-08, 2009</t>
  </si>
  <si>
    <t>Huazhong Univ Sci &amp; Technol,Harbin Inst Technol,IEEE Harbin Sect,IEEE Tech Comm Learning Technol,Huazhong Normal Univ,Wuhan Univ</t>
  </si>
  <si>
    <t>interest model; interactive behaviors; question-answering system</t>
  </si>
  <si>
    <t>User interest model, as a key component of user model, is very important for personalized or user adaptive E-learning systems. In this paper, we propose an approach for mining user's interest from interactive behaviors. We also develop and implement a domain-specific interactive QA system oriented to Artificial Intelligence. The course ontology, predefined to describe the skeleton of AI course, is used to generate the structure of our interactive QA system. Students can pose and browse questions and answers on their favorite boards. The interactive behaviors, including whether student has pose a question, browsing and answering times, are considered to compute each student's interest. The experiment conducted to evaluate the performance of our approach indicates that our method can capture user's interest precisely.</t>
  </si>
  <si>
    <t>[Zhao, Zhongying] Chinese Acad Sci, Inst Comp Technol, Beijing 100080, Peoples R China; [Zhao, Zhongying] Chinese Acad Sci, Grad Sch, Beijing 100080, Peoples R China; [Zhao, Zhongying; Feng, Shengzhong; Fan, Jianping] Chinese Acad Sci, Shenzhen Inst Adv Technol, Shenzhen 518054, Peoples R China; [Liang, Yongquan; Zeng, Qingtian] Shandong Univ Sci &amp; Technol, Coll Informat Sci &amp; Engn, Qingdao 266510, Peoples R China</t>
  </si>
  <si>
    <t>Chinese Academy of Sciences; Institute of Computing Technology, CAS; Chinese Academy of Sciences; University of Chinese Academy of Sciences, CAS; Chinese Academy of Sciences; Shenzhen Institute of Advanced Technology, CAS; Shandong University of Science &amp; Technology</t>
  </si>
  <si>
    <t>zy.zhao@sub.siat.ac.cn; sz.feng@siat.ac.cn; lyq@sdust.edu.cn; qtzeng@sdust.edu.cn; jp.fan@siat.ac.cn</t>
  </si>
  <si>
    <t>Zeng, Qingtian/AHB-5093-2022; Zhao, Zhongying/V-6965-2019</t>
  </si>
  <si>
    <t>Zhao, Zhongying/0000-0002-5880-0225</t>
  </si>
  <si>
    <t>National High-tech Research and Development Program of China [2006AA01A114]; National Science Foundation of China [60603090]; Excellent Young Scientist Foundation of Shandong Province of China [2006B S01021]</t>
  </si>
  <si>
    <t>National High-tech Research and Development Program of China(National High Technology Research and Development Program of China); National Science Foundation of China(National Natural Science Foundation of China (NSFC)); Excellent Young Scientist Foundation of Shandong Province of China</t>
  </si>
  <si>
    <t>This research is supported by National High-tech Research and Development Program of China (863 Program, No.2006AA01A114) National Science Foundation of China (No.60603090) and the Excellent Young Scientist Foundation of Shandong Province of China (No.2006B S01021). The authors would like to thank all the students for their efforts in our experiment.</t>
  </si>
  <si>
    <t>978-0-7695-3557-9</t>
  </si>
  <si>
    <t>10.1109/ETCS.2009.492</t>
  </si>
  <si>
    <t>BKI88</t>
  </si>
  <si>
    <t>WOS:000268238400230</t>
  </si>
  <si>
    <t>Yi, WW; Sun, Y; Zhang, SK; Wu, YF; Chu, ZH</t>
  </si>
  <si>
    <t>Luo, Q; Gong, M; Xiong, F; Yu, F</t>
  </si>
  <si>
    <t>Yi, Wenwen; Sun, Yong; Zhang, Shukui; Wu, Yingfeng; Chu, Zhenhua</t>
  </si>
  <si>
    <t>The application and research of ontology construction technology</t>
  </si>
  <si>
    <t>FIRST INTERNATIONAL WORKSHOP ON KNOWLEDGE DISCOVERY AND DATA MINING, PROCEEDINGS</t>
  </si>
  <si>
    <t>1st International Workshop on Knowledge Discovery and Data Mining</t>
  </si>
  <si>
    <t>JAN 23-24, 2008</t>
  </si>
  <si>
    <t>Univ Adelaide,Inst Comp Sci, Social Informat &amp; Telecommun Engn,E Forensics,Ningbo Univ,Wuhan Univ Sci &amp; Technol, Zhongan Branch,Assoc Comp Mach</t>
  </si>
  <si>
    <t>building ontology semiautomaticly; patent retrieval; WordNet; obtaining users intrests</t>
  </si>
  <si>
    <t>In the field of search, the application of ontology is an important research topic. Introduction of ontology technology in the Retrieval System with massive data can make the searching results more comprehensive. However, now days the ontology is constructed by domain experts, and there are a lot of shortcomings, such as complex process, long time for the project, and difficulty to update. Thereby, in this paper, a method of semiautomaticly building ontology is proposed, after synthetically analyzing a variety of methods and techniques about it. The building process which is based on user interests, mines not only the concepts but also the potential relationships between concepts from the texts by the method of concepts clustering. On the basis of such research, an unique Patent Information Retrieval System based on ontology has been completed.</t>
  </si>
  <si>
    <t>[Yi, Wenwen; Sun, Yong; Zhang, Shukui; Wu, Yingfeng; Chu, Zhenhua] SooChow Univ, Dept Comp Sci &amp; Technol, Suzhou 15006, Peoples R China</t>
  </si>
  <si>
    <t>Chu, zhenhua/AGO-0298-2022</t>
  </si>
  <si>
    <t>978-0-7695-3090-1</t>
  </si>
  <si>
    <t>Business; Business, Finance; Computer Science, Artificial Intelligence; Computer Science, Information Systems; Computer Science, Interdisciplinary Applications; Economics; Information Science &amp; Library Science; Management</t>
  </si>
  <si>
    <t>Business &amp; Economics; Computer Science; Information Science &amp; Library Science</t>
  </si>
  <si>
    <t>BHO08</t>
  </si>
  <si>
    <t>WOS:000254692200134</t>
  </si>
  <si>
    <t>Yang, T; Lee, DW; Yan, S</t>
  </si>
  <si>
    <t>Ozyer, T; Carrington, P</t>
  </si>
  <si>
    <t>Yang, Tao; Lee, Dongwon; Yan, Su</t>
  </si>
  <si>
    <t>Steeler Nation, 12th Man, and Boo Birds: Classifying Twitter User Interests using Time Series</t>
  </si>
  <si>
    <t>2013 IEEE/ACM INTERNATIONAL CONFERENCE ON ADVANCES IN SOCIAL NETWORKS ANALYSIS AND MINING (ASONAM)</t>
  </si>
  <si>
    <t>AUG 25-28, 2013</t>
  </si>
  <si>
    <t>Niagara Falls, CANADA</t>
  </si>
  <si>
    <t>IEEE,Assoc Comp Machinery,Assoc Comp Machinery SIGKDD,IEEE Comp Soc,IEEE TCDE,Global Univ,Hellen American Univ,Springer,Microsoft,EXtra,Springer Verlag,Assoc Comp Machinery SIGMOD</t>
  </si>
  <si>
    <t>The problem of Twitter user classification using the contents of tweets is studied. We generate time series from tweets by exploiting the latent temporal information and solve the classification problem in time series domain. Our approach is inspired by the fact that Twitter users sometimes exhibit the periodicity pattern when they share their activities or express their opinions. We apply our proposed methods to both binary and multi-class classification of sports and political interests of Twitter users and compare the performance against eight conventional classification methods using textual features. Experimental results using 2.56 million tweets show that our best binary and multi-class approaches improve the classification accuracy over the best baseline binary and multi-class approaches by 15% and 142%, respectively.</t>
  </si>
  <si>
    <t>[Yang, Tao; Lee, Dongwon] Penn State Univ, University Pk, PA 16802 USA; [Yan, Su] IBM Almaden Res Ctr, San Jose, CA 95120 USA</t>
  </si>
  <si>
    <t>Pennsylvania Commonwealth System of Higher Education (PCSHE); Pennsylvania State University; Pennsylvania State University - University Park; International Business Machines (IBM); IBM USA</t>
  </si>
  <si>
    <t>Yang, T (corresponding author), Penn State Univ, University Pk, PA 16802 USA.</t>
  </si>
  <si>
    <t>tyang@ist.psu.edu; dlee@ist.psu.edu; syan@us.ibm.com</t>
  </si>
  <si>
    <t>978-1-4503-2240-9</t>
  </si>
  <si>
    <t>BC5YC</t>
  </si>
  <si>
    <t>WOS:000353639700100</t>
  </si>
  <si>
    <t>Svenningsson, J; Hultén, M; Hallström, J</t>
  </si>
  <si>
    <t>Svenningsson, Johan; Hulten, Magnus; Hallstrom, Jonas</t>
  </si>
  <si>
    <t>Understanding attitude measurement: exploring meaning and use of the PATT short questionnaire</t>
  </si>
  <si>
    <t>Attitudes; Interest; Technology education; PATT</t>
  </si>
  <si>
    <t>TECHNOLOGY; MOTIVATION; KNOWLEDGE; FIELD</t>
  </si>
  <si>
    <t>The pupils' attitudes toward technology survey (PATT) has been used for 30 years and is still used by researchers. Since it was first developed, the validity of the questionnaire constructs has primarily been discussed from a statistical point of view, while few researchers have discussed the type of attitudes and interest that the questionnaire measures. The purpose of this study is to increase the knowledge about student interpretations and the meaning of their answers in the recently developed PATT short questionnaire (PATT-SQ). To research this, a mixed methods approach was used, where the qualitative data from six interviewees (students aged 14) help to explain and interpret the quantitative data from 173 respondents (students aged 12-15). The interviewed students completed a Swedish version of the PATT-SQ 3 weeks prior a semistructured interview. The results from this study imply that the PATT-SQ survey can be used mostly as it is, but this study also shows that there are some categories that require some caution when being analyzed and discussed. For example, the gender category cannot be used as intended since it does not measure what it is supposed to and it might be gender-biased. The interest category can advantageously be reduced to four items to focus on school technology, which will indicate how deep a student's well-developed individual interest is. And the career category seems to only detect students' who urge a career in technology, while the other students lack knowledge about what that career might be and therefore they are not interested in such a career.</t>
  </si>
  <si>
    <t>[Svenningsson, Johan; Hulten, Magnus; Hallstrom, Jonas] Linkoping Univ, Dept Social &amp; Welf Studies, S-60174 Norrkoping, Sweden</t>
  </si>
  <si>
    <t>Linkoping University</t>
  </si>
  <si>
    <t>Svenningsson, J (corresponding author), Linkoping Univ, Dept Social &amp; Welf Studies, S-60174 Norrkoping, Sweden.</t>
  </si>
  <si>
    <t>johan.svenningsson@liu.se; magnus.hulten@liu.se; jonas.hallstrom@liu.se</t>
  </si>
  <si>
    <t>Hallström, Jonas/ABC-4008-2020; Svenningsson, Johan/AFG-6620-2022</t>
  </si>
  <si>
    <t>Hallström, Jonas/0000-0003-0829-3349; Svenningsson, Johan/0000-0002-3106-0722</t>
  </si>
  <si>
    <t>10.1007/s10798-016-9392-x</t>
  </si>
  <si>
    <t>FW4YZ</t>
  </si>
  <si>
    <t>WOS:000425323800004</t>
  </si>
  <si>
    <t>Srinath, S; Baydeti, N</t>
  </si>
  <si>
    <t>Srinath, Suma; Baydeti, Nagaraju</t>
  </si>
  <si>
    <t>Behavioral pattern clustering for thematic user segmentation in web interaction environments</t>
  </si>
  <si>
    <t>Behavioral Pattern Clustering; User Segmentation; Web Interaction; Multi-Modal Deep Learning; Semantic Video Classification; Contextual Caption Generation</t>
  </si>
  <si>
    <t>Clustering users based on their interest is a critical component in personalized content delivery. This paper proposes a novel multi modal framework that integrates semantic video classification, contextualized caption generation, and user behavior patterns. The system combines visual and audio features which are computed using convolutional and transformer based encoders to robustly capture the complex contents of video description. User browsing profile is modelled using probabilistic distributions to reflect realistic browsing behavior across six interest categories. These profiles are then clustered using KMeans, DBSCAN, and Agglomerative clustering to identify the various user groups. The quality of clustering is evaluated using Silhouttee Score, Davies-Bouldin Index, and Calinski-Harabasz Index, with PCA and t-SNE applied for visual validation of coherence of clusters. The simulation framework addresses the issues concerning data privacy and the scarcity of real world data by producing controllable and realistic user behavior traces. Experimental results demonstrate that KMeans provides the optimal trade-off between quality of clustering solution and computational cost. These integrated efforts bring personalized content delivery to a new perspective, i.e., fine-grained user segmentation and precise video understanding, respectively. The future work will focus on adopting real-time adaptive learning and integrating with more data types, and will further deploy on large-scale multimedia applications.</t>
  </si>
  <si>
    <t>[Srinath, Suma; Baydeti, Nagaraju] Natl Inst Technol Nagaland, Dept Comp Sci &amp; Engn, Chumukedima 797103, Nagaland, India</t>
  </si>
  <si>
    <t>National Institute of Technology (NIT System); National Institute of Technology Nagaland</t>
  </si>
  <si>
    <t>Baydeti, N (corresponding author), Natl Inst Technol Nagaland, Dept Comp Sci &amp; Engn, Chumukedima 797103, Nagaland, India.</t>
  </si>
  <si>
    <t>Sumasrinath2046@nitnagaland.ac.in; baydetinagaraju@nitnagaland.ac.in</t>
  </si>
  <si>
    <t>; Baydeti, Nagaraju/MIP-4481-2025</t>
  </si>
  <si>
    <t>Srinath, Suma/0000-0002-1795-0315;</t>
  </si>
  <si>
    <t>10.1016/j.ins.2025.122745</t>
  </si>
  <si>
    <t>JAN 2025</t>
  </si>
  <si>
    <t>8JW2E</t>
  </si>
  <si>
    <t>WOS:001590405400002</t>
  </si>
  <si>
    <t>Trost, W; Wellauer, ZH; Küst, J; Hackenfort, M; Bujan, B</t>
  </si>
  <si>
    <t>Trost, Wiebke; Wellauer, Zino H.; Kust, Jutta; Hackenfort, Markus; Bujan, Bartosz</t>
  </si>
  <si>
    <t>State-of-the-art applications of driving simulators in neurorehabilitation: A scoping review</t>
  </si>
  <si>
    <t>CLINICAL REHABILITATION</t>
  </si>
  <si>
    <t>Driving simulator; neuropsychology; fitness-to-drive; neurorehabilitation; scoping review</t>
  </si>
  <si>
    <t>TRAUMATIC BRAIN-INJURY; NEUROPSYCHOLOGICAL ASPECTS; PARKINSONS-DISEASE; PERFORMANCE; FITNESS; STROKE; ROAD; DRIVERS; REHABILITATION; ABILITY</t>
  </si>
  <si>
    <t>Objective This scoping review evaluates the current use of driving simulators in neurorehabilitation, focusing on diagnostic assessment and therapeutic training in neurological populations.Data Sources We searched nine major databases for studies published through September 2025, using broad terms related to simulated driving and neurorehabilitation.Review Methods Following PRISMA-ScR guidelines, we used ASReview software with active learning to identify relevant studies. Articles were grouped into diagnostic, therapeutic, review, and special interest categories, with data charted manually by two reviewers.Results Of 224 included articles, 124 addressed diagnostic use and 25 examined therapeutic interventions. Simulated driving was often evaluated for its predictive value in determining fitness-to-drive. Combined with neuropsychological tests, simulator outcomes reliably identified key cognitive predictors such as attention and executive function. Twenty-eight studies included on-road driving comparisons, supporting simulator validity. Simulator-based interventions showed benefits for patients with stroke, traumatic brain injury, or Parkinson's disease, particularly for improving tactical driving skills and awareness. Benefits were more pronounced in individuals with mild to moderate impairments. Simulators were generally well-accepted across patient populations.Conclusion Despite the heterogeneity of the literature, there is evidence to support the use of driving simulators as a promising tool for evaluating and improving fitness to drive in neurorehabilitation.</t>
  </si>
  <si>
    <t>[Trost, Wiebke; Wellauer, Zino H.; Bujan, Bartosz] Klin Lengg AG, Neurorehabil Ctr, Bleulerstr 60, CH-8008 Zurich, Switzerland; [Wellauer, Zino H.] Univ Zurich, Dept Comparat Language Sci, Evolutionary Neurosci Language, Zurich, Switzerland; [Kust, Jutta] Kantonsspital Schaffhausen, Klin Geriatrie Rheumatol &amp; Rehabil, Schaffhausen, Switzerland; [Hackenfort, Markus] ZHAW Zurich Univ Appl Sci, Sch Appl Psychol, Zurich, Switzerland</t>
  </si>
  <si>
    <t>Trost, W (corresponding author), Klin Lengg AG, Neurorehabil Ctr, Bleulerstr 60, CH-8008 Zurich, Switzerland.</t>
  </si>
  <si>
    <t>wiebke.trost@kliniklengg.ch</t>
  </si>
  <si>
    <t>Hackenfort, Markus/HJY-6903-2023</t>
  </si>
  <si>
    <t>Hackenfort, Markus/0000-0003-1084-1244; Wellauer, Zino Hannes/0009-0002-2715-2525; Trost, Wiebke/0000-0003-4885-1042</t>
  </si>
  <si>
    <t>0269-2155</t>
  </si>
  <si>
    <t>1477-0873</t>
  </si>
  <si>
    <t>CLIN REHABIL</t>
  </si>
  <si>
    <t>Clin. Rehabil.</t>
  </si>
  <si>
    <t>10.1177/02692155251393560</t>
  </si>
  <si>
    <t>NOV 2025</t>
  </si>
  <si>
    <t>Rehabilitation</t>
  </si>
  <si>
    <t>AC4TZ</t>
  </si>
  <si>
    <t>WOS:001613517100001</t>
  </si>
  <si>
    <t>Motamedi, M; Caldwell, LL; Smith, EA; Wegner, L; Jacobs, J</t>
  </si>
  <si>
    <t>Motamedi, Mojdeh; Caldwell, Linda L.; Smith, Edward A.; Wegner, Lisa; Jacobs, Joachim</t>
  </si>
  <si>
    <t>Supporting South African High School Teachers' Implementation of a Prevention Program via Abridged Consultation: Outcomes and Moderators</t>
  </si>
  <si>
    <t>AMERICAN JOURNAL OF COMMUNITY PSYCHOLOGY</t>
  </si>
  <si>
    <t>Consultation; Evidence‐ based prevention programs; High school; Implementation; HIV; AIDS; Risky sex</t>
  </si>
  <si>
    <t>SUBSTANCE USE; CULTURAL-ADAPTATION; HEALTH-PROMOTION; RISK PREVENTION; WESTERN CAPE; INTERVENTIONS; QUALITY; SUSTAINABILITY; DISSEMINATION; FIDELITY</t>
  </si>
  <si>
    <t>Research is lacking on consultation support for school-based evidence-based programs (EBP) intended to prevent youths' risky behaviors in schools in low-resourced settings like high schools surrounding Cape Town, South Africa. Thus, this study's objective was to examine implementation outcomes and moderators of an abridged consultation condition for supporting teachers in better implementing HealthWise, an EBP for preventing youth risky sexual and substance use behaviors. Twenty-one schools with 33 teachers receiving abridged consultation (i.e., three consultation meetings, text message reminders, lesson plans, and support kits) were compared to 26 schools with 41 teachers that did not receive any consultation. Teachers with abridged consultation self-reported delivering more HealthWise content. Moderation analyses found teachers with lower educational degrees, who received abridged consultation reported more student interest in HealthWise. When there was higher school-level risk, teachers who received abridged consultation marginally self-reported adapting HealthWise more. Findings suggest consultation support that is abridged or a lower dose than is typical can be feasible in such a low-resourced, overburdened setting while still being associated with EBP coverage, student interest, and adaptation. However, moderation findings suggest contextual factors should be considered to match teachers/schools to the implementation support that best suits them.</t>
  </si>
  <si>
    <t>[Motamedi, Mojdeh; Caldwell, Linda L.; Smith, Edward A.] Penn State Univ, University Pk, PA 16802 USA; [Caldwell, Linda L.; Smith, Edward A.; Wegner, Lisa; Jacobs, Joachim] Univ Western Cape, Bellville, South Africa</t>
  </si>
  <si>
    <t>Pennsylvania Commonwealth System of Higher Education (PCSHE); Pennsylvania State University; Pennsylvania State University - University Park; University of the Western Cape</t>
  </si>
  <si>
    <t>Motamedi, M (corresponding author), Penn State Univ, University Pk, PA 16802 USA.</t>
  </si>
  <si>
    <t>mzmojdeh@gmail.com</t>
  </si>
  <si>
    <t>; Wegner, Lisa/A-8630-2019</t>
  </si>
  <si>
    <t>Smith, Edward/0000-0001-8564-9279; Wegner, Lisa/0000-0001-9415-119X; Caldwell, Linda/0000-0002-1910-4390; Motamedi, Mojdeh/0000-0003-2239-3610</t>
  </si>
  <si>
    <t>National Institute on Drug Abuse [R01 DA01749, T32 DA017629, P50 DA10075, P50 DA039838]; Institute of Education Sciences [R305B090007]; National Institute on Drug Abuse [T32DA017629] Funding Source: NIH RePORTER</t>
  </si>
  <si>
    <t>National Institute on Drug Abuse(United States Department of Health &amp; Human ServicesNational Institutes of Health (NIH) - USANIH National Institute on Drug Abuse (NIDA)); Institute of Education Sciences(US Department of EducationInstitute of Education Sciences (IES)); National Institute on Drug Abuse(United States Department of Health &amp; Human ServicesNational Institutes of Health (NIH) - USANIH National Institute on Drug Abuse (NIDA))</t>
  </si>
  <si>
    <t>Appreciation is expressed to the HealthWise project staff, and the schools, teachers, and youth who participated in this project. This HealthWise study was supported by the National Institute on Drug Abuse grant number R01 DA01749. The following funding sources supported the first author: the Institute of Education Sciences grant number R305B090007 and the National Institute on Drug Abuse award numbers T32 DA017629, P50 DA10075, and P50 DA039838. The views expressed in this article are ours and do not necessarily represent the official views of granting agencies.</t>
  </si>
  <si>
    <t>0091-0562</t>
  </si>
  <si>
    <t>1573-2770</t>
  </si>
  <si>
    <t>AM J COMMUN PSYCHOL</t>
  </si>
  <si>
    <t>Am. J. Community Psychol.</t>
  </si>
  <si>
    <t>10.1002/ajcp.12494</t>
  </si>
  <si>
    <t>Public, Environmental &amp; Occupational Health; Psychology, Multidisciplinary; Social Work</t>
  </si>
  <si>
    <t>Public, Environmental &amp; Occupational Health; Psychology; Social Work</t>
  </si>
  <si>
    <t>UR2YU</t>
  </si>
  <si>
    <t>WOS:000598917900001</t>
  </si>
  <si>
    <t>Harada, T; Tsuda, K</t>
  </si>
  <si>
    <t>Jedrzejowicz, P; Czarnowski, I; Howlett, RJ; Jain, LC</t>
  </si>
  <si>
    <t>Harada, Tomohiko; Tsuda, Kazuhiko</t>
  </si>
  <si>
    <t>Classifying homographs in Japanese social media texts using a user interest model</t>
  </si>
  <si>
    <t>KNOWLEDGE-BASED AND INTELLIGENT INFORMATION &amp; ENGINEERING SYSTEMS 18TH ANNUAL CONFERENCE, KES-2014</t>
  </si>
  <si>
    <t>18th Annual International Conference on Knowledge-Based and Intelligent Information and Engineering Systems (KES)</t>
  </si>
  <si>
    <t>SEP 15-17, 2014</t>
  </si>
  <si>
    <t>Pomeranian Sci &amp; Technol, Gdynia, POLAND</t>
  </si>
  <si>
    <t>Gdynia Maritime Univ,KES Int</t>
  </si>
  <si>
    <t>Pomeranian Sci &amp; Technol</t>
  </si>
  <si>
    <t>Social media; Twitter; Homographs; Semantic analysis; Topic modelling; Latent Dirichlet allocation</t>
  </si>
  <si>
    <t>The analysis of text data from social media is hampered by irrelevant noisy data, such as homographs. Noisy data is not usable and makes analysis, such as counting estimates, of the target data difficult, which adversely affects the quality of the analysis results. We focus on this issue and propose a method to classify homographs that are contained in social media texts (i. e. Twitter) using topic models. We also report the results of an evaluation experiment. In the evaluation experiment, the proposed method showed an accuracy improvement of 8.5% and a reduction of 16.5% in the misidentification rate compared with conventional methods. (C) 2014 The Authors. Published by Elsevier B. V.</t>
  </si>
  <si>
    <t>[Tsuda, Kazuhiko] Univ Tsukuba, Grad Sch Business Sci, Bunkyo Ku, Tokyo 1120012, Japan; [Harada, Tomohiko] Univ Tsukuba, Grad Sch Syst &amp; Informat Engn, Bunkyo Ku, Tokyo 1120012, Japan</t>
  </si>
  <si>
    <t>University of Tsukuba; University of Tsukuba</t>
  </si>
  <si>
    <t>Tsuda, K (corresponding author), Univ Tsukuba, Grad Sch Business Sci, Bunkyo Ku, Tokyo 1120012, Japan.</t>
  </si>
  <si>
    <t>s1230165@u.tsukuba.ac.jp</t>
  </si>
  <si>
    <t>10.1016/j.procs.2014.08.168</t>
  </si>
  <si>
    <t>BB7DO</t>
  </si>
  <si>
    <t>WOS:000345394100097</t>
  </si>
  <si>
    <t>Kacem, A; Boughanem, M; Faiz, R</t>
  </si>
  <si>
    <t>Kacem, Ameni; Boughanem, Mohand; Faiz, Rim</t>
  </si>
  <si>
    <t>Time-Sensitive User Profile for Optimizing Search Personlization</t>
  </si>
  <si>
    <t>Personalized search; User profile; Freshness; Interests Dynamics; Kernel function</t>
  </si>
  <si>
    <t>WEB SEARCH; PERSONALIZATION</t>
  </si>
  <si>
    <t>Thanks to social Web services, Web search engines have the opportunity to afford personalized search results that better fit the user's information needs and interests. To achieve this goal, many personalized search approaches explore user's social Web interactions to extract his preferences and interests, and use them to model his profile. In our approach, the user profile is implicitly represented as a vector of weighted terms which correspond to the user's interests extracted from his online social activities. As the user interests may change over time, we propose to weight profiles terms not only according to the content of these activities but also by considering the freshness. More precisely, the weights are adjusted with a temporal feature. In order to evaluate our approach, we model the user profile according to data collected from Twitter. Then, we rerank initial search results accurately to the user profile. Moreover, we proved the significance of adding a temporal feature by comparing our method with baselines models that does not consider the user profile dynamics.</t>
  </si>
  <si>
    <t>[Kacem, Ameni; Faiz, Rim] IHEC, LARODEC, Tunis 2016, Tunisia; [Boughanem, Mohand] IRIT SIG, F-31062 Toulouse, France</t>
  </si>
  <si>
    <t>Universite de Carthage</t>
  </si>
  <si>
    <t>Kacem, A (corresponding author), IHEC, LARODEC, Tunis 2016, Tunisia.</t>
  </si>
  <si>
    <t>ameni.kacem@gmail.com; bougha@irit.fr; rim.faiz@ihec.rnu.tn</t>
  </si>
  <si>
    <t>; Boughanem, Mohand/LQJ-9514-2024</t>
  </si>
  <si>
    <t>Kacem Sahraoui, Ameni/0000-0001-8728-9406; Boughanem, Mohand/0000-0001-7004-0807</t>
  </si>
  <si>
    <t>WOS:000345647000013</t>
  </si>
  <si>
    <t>Kost-Smith, LE; Pollock, SJ; Finkelstein, ND</t>
  </si>
  <si>
    <t>Kost-Smith, Lauren E.; Pollock, Steven J.; Finkelstein, Noah D.</t>
  </si>
  <si>
    <t>Gender disparities in second-semester college physics: The incremental effects of a smog of bias</t>
  </si>
  <si>
    <t>PHYSICAL REVIEW SPECIAL TOPICS-PHYSICS EDUCATION RESEARCH</t>
  </si>
  <si>
    <t>UNIVERSITY PHYSICS; STEREOTYPE THREAT; PERFORMANCE; STUDENTS; GAP</t>
  </si>
  <si>
    <t>Our previous research [Kost et al., Phys. Rev. ST Phys. Educ. Res. 5, 010101 (2009)] examined gender differences in the first-semester, introductory physics class at the University of Colorado at Boulder. We found that: (1) there were gender differences in several aspects of the course, including conceptual survey performance, (2) these differences persisted despite the use of interactive engagement techniques, and (3) the post-test gender differences could largely be attributed to differences in males' and females' prior physics and math performance and their incoming attitudes and beliefs. In the current study, we continue to characterize gender differences in our physics courses by examining the second-semester, electricity and magnetism course. We analyze three factors: student retention from Physics 1 to Physics 2, student performance, and students' attitudes and beliefs about physics, and find gender differences in all three of these areas. Specifically, females are less likely to stay in the physics major than males. Despite males and females performing about equally on the conceptual pretest, we find that females score about 6 percentage points lower than males on the conceptual post-test. In most semesters, females outperform males on homework and participation, and males outperform females on exams, resulting in course grades of males and females that are not significantly different. In terms of students' attitudes and beliefs, we find that both males and females shift toward less expertlike beliefs over the course of Physics 2. Shifts are statistically equal for all categories except for the Personal Interest category, where females have more negative shifts than males. A large fraction of the conceptual post-test gender gap (up to 60%) can be accounted for by differences in males' and females' prior physics and math performance and their pre-Physics 2 attitudes and beliefs. Taken together, the results of this study suggest that it is an accumulation of small gender differences over time that may be responsible for the large differences that we observe in physics participation of males and females.</t>
  </si>
  <si>
    <t>[Kost-Smith, Lauren E.; Pollock, Steven J.; Finkelstein, Noah D.] Univ Colorado, Dept Phys, Boulder, CO 80309 USA</t>
  </si>
  <si>
    <t>University of Colorado System; University of Colorado Boulder</t>
  </si>
  <si>
    <t>Kost-Smith, LE (corresponding author), Univ Colorado, Dept Phys, Boulder, CO 80309 USA.</t>
  </si>
  <si>
    <t>POLLOCK, STEVEN/0000-0002-2462-8164</t>
  </si>
  <si>
    <t>APS; AAPT PhysTEC; National Science Foundation [REC 0448176]; University of Colorado; NSF [0833364, I3]</t>
  </si>
  <si>
    <t>APS; AAPT PhysTEC; National Science Foundation(National Science Foundation (NSF)); University of Colorado; NSF(National Science Foundation (NSF))</t>
  </si>
  <si>
    <t>We gratefully acknowledge valuable assistance from the members of the Physics Education Research group at Colorado, the Discipline-Based Education Research group at Colorado, and the following physics faculty: D. Anderson, M. Dubson, V. Gurarie, M. Gustafson, M. Holland, H. Lewandowski, J. Nagle, C. Rogers, and S. Zhong. We would also like to thank our colleagues in the Psychology department: G. Cohen, T. Ito, and A. Miyake. This work is supported by the APS, AAPT PhysTEC project, the National Science Foundation, and the University of Colorado. This material is based on work supported by the National Science Foundation under Grant No. REC 0448176, CAREER: Physics Education and Contexts of Student Learning and NSF Grant No. 0833364, I3: Towards a Center for STEM Education.</t>
  </si>
  <si>
    <t>AMER PHYSICAL SOC</t>
  </si>
  <si>
    <t>COLLEGE PK</t>
  </si>
  <si>
    <t>ONE PHYSICS ELLIPSE, COLLEGE PK, MD 20740-3844 USA</t>
  </si>
  <si>
    <t>1554-9178</t>
  </si>
  <si>
    <t>PHYS REV SPEC TOP-PH</t>
  </si>
  <si>
    <t>Phys. Rev. Spec. Top.-Phys. Educ. R.</t>
  </si>
  <si>
    <t>SEP 3</t>
  </si>
  <si>
    <t>10.1103/PhysRevSTPER.6.020112</t>
  </si>
  <si>
    <t>646EH</t>
  </si>
  <si>
    <t>WOS:000281519100001</t>
  </si>
  <si>
    <t>Pazos, M; Yang, HL; Gardiner, SK; Cepurna, WO; Johnson, EC; Morrison, JC; Burgoyne, CF</t>
  </si>
  <si>
    <t>Pazos, Marta; Yang, Hongli; Gardiner, Stuart K.; Cepurna, William O.; Johnson, Elaine C.; Morrison, John C.; Burgoyne, Claude F.</t>
  </si>
  <si>
    <t>Expansions of the neurovascular scleral canal and contained optic nerve occur early in the hypertonic saline rat experimental glaucoma model</t>
  </si>
  <si>
    <t>EXPERIMENTAL EYE RESEARCH</t>
  </si>
  <si>
    <t>Glaucoma; Rat; Optic nerve head; Neural canal; Scleral canal; Optic nerve; Proprietary interest category: N</t>
  </si>
  <si>
    <t>INTRAOCULAR-PRESSURE ELEVATION; DISC MARGIN ANATOMY; OPEN-ANGLE GLAUCOMA; 3-D HISTOMORPHOMETRIC RECONSTRUCTIONS; HEAD EXTRACELLULAR-MATRIX; ACUTE IOP ELEVATION; RETINAL BLOOD-FLOW; COHERENCE TOMOGRAPHY; LAMINA-CRIBROSA; FIBER LAYER</t>
  </si>
  <si>
    <t>Purpose: To characterize early optic nerve head (ONH) structural change in rat experimental glaucoma (EG). Methods: Unilateral intraocular pressure (IOP) elevation was induced in Brown Norway rats by hypertonic saline injection into the episcleral veins and animals were sacrificed 4 weeks later by perfusion fixation. Optic nerve cross-sections were graded from 1 (normal) to 5 (extensive injury) by 5 masked observers. ONHs with peripapillary retina and sclera were embedded, serial sectioned, 3-D reconstructed, delineated, and quantified. Overall and animal-specific EG versus Control eye ONH parameter differences were assessed globally and regionally by linear mixed effect models with significance criteria adjusted for multiple comparisons. Results: Expansions of the optic nerve and surrounding anterior scleral canal opening achieved statistical significance overall (p &lt; 0.0022), and in 7 of 8 EG eyes (p &lt; 0.005). In at least 5 EG eyes, significant expansions (p &lt; 0.005) in Bruch's membrane opening (BMO) (range 3-10%), the anterior and posterior scleral canal openings (8-21% and 5-21%, respectively), and the optic nerve at the anterior and posterior scleral canal openings (11-30% and 8-41%, respectively) were detected. Optic nerve expansion was greatest within the superior and inferior quadrants. Optic nerve expansion at the posterior scleral canal opening was significantly correlated to optic nerve damage (R = 0.768, p = 0.042). Conclusion: In the rat ONH, the optic nerve and surrounding BMO and neurovascular scleral canal expand early in their response to chronic experimental IOP elevation. These findings provide phenotypic landmarks and imaging targets for detecting the development of experimental glaucomatous optic neuropathy in the rat eye. (C) 2015 Elsevier Ltd. All rights reserved.</t>
  </si>
  <si>
    <t>[Yang, Hongli; Burgoyne, Claude F.] Legacy Res Inst, Opt Nerve Head Res Lab, Devers Eye Inst, Portland, OR USA; [Gardiner, Stuart K.] Legacy Res Inst, Discoveries Sight Res Labs, Devers Eye Inst, Portland, OR USA; [Cepurna, William O.; Johnson, Elaine C.; Morrison, John C.] Oregon Hlth &amp; Sci Univ, Casey Eye Inst, Kenneth C Swan Ocular Neurobiol Lab, Portland, OR 97201 USA; [Pazos, Marta] Univ Autonoma Barcelona, Hosp Esperanca, Parc Salut Mar, E-08193 Barcelona, Spain</t>
  </si>
  <si>
    <t>Devers Eye Institute; Devers Eye Institute; Oregon Health &amp; Science University; Autonomous University of Barcelona; Hospital del Mar Research Institute; Hospital del Mar</t>
  </si>
  <si>
    <t>Burgoyne, CF (corresponding author), Devers Eye Inst, Opt Nerve Head Res Lab, 1225 NE 2nd Ave, Portland, OR 97232 USA.</t>
  </si>
  <si>
    <t>cfburgoyne@deverseye.org</t>
  </si>
  <si>
    <t>Cepurna, William/KQV-1329-2024; Gardiner, Stuart/I-7279-2013; Yang, Hongli/KEJ-5057-2024; Pazos, Marta/AAF-3513-2021</t>
  </si>
  <si>
    <t>Gardiner, Stuart/0000-0002-9139-4943; morrison, john/0000-0003-3048-6470; Yang, Hongli/0000-0002-3636-9219; Pazos, Marta/0000-0003-4094-6346; Burgoyne, Claude/0000-0002-2765-4739</t>
  </si>
  <si>
    <t>NIH from the National Eye Institute, National Institutes of Health, Bethesda, Maryland [R01EY011610, R01EY10145, R01EY16866]; Legacy Good Samaritan Foundation, Portland, Oregon; Sears Trust for Biomedical Research, Mexico, Missouri; Alcon Research Institute, Fort Worth, Texas; Research to Prevent Blindness; National Eye Institute [P30EY010572, R01EY010145] Funding Source: NIH RePORTER</t>
  </si>
  <si>
    <t>NIH from the National Eye Institute, National Institutes of Health, Bethesda, Maryland; Legacy Good Samaritan Foundation, Portland, Oregon; Sears Trust for Biomedical Research, Mexico, Missouri; Alcon Research Institute, Fort Worth, Texas; Research to Prevent Blindness(Research to Prevent Blindness (RPB)); National Eye Institute(United States Department of Health &amp; Human ServicesNational Institutes of Health (NIH) - USANIH National Eye Institute (NEI))</t>
  </si>
  <si>
    <t>Supported in part by NIH grants R01EY011610 (CFB), R01EY10145 (JCM) and R01EY16866 (ECJ)) from the National Eye Institute, National Institutes of Health, Bethesda, Maryland; The Legacy Good Samaritan Foundation, Portland, Oregon; the Sears Trust for Biomedical Research, Mexico, Missouri; the Alcon Research Institute, Fort Worth, Texas; and an unrestricted grant from Research to Prevent Blindness.</t>
  </si>
  <si>
    <t>ACADEMIC PRESS LTD- ELSEVIER SCIENCE LTD</t>
  </si>
  <si>
    <t>24-28 OVAL RD, LONDON NW1 7DX, ENGLAND</t>
  </si>
  <si>
    <t>0014-4835</t>
  </si>
  <si>
    <t>1096-0007</t>
  </si>
  <si>
    <t>EXP EYE RES</t>
  </si>
  <si>
    <t>Exp. Eye Res.</t>
  </si>
  <si>
    <t>10.1016/j.exer.2015.10.014</t>
  </si>
  <si>
    <t>Ophthalmology</t>
  </si>
  <si>
    <t>DL1DL</t>
  </si>
  <si>
    <t>WOS:000375372300021</t>
  </si>
  <si>
    <t>Hahm, GJ; Lee, JH; Suh, HW</t>
  </si>
  <si>
    <t>Hahm, Gyeong June; Lee, Jae Hyun; Suh, Hyo Won</t>
  </si>
  <si>
    <t>Semantic relation based personalized ranking approach for engineering document retrieval</t>
  </si>
  <si>
    <t>ADVANCED ENGINEERING INFORMATICS</t>
  </si>
  <si>
    <t>Ranking; Personalized search; Semantic search; Domain ontology; Engineering document</t>
  </si>
  <si>
    <t>INFORMATION; ONTOLOGY; SEARCH; MODEL</t>
  </si>
  <si>
    <t>Since engineering design is heavily informational, engineers want to retrieve existing engineering documents accurately during the product development process. However, engineers have difficulties searching for documents because of low retrieval accuracy. One of the reasons for this is the limitation of existing document ranking approaches, in which relationships between terms in documents are not considered to assess the relevance of the retrieved documents. Therefore, we propose a new ranking approach that provides more correct evaluation of document relevance to a given query. Our approach exploits domain ontology to consider relationships among terms in the relevance scoring process. Based on domain ontology, the semantics of a document are represented by a graph (called Document Semantic Network) and, then, proposed relation-based weighting schemes are used to evaluate the graph to calculate the document relevance score. In our ranking approach, user interests and searching intent are also considered in order to provide personalized services. The experimental results show that the proposed approach outperforms existing ranking approaches. A precisely represented semantics of a document as a graph and multiple relation-based weighting schemes are important factors underlying the notable improvement. (C) 2015 Elsevier Ltd. All rights reserved.</t>
  </si>
  <si>
    <t>[Hahm, Gyeong June; Suh, Hyo Won] Korea Adv Inst Sci &amp; Technol, Dept Ind &amp; Syst Engn, Taejon 305701, South Korea; [Lee, Jae Hyun] DAEGU Univ, Dept Ind &amp; Management Engn, Daegu 712714, South Korea</t>
  </si>
  <si>
    <t>Korea Advanced Institute of Science &amp; Technology (KAIST); Daegu University</t>
  </si>
  <si>
    <t>Suh, HW (corresponding author), Korea Adv Inst Sci &amp; Technol, Dept Ind &amp; Syst Engn, Taejon 305701, South Korea.</t>
  </si>
  <si>
    <t>hamstein@kaist.ac.kr; paganini9@gmail.com; hwsuh@kaist.ac.kr</t>
  </si>
  <si>
    <t>/C-1543-2011; HAHM, GYEONGJUNE/KFS-5291-2024; Lee, Jae Hyun/ORI-8056-2025</t>
  </si>
  <si>
    <t>HAHM, GYEONGJUNE/0000-0002-7637-1233;</t>
  </si>
  <si>
    <t>Industrial Core Technology Development Program - Ministry of Trade, Industry and Energy of Korean government [10048341]</t>
  </si>
  <si>
    <t>Industrial Core Technology Development Program - Ministry of Trade, Industry and Energy of Korean government</t>
  </si>
  <si>
    <t>This research was supported by the Industrial Core Technology Development Program (Project ID: 10048341) funded by the Ministry of Trade, Industry and Energy of the Korean government. The authors gratefully acknowledge their support.</t>
  </si>
  <si>
    <t>1474-0346</t>
  </si>
  <si>
    <t>1873-5320</t>
  </si>
  <si>
    <t>ADV ENG INFORM</t>
  </si>
  <si>
    <t>Adv. Eng. Inform.</t>
  </si>
  <si>
    <t>10.1016/j.aei.2015.01.003</t>
  </si>
  <si>
    <t>Computer Science, Artificial Intelligence; Engineering, Multidisciplinary</t>
  </si>
  <si>
    <t>CR3SK</t>
  </si>
  <si>
    <t>WOS:000361253200009</t>
  </si>
  <si>
    <t>Thakur, M; Jain, YK; Silakari, G</t>
  </si>
  <si>
    <t>Thakur, Mahendra; Jain, Yogendra Kumar; Silakari, Geetika</t>
  </si>
  <si>
    <t>Query based Personalization in Semantic Web Mining</t>
  </si>
  <si>
    <t>INTERNATIONAL JOURNAL OF ADVANCED COMPUTER SCIENCE AND APPLICATIONS</t>
  </si>
  <si>
    <t>SemanticWeb Mining; Personalized Recommendation; Recommended System</t>
  </si>
  <si>
    <t>To provide personalized support in on-line course resources system, a semantic web-based personalized learning service is proposed to enhance the learner's learning efficiency. When a personalization system relies solely on usage-based results, however, valuable information conceptually related to what is finally recommended may be missed. Moreover, the structural properties of the web site are often disregarded. In this Paper, we present a personalize Web search system, which can helps users to get the relevant web pages based on their selection from the domain list. In the first part of our work we present Semantic Web Personalization, a personalization system that integrates usage data with content semantics, expressed in ontology terms, in order to compute semantically enhanced navigational patterns and effectively generate useful recommendations. To the best of our knowledge, our proposed technique is the only semantic web personalization system that may be used by non-semantic web sites. In the second part of our work, we present a novel approach for enhancing the quality of recommendations based on the underlying structure of a web site. We introduce UPR (Usage-based Page Rank), a Page Rank-style algorithm that relies on the recorded usage data and link analysis techniques based on user interested domains and user query.</t>
  </si>
  <si>
    <t>[Thakur, Mahendra; Jain, Yogendra Kumar; Silakari, Geetika] Samrat Ashok Technol Inst, Dept CSE, Vidisha, Madhya Pradesh, India</t>
  </si>
  <si>
    <t>Thakur, M (corresponding author), Samrat Ashok Technol Inst, Dept CSE, Vidisha, Madhya Pradesh, India.</t>
  </si>
  <si>
    <t>mahendrasati2010@gmail.com</t>
  </si>
  <si>
    <t>/AAU-1898-2020</t>
  </si>
  <si>
    <t>SCIENCE &amp; INFORMATION SAI ORGANIZATION LTD</t>
  </si>
  <si>
    <t>WEST YORKSHIRE</t>
  </si>
  <si>
    <t>19 BOLLING RD, BRADFORD, WEST YORKSHIRE, 00000, ENGLAND</t>
  </si>
  <si>
    <t>2158-107X</t>
  </si>
  <si>
    <t>2156-5570</t>
  </si>
  <si>
    <t>INT J ADV COMPUT SC</t>
  </si>
  <si>
    <t>Int. J. Adv. Comput. Sci. Appl.</t>
  </si>
  <si>
    <t>V4O8H</t>
  </si>
  <si>
    <t>WOS:000219127000019</t>
  </si>
  <si>
    <t>Zhao, X; Zhu, Q</t>
  </si>
  <si>
    <t>Zhao, Xu; Zhu, Qi</t>
  </si>
  <si>
    <t>Mobility-Aware and Interest-Predicted Caching Strategy Based on IoT Data Freshness in D2D Networks</t>
  </si>
  <si>
    <t>Device-to-device communication; Optimization; Internet of Things; Predictive models; Base stations; Prediction algorithms; Delays; D2D caching; data freshness; interest prediction; Internet of Things (IoT); mobility; partition matroid; submodular function</t>
  </si>
  <si>
    <t>The Internet of Things (IoT) will generate a large amount of data and the desired data are similar for users in particular regions. In these situations, data can be shared by D2D communication, which can significantly ease the traffic on BSs and effectively reduce the load. In this article, we propose an optimization algorithm for solving the joint problem of file caching and updating aimed at the D2D content-sharing scenario in the IoT. First, we construct a user-mobility model based on a Markov chain and a user-interest prediction model based on social proximity, user preference, and freshness. Then, we formulate the mobility-aware, freshness-based, and user-interest predicted optimization problem as a 0-1 multiple Knapsack problem, which is decomposed into two subproblems: 1) a cache problem and 2) an update problem. We prove that the cache problem's optimization objective is of the monotone submodular function over one matroid and multiple Knapsack constraints categories, while the update problem's optimization objective is a monotone decreasing function. The simulation results confirm that the optimization algorithm proposed in our article predicts the interests of users more accurately, improves the caching hit probability of files effectively, and maximizes utility for IoT network users.</t>
  </si>
  <si>
    <t>[Zhao, Xu; Zhu, Qi] Nanjing Univ Posts &amp; Telecommun, Dept Commun &amp; Informat Engn, Nanjing 210009, Peoples R China</t>
  </si>
  <si>
    <t>Nanjing University of Posts &amp; Telecommunications</t>
  </si>
  <si>
    <t>Zhu, Q (corresponding author), Nanjing Univ Posts &amp; Telecommun, Dept Commun &amp; Informat Engn, Nanjing 210009, Peoples R China.</t>
  </si>
  <si>
    <t>18907391290@163.com; zhuqi@njupt.edu.cn</t>
  </si>
  <si>
    <t>Zhu, Qi/KYR-6238-2024</t>
  </si>
  <si>
    <t>National Natural Science Foundation of China [61971239, 61631020]</t>
  </si>
  <si>
    <t>This work was supported by the National Natural Science Foundation of China under Grant 61971239 and Grant 61631020.</t>
  </si>
  <si>
    <t>10.1109/JIOT.2020.3033552</t>
  </si>
  <si>
    <t>RD4FS</t>
  </si>
  <si>
    <t>WOS:000633436600074</t>
  </si>
  <si>
    <t>Zhang, W; Han, YH; Yi, BL; Zhang, ZL</t>
  </si>
  <si>
    <t>Zhang, Wei; Han, Yahui; Yi, Baolin; Zhang, Zhaoli</t>
  </si>
  <si>
    <t>Click-through rate prediction model integrating user interest and multi-head attention mechanism</t>
  </si>
  <si>
    <t>User interest; Multi-head self-attention mechanism; Residual network; Click-through rate prediction model</t>
  </si>
  <si>
    <t>The purpose of click-through rate (CTR) prediction is to anticipate how likely a person is to click on an advertisement or item. It's required for a lot of internet applications, such online advertising and recommendation systems. The previous click-through rate estimation approach suffered from the following two flaws. On the one hand, input characteristics (such as user id, user age, user age, item id, item category) are usually sparse and multidimensional, making them effective. High-level combination characteristics are used for prediction. Obtaining it manually by domain experts takes a long time and is difficult to finish; also, customer interests are not all the same. The accuracy of the model findings will significantly increase if this immediately recognized component is incorporated in the prediction model. As a consequence, this study creates an IARM (interactive attention rate estimation model) that incorporates user interest as well as a multi-head self-attention mechanism. The deep learning network is used in the model to determine the user's interest expression based on user attributes. The multi-head self-attention mechanism with residual network is then employed to get feature interaction, which enhances the degree of effect of significant characteristics on the estimation result as well as its accuracy. The IARM model outperforms other recent prediction models in the assessment metrics AUC and LOSS, and it has superior accuracy, according to the results from the public experimental data set.</t>
  </si>
  <si>
    <t>[Zhang, Wei; Han, Yahui; Yi, Baolin; Zhang, Zhaoli] Cent China Normal Univ, Fac Artificial Intelligence Educ, Wuhan 430079, Peoples R China</t>
  </si>
  <si>
    <t>Central China Normal University</t>
  </si>
  <si>
    <t>Han, YH (corresponding author), Cent China Normal Univ, Fac Artificial Intelligence Educ, Wuhan 430079, Peoples R China.</t>
  </si>
  <si>
    <t>hanyahui@mails.ccnu.edu.cn</t>
  </si>
  <si>
    <t>Zhang, Zhaoli/IWD-8445-2023</t>
  </si>
  <si>
    <t>Zhang, Zhaoli/0000-0002-0844-0719</t>
  </si>
  <si>
    <t>Bing-tuan Science and Technology Public Relations Project [2021AB023]</t>
  </si>
  <si>
    <t>Bing-tuan Science and Technology Public Relations Project</t>
  </si>
  <si>
    <t>AcknowledgementsThe authors would like to thank all the anonymous reviewers for their insightful comments. This work was financially supported by the Bing-tuan Science and Technology Public Relations Project, a data-driven regional smart education service key technology research and application demonstration (2021AB023). The authors would like to thank colleagues and the anonymous reviewers who have provided valuable feedback to help improve the paper.</t>
  </si>
  <si>
    <t>JAN 31</t>
  </si>
  <si>
    <t>10.1186/s40537-023-00688-6</t>
  </si>
  <si>
    <t>8G0AK</t>
  </si>
  <si>
    <t>WOS:000920014800001</t>
  </si>
  <si>
    <t>Qiu, LQ; Dou, MJ; Jing, CX; Liu, YY</t>
  </si>
  <si>
    <t>Qiu, Liqing; Dou, Mingjian; Jing, Caixia; Liu, Yuying</t>
  </si>
  <si>
    <t>Position-category-aware attention network for next-item recommendation</t>
  </si>
  <si>
    <t>Next-item recommendation; Self-attention method; Position-category-aware attention network; Dynamic category; Preference representation</t>
  </si>
  <si>
    <t>The next-item recommendation can extract critical information from the historical sequence and predict the next actions of users. To better extract users' interests, some sequential recommender methods propose position-aware attention networks to obtain users' general intentions. Nonetheless, although these methods have achieved superior performances, they cannot effectively extract core information from historical behavior sequences such as position weights, the dynamic categories of users, and the dynamic preferences of users. The position information in the historical sequence can assist in the modeling of user interest, and the dynamic category of users can help us ensure the major intention of users. Moreover, capturing the dynamic preference of users can help the model learn the evolution tendency of user interest and make better recommendations. Therefore, this paper proposes a Position-category-aware Attention Network (PCAN) to consider the above three factors. First, this model obtains the dynamic category of the user in the data preprocessing stage. Then, a long-term attention module is constructed to get the interaction between users and items in the long-term sequential behavior, to better capture the users' long-term preference representation. Meanwhile, the model utilizes the self-attention method to extract users' short-term interest features. Finally, two kinds of preference representation are adaptively fused through an attention-based method. On five kinds of Amazon public datasets, the experimental results indicate that our proposed model PCAN achieves better performances on AUC,Precision,\documentclass[12pt]{minimal} \usepackage{amsmath} \usepackage{wasysym} \usepackage{amsfonts} \usepackage{amssymb} \usepackage{amsbsy} \usepackage{mathrsfs} \usepackage{upgreek} \setlength{\oddsidemargin}{-69pt} \begin{document}$$AUC, Precision,$$\end{document} and Recall\documentclass[12pt]{minimal} \usepackage{amsmath} \usepackage{wasysym} \usepackage{amsfonts} \usepackage{amssymb} \usepackage{amsbsy} \usepackage{mathrsfs} \usepackage{upgreek} \setlength{\oddsidemargin}{-69pt} \begin{document}$$Recall$$\end{document}, which demonstrates the superior performance of the method.</t>
  </si>
  <si>
    <t>[Qiu, Liqing; Dou, Mingjian; Jing, Caixia; Liu, Yuying] Shandong Univ Sci &amp; Technol, Coll Comp Sci &amp; Engn, Shandong Prov Key Lab Wisdom Mine Informat Technol, Qingdao 266590, Peoples R China</t>
  </si>
  <si>
    <t>Qiu, LQ (corresponding author), Shandong Univ Sci &amp; Technol, Coll Comp Sci &amp; Engn, Shandong Prov Key Lab Wisdom Mine Informat Technol, Qingdao 266590, Peoples R China.</t>
  </si>
  <si>
    <t>qiuliqing2019@163.com</t>
  </si>
  <si>
    <t>荆, 荆彩霞/JGZ-9931-2023; Liu, Yuying/JKH-5466-2023</t>
  </si>
  <si>
    <t>Shandong Nature Science Foundation of China; [ZR2020MF044]</t>
  </si>
  <si>
    <t>Shandong Nature Science Foundation of China;</t>
  </si>
  <si>
    <t>We thank the handling editors and reviewers for their effort and constructive expert comments. This work has been supported by the Shandong Nature Science Foundation of China (No. ZR2020MF044).</t>
  </si>
  <si>
    <t>10.1007/s10115-023-02057-4</t>
  </si>
  <si>
    <t>JAN 2024</t>
  </si>
  <si>
    <t>SM2Z5</t>
  </si>
  <si>
    <t>WOS:001152708700001</t>
  </si>
  <si>
    <t>Su, Q; Chen, L</t>
  </si>
  <si>
    <t>Su, Qiang; Chen, Lu</t>
  </si>
  <si>
    <t>A method for discovering clusters of e-commerce interest patterns using click-stream data</t>
  </si>
  <si>
    <t>Click-stream data; User interest; Behavior analysis; Leader clustering algorithm; Rough set theory</t>
  </si>
  <si>
    <t>LARGE DATA SETS; ROUGH K-MEANS; CLICKSTREAM DATA; WEB SITE; PRODUCT RECOMMENDATION; BROWSING BEHAVIOR; CHOICE MODEL; ONLINE; ALGORITHM; SYSTEMS</t>
  </si>
  <si>
    <t>Having a good understanding of users' interests has become increasingly important for online retailers hoping to create a personalized service for a target market. Generally speaking, user's browsing behaviors (when looking at websites) represent a comprehensive reflection of their interests. Users with various interests will visit multiple categories and research various items. Their browsing paths, the frequency of page visits and the time spent on each category all vary widely. Based on these considerations, a novel approach to discovering consumers' interests is proposed and is systematically studied in this paper. The browsing behavior of a number of consumers - including their visiting sequence, frequency and time spent on each category - are mined via the click-stream data recorded on an e-commerce website. Given this behavioral data, we construct an improved leader clustering algorithm and leverage it with a rough set theory in order to generate users' interest patterns. Furthermore, a case study is conducted based on nearly three million click-stream data, which was collected from one of the largest Chinese e-commerce websites. Using this data, the parameters of the algorithm are tested and optimized to make the algorithm more effective in terms of large data analysis and to make it more suitable for discovering users' multiple interests. Using this algorithm, three typical user interest patterns are derived based on a real click-stream dataset. More importantly, further calculations based on different click-stream datasets verify that these three interest patterns are consistent and stable. This study demonstrates that the proposed algorithm and the derived interest patterns can provide significant assistances on webpage optimization and personalized recommendation. (C) 2014 Elsevier B.V. All rights reserved.</t>
  </si>
  <si>
    <t>[Su, Qiang; Chen, Lu] Tongji Univ, Sch Econ &amp; Management, Shanghai 200092, Peoples R China</t>
  </si>
  <si>
    <t>Tongji University</t>
  </si>
  <si>
    <t>Chen, L (corresponding author), Tongji Univ, Sch Econ &amp; Management, Shanghai 200092, Peoples R China.</t>
  </si>
  <si>
    <t>lucia1119@gmail.com</t>
  </si>
  <si>
    <t>National Natural Science Foundation of China [71090404, 71072026]</t>
  </si>
  <si>
    <t>This work is supported by the National Natural Science Foundation of China (Project Nos. 71090404 and 71072026).</t>
  </si>
  <si>
    <t>10.1016/j.elerap.2014.10.002</t>
  </si>
  <si>
    <t>CB4QE</t>
  </si>
  <si>
    <t>WOS:000349612100001</t>
  </si>
  <si>
    <t>Zhang, XY; Yang, Q; Xu, DL</t>
  </si>
  <si>
    <t>Zhang, Xuanyu; Yang, Qing; Xu, Dongliang</t>
  </si>
  <si>
    <t>DeepVT: Deep View-Temporal Interaction Network for News Recommendation</t>
  </si>
  <si>
    <t>News Recommendation; View-Temporal Interaction; Attention Mechanism; Causal Convolution</t>
  </si>
  <si>
    <t>Personalized news recommendation aims to provide people with customized content, which can effectively improve the reading experience. Because user interests in news are diverse and changeable, how to learn accurate user representations is the core challenge in news recommendation. However, most of the previous works only apply news-level representation for user modeling directly, the views of news, such as title, abstract, and category, are only implied and compressed into a single vector of news, which makes it impossible for different views in different news to interact with each other. In this paper, we first focus on the view-level information for user modeling and propose Deep View-Temporal Interaction Network (DeepVT) for news recommendation. It mainly contains two components, i.e., 2D semi-causal convolutional neural network (SC-CNN) and multi-operator attention (MoA). SC-CNN can synthesize interaction information at the view-level and temporal information at the news-level simultaneously and efficiently. And MoA integrates different similarity operators in self-attention functions to avoid attention bias and enhance robustness. By collaboration with SC-CNN, the global interaction at the view-level becomes more sufficient. Experiments on a large-scale real-world dataset, Microsoft News Dataset (MIND), show that our model outperforms previous models in terms of all metrics significantly.</t>
  </si>
  <si>
    <t>[Zhang, Xuanyu; Yang, Qing; Xu, Dongliang] Du Xiaoman Financial, Beijing, Peoples R China</t>
  </si>
  <si>
    <t>Zhang, XY (corresponding author), Du Xiaoman Financial, Beijing, Peoples R China.</t>
  </si>
  <si>
    <t>zhangxuanyu@duxiaoman.com; yangqing@duxiaoman.com; xudongliang@duxiaoman.com</t>
  </si>
  <si>
    <t>10.1145/3511808.3557284</t>
  </si>
  <si>
    <t>WOS:001074639602060</t>
  </si>
  <si>
    <t>Wang, HMD; Li, YX; Yang, H</t>
  </si>
  <si>
    <t>Wang, Hui-ming Deanna; Li, Yinxing; Yang, Hui</t>
  </si>
  <si>
    <t>The Dynamic Interplay of Branded Hashtag Adoption, Social Media Ties, and User Interest</t>
  </si>
  <si>
    <t>branded hashtag; brand community; user generated content; social media ties; brand identification</t>
  </si>
  <si>
    <t>CONSUMER IDENTITY; CO-CREATION; COMMUNITY; IMPACT; IDENTIFICATION; FRAMEWORK; INFERENCE; TWITTER; MEMBERS</t>
  </si>
  <si>
    <t>This research investigates the dynamic interplay among branded hashtag adoption, social media ties, and user interest. Hashtags have become an important tool for helping marketers build a virtual community around a brand and encourage user-generated content (UGC), enhancing value for community members. We propose a novel conceptual framework grounded in identity signaling and optimal distinctiveness theory that captures the bidirectional, co-evolutionary mechanisms underlying the development of new brand communities. Using large-scale longitudinal observation data based on users' tweets on X, we apply the Bayesian vector autoregressive method to test our hypotheses. The results reveal a negative feedback loop between user topical interest and branded hashtag adoption, where high interest increases hashtag posting propensity but subsequently reduces that same interest-potentially decreasing motivation to participate in competing brand communities. Conversely, we find a positive feedback loop between user topical interest and new social media ties that reinforces identity-consistent behavior. The study establishes dual-nature variables in brand community research, extends optimal distinctiveness theory to consumer brand-signaling behavior, and develops novel metrics based on user-generated content for predicting brand community membership decisions. Our results also offer strategic insights for managing brand communities on social media.</t>
  </si>
  <si>
    <t>[Wang, Hui-ming Deanna; Yang, Hui] San Francisco State Univ, San Francisco, CA USA; [Li, Yinxing] Tohoku Univ, Sendai, Japan</t>
  </si>
  <si>
    <t>California State University System; San Francisco State University; Tohoku University</t>
  </si>
  <si>
    <t>Li, YX (corresponding author), Tohoku Univ, Grad Sch Econ, Sendai, Japan.</t>
  </si>
  <si>
    <t>yinxing.li.a8@tohoku.ac.jp</t>
  </si>
  <si>
    <t>Lam Family College of Business Competitive Inter-Departmental Research Grant; Office of Research and Sponsored Programs (ORSP) Small Grants Award at San Francisco State University</t>
  </si>
  <si>
    <t>The authors disclosed receipt of the following financial support for the research, authorship, and/or publication of this article: The authors acknowledge financial support from the Lam Family College of Business Competitive Inter-Departmental Research Grant (2016-2017) and the Office of Research and Sponsored Programs (ORSP) Small Grants Award at San Francisco State University (June 2015).</t>
  </si>
  <si>
    <t>10.1177/21582440261455140</t>
  </si>
  <si>
    <t>KE2SL</t>
  </si>
  <si>
    <t>WOS:001804886400001</t>
  </si>
  <si>
    <t>Kumar, NS; Thangamani, M</t>
  </si>
  <si>
    <t>Kumar, N. Suresh; Thangamani, M.</t>
  </si>
  <si>
    <t>Multi-Ontology Based Points of Interests (MO-POIS) and Parallel Fuzzy Clustering (PFC) Algorithm for Travel Sequence Recommendation with Mobile Communication on Big Social Media</t>
  </si>
  <si>
    <t>Travel recommendation; Geo-tagged photos; Social media; Multimedia information retrieval; Clustering; Semantic information; Ontology; Multi-Ontology based Points of Interest (MO-POIs); Parallel fuzzy clustering (PFC); Map Reduce (MR) model</t>
  </si>
  <si>
    <t>Leveraging community-contributed information such as blogs, Global Positioning System, and images that are geographically tagged for suggestions on navigation with mobile based communication is becoming a research area. The travel recommender a system is based on Points Of Interests (POIs) of user's emerge in many studies and enterprise applications. Most of the preceeding travel recommendation methodologies are capable of recommending a personalized travel by considering the POIs. The major objective of this paper is to design a new Multi-Ontology based Points of Interest (MO-POIs) travel recommendation system which considers the POIs of the user along with the individual semantic information. Initially stage, the personalized MO-POIs sequence is recommended, and the routes are ranked based on the individual depending on the package he uses. Both the user and route package similarities are evaluated using parallel fuzzy clustering algorithm in this research work. Map Reduce is used as a parallel computation model in this research which performs computation with the help of a couple of functions that are termed as map and reduce. The social users travel records are used to optimize the top ranked routes. Finally, the new MO-POIs recommendation system evaluation is finished with a billion of Flicker images, uploaded by thousands of users and also more than 24,000 travelogues that cover the estimated 850 and above travel POIs in nine renowned cities, and illustrates its efficiency. The results are measured using the performance metrics like average precision and weighted average precision. The evaluation concludes that the proposed algorithm is capable of performing well in recent works that uses travel logs.</t>
  </si>
  <si>
    <t>[Kumar, N. Suresh] Sri Ramakrishna Engn Coll, Dept Informat Technol, Coimbatore, Tamil Nadu, India; [Thangamani, M.] Kongu Engn Coll, Dept Comp Sci &amp; Engn, Erode, Tamil Nadu, India</t>
  </si>
  <si>
    <t>Sri Ramakrishna Engineering College; Kongu Engineering College</t>
  </si>
  <si>
    <t>Kumar, NS (corresponding author), Sri Ramakrishna Engn Coll, Dept Informat Technol, Coimbatore, Tamil Nadu, India.</t>
  </si>
  <si>
    <t>nsuresh2@gmail.com; manithangamani2@gmail.com</t>
  </si>
  <si>
    <t>N, Suresh Kumar/AAY-1433-2020; thangamani, thanga/AAL-7755-2020</t>
  </si>
  <si>
    <t>N, Suresh Kumar/0000-0002-7069-4285; thangamani, thanga/0000-0001-8864-3315</t>
  </si>
  <si>
    <t>10.1007/s11277-018-5492-0</t>
  </si>
  <si>
    <t>HB1BR</t>
  </si>
  <si>
    <t>WOS:000450754400069</t>
  </si>
  <si>
    <t>Long, F</t>
  </si>
  <si>
    <t>Long, Fei</t>
  </si>
  <si>
    <t>Improved Personalized Recommendation Algorithm Based on Context-Aware in Mobile Computing Environment</t>
  </si>
  <si>
    <t>WIRELESS COMMUNICATIONS &amp; MOBILE COMPUTING</t>
  </si>
  <si>
    <t>With the development and popularization of e-commerce and Internet, more and more attention has been paid to personalized recommendation for users. The traditional user interest model only considers the user's behavior on the project, ignoring the user's context at that time. Pointing to the shortage that context-related factors are not considered in previous works, combining the characteristics of a mobile computing environment, this paper studies the algorithm and model of mobile service recommendation. A recommendation algorithm based on specified context filtering in mobile computing environment is proposed. The context of the classification is aggregated, by grouping the scenarios of the same category together. Through experiments, we found that the improved personalized recommendation algorithms are superior to the common collaborative filtering algorithm.</t>
  </si>
  <si>
    <t>[Long, Fei] Changsha Univ, Sch Econ &amp; Management, Changsha 410003, Peoples R China</t>
  </si>
  <si>
    <t>Changsha University</t>
  </si>
  <si>
    <t>Long, F (corresponding author), Changsha Univ, Sch Econ &amp; Management, Changsha 410003, Peoples R China.</t>
  </si>
  <si>
    <t>z20120995@ccsu.edu.cn</t>
  </si>
  <si>
    <t>Social Science Foundation of Hunan Province [16YBQ003]; Changsha Municipal Science and the Technology Bureau [k1705072]; Hunan Provincial Social Science Achievement Evaluation Committee [XSP18YBC166]</t>
  </si>
  <si>
    <t>Social Science Foundation of Hunan Province; Changsha Municipal Science and the Technology Bureau; Hunan Provincial Social Science Achievement Evaluation Committee</t>
  </si>
  <si>
    <t>This work was supported in part by the Social Science Foundation of Hunan Province (16YBQ003), the Changsha Municipal Science and the Technology Bureau (k1705072), and the Hunan Provincial Social Science Achievement Evaluation Committee General Project (XSP18YBC166).</t>
  </si>
  <si>
    <t>1530-8669</t>
  </si>
  <si>
    <t>1530-8677</t>
  </si>
  <si>
    <t>WIREL COMMUN MOB COM</t>
  </si>
  <si>
    <t>Wirel. Commun. Mob. Comput.</t>
  </si>
  <si>
    <t>OCT 5</t>
  </si>
  <si>
    <t>10.1155/2020/8857576</t>
  </si>
  <si>
    <t>OI4RD</t>
  </si>
  <si>
    <t>WOS:000583266900005</t>
  </si>
  <si>
    <t>Hopfgartner, F; Jose, JM</t>
  </si>
  <si>
    <t>Hopfgartner, Frank; Jose, Joemon M.</t>
  </si>
  <si>
    <t>An experimental evaluation of ontology-based user profiles</t>
  </si>
  <si>
    <t>Video retrieval; Multiple time series study; Personalisation</t>
  </si>
  <si>
    <t>NEWS; WEB</t>
  </si>
  <si>
    <t>In recent years, a number of research works have been carried out to improve the information retrieval process by exploiting external knowledge, e. g. by employing ontologies. Even though ontologies seem to be a promising technique to improve the retrieval process, hardly any study has been performed to evaluate the use of ontologies over a longer time period to model user interests. In this work we introduce an ontology based video recommender system that exploits implicit relevance feedback to capture users' evolving information needs. The system exploits a generic ontology to organise users' interests. We evaluate the recommendations by performing a user-centred multiple time-series study where participants were asked to include the system into their daily news gathering routine. The results of this study suggest that the system can be successfully employed to improve personal information seeking tasks in news domain.</t>
  </si>
  <si>
    <t>[Hopfgartner, Frank] Int Comp Sci Inst, Berkeley, CA 94704 USA; [Jose, Joemon M.] Univ Glasgow, Dept Comp Sci, Glasgow G12 8QQ, Lanark, Scotland</t>
  </si>
  <si>
    <t>University of Glasgow</t>
  </si>
  <si>
    <t>Hopfgartner, F (corresponding author), Int Comp Sci Inst, Berkeley, CA 94704 USA.</t>
  </si>
  <si>
    <t>fh@icsi.berkeley.edu</t>
  </si>
  <si>
    <t>Hopfgartner, Frank/H-4598-2014</t>
  </si>
  <si>
    <t>Hopfgartner, Frank/0000-0003-0380-6088; Jose, Joemon/0000-0001-9228-1759</t>
  </si>
  <si>
    <t>10.1007/s11042-012-1254-2</t>
  </si>
  <si>
    <t>AQ8MX</t>
  </si>
  <si>
    <t>WOS:000343080700025</t>
  </si>
  <si>
    <t>Kruszelnicki, J; Golunski, M; Ciochon, P; Noya, M; Pelayo, E; Zyra, J</t>
  </si>
  <si>
    <t>Kruszelnicki, Jakub; Golunski, Mikolaj; Ciochon, Piotr; Noya, Manuel; Pelayo, Esteban; Zyra, Joanna</t>
  </si>
  <si>
    <t>SME segmentation and regional development agencies' innovation support measures</t>
  </si>
  <si>
    <t>REGIONAL STUDIES REGIONAL SCIENCE</t>
  </si>
  <si>
    <t>funding; innovation policy; regional innovation support; regional development agencies; small and medium-sized enterprise segmentation; data-mining</t>
  </si>
  <si>
    <t>RESEARCH-AND-DEVELOPMENT; ECONOMIC-GROWTH; COOPERATION; PRODUCTIVITY; SPILLOVERS; SYSTEMS</t>
  </si>
  <si>
    <t>The purpose of this paper is to substantiate the necessity and technical possibilities of creating a coherent and intelligent digital tool for small and medium-sized enterprises' (SME) segmentation, with the support of regional development agencies' (RDAs) databases. This tool would allow RDAs to improve the monitoring of the financial and innovation support mechanisms for SMEs and enable a classification of the regional population of SMEs in the specific interest categories, such as Regional Innovation Strategies for Smart Specialisation (RIS3). As a result, the digitally supported methodology described in this paper contributes to enhancing the effectiveness and efficiency of regional support by analysing the impact of the received aid on the productivity of the innovative SMEs. Additionally, the paper provides a categorization of their industrial activity at a more detailed level. Finally, it is argued that those companies with the highest innovation potential could benefit the most from enhanced segmentation. Providing RDAs with data-driven decision tools means that more tailor-made innovation-support instruments can be designed (as opposed to unspecific support instruments). Moreover, the tools could make it easier to perform impact assessment (to justify the investment), from both a qualitative (e.g., a classification based on companies' assets and merits in key areas for the region) and a quantitative (e.g., financial performance and indicators) point of view.</t>
  </si>
  <si>
    <t>[Kruszelnicki, Jakub; Golunski, Mikolaj; Ciochon, Piotr; Zyra, Joanna] Cracow Univ Technol, Fac Comp Sci &amp; Telecommun, Inst Econ Sociol &amp; Philosophy, Krakow, Poland; [Noya, Manuel] Linknovate Sci, Santiago De Compostella, Spain; [Pelayo, Esteban] European Assoc Reg Dev Agencies EURADA, Brussels, Belgium</t>
  </si>
  <si>
    <t>Cracow University of Technology</t>
  </si>
  <si>
    <t>Kruszelnicki, J (corresponding author), Cracow Univ Technol, Fac Comp Sci &amp; Telecommun, Inst Econ Sociol &amp; Philosophy, Krakow, Poland.</t>
  </si>
  <si>
    <t>kubaa.kuba@gmail.com; mikolaj.golunski@gmail.com; cj1111@gmail.com; manuel@linknovate.com; esteban.pelayo@eurada.org; jzyra@pk.edu.pl</t>
  </si>
  <si>
    <t>Noia Guldrís, Manuel/L-3079-2017; Gołuński, Mikołaj/J-1468-2018; Pelayo, Esteban/QOA-6558-2026; Ciochoń, Piotr/AAL-3634-2020</t>
  </si>
  <si>
    <t>Gołuński, Mikołaj/0000-0002-8629-290X; Pelayo Villarejo, Esteban/0000-0003-0989-8024; Ciochoń, Piotr/0000-0003-0752-2541; Kruszelnicki, Jakub/0000-0002-4527-5409</t>
  </si>
  <si>
    <t>European Union's Horizon 2020 Research and Innovation Programme [777443]; H2020 - Industrial Leadership [777443] Funding Source: H2020 - Industrial Leadership</t>
  </si>
  <si>
    <t>European Union's Horizon 2020 Research and Innovation Programme; H2020 - Industrial Leadership(European Union (EU)H2020 - Industrial Leadership)</t>
  </si>
  <si>
    <t>This project has received funding from the European Union's Horizon 2020 Research and Innovation Programme under Grant Agreement no. 777443.</t>
  </si>
  <si>
    <t>2168-1376</t>
  </si>
  <si>
    <t>REG STUD REG SCI</t>
  </si>
  <si>
    <t>Reg. Stud. Reg. Sci.</t>
  </si>
  <si>
    <t>10.1080/21681376.2020.1811753</t>
  </si>
  <si>
    <t>OT4XE</t>
  </si>
  <si>
    <t>WOS:000590850200001</t>
  </si>
  <si>
    <t>Klassen, A; Miller, A; Anderson, N; Shen, J; Schiariti, V; O'Donnell, M</t>
  </si>
  <si>
    <t>Klassen, Anne; Miller, Anton; Anderson, Nancy; Shen, Jane; Schiariti, Veronica; O'Donnell, Maureen</t>
  </si>
  <si>
    <t>Performance measurement and improvement frameworks in health, education and social services systems: a systematic review</t>
  </si>
  <si>
    <t>INTERNATIONAL JOURNAL FOR QUALITY IN HEALTH CARE</t>
  </si>
  <si>
    <t>quality measurement; quality indicators; healthcare system; child; special needs; chronic disease</t>
  </si>
  <si>
    <t>EFQM EXCELLENCE MODEL; BALANCED SCORECARD; CONCEPTUAL-FRAMEWORK; QUALITY INDICATORS; CARE QUALITY; EMERGENCY-DEPARTMENT; OF-LIFE; HOSPITALS; IMPLEMENTATION; DISABILITY</t>
  </si>
  <si>
    <t>To perform a systematic review, supplemented by a targeted grey literature scan, for performance measurement and improvement frameworks within and across the health, education and social service systems. The intended outcome was the creation of a foundation of evidence to inform the development of cross-sectoral quality improvement frameworks. MEDLINE, CINAHL, PsycINFO, ERIC, EMBASE, Social Services Abstracts, Social Work Abstracts and Education Index Full Text were searched up to April/May 2007. In addition, 26 governmental and 27 organizational websites were searched. English language material with a publication date of 1986 or more recent that described a health, education or social services multidimensional framework for performance measurement and improvement. The framework name; administrative sector; level of application; setting; population of interest; categories of quality described within the framework; country of application; and citations to other performance measurement and improvement frameworks were extracted from each article. In total, 111 frameworks were identified. Most frameworks (n = 97) were developed in or for the health sector. A concept sorting exercise identified 16 quality concepts applicable across many settings, sectors and levels of application. This systematic review of quality domains will be relevant and useful to those who are developing and using performance measurement and improvement frameworks for adult and child populations within or across the health, social service or education sectors.</t>
  </si>
  <si>
    <t>[Klassen, Anne] McMaster Univ, Dept Pediat, Hamilton, ON L8N 3Z5, Canada; [Miller, Anton; Schiariti, Veronica; O'Donnell, Maureen] Univ British Columbia, Dept Pediat, Vancouver, BC V6T 1W5, Canada; [Miller, Anton; Anderson, Nancy; Shen, Jane; Schiariti, Veronica; O'Donnell, Maureen] Dev Neurosci &amp; Child Hlth Child &amp; Family Res Inst, Vancouver, BC, Canada</t>
  </si>
  <si>
    <t>McMaster University; University of British Columbia; Child &amp; Family Research Institute</t>
  </si>
  <si>
    <t>Klassen, A (corresponding author), McMaster Univ, Dept Pediat, HSC 3A,1200 Main St W, Hamilton, ON L8N 3Z5, Canada.</t>
  </si>
  <si>
    <t>aklass@mcmaster.ca</t>
  </si>
  <si>
    <t>Klassen, Anne/AAS-3211-2021; Almeida Marques, Paula Cristina de/HKO-3281-2023; Miller, Anton/U-5719-2018; SCHIARITI, Verónica/JHU-0087-2023</t>
  </si>
  <si>
    <t>Klassen, Anne/0000-0003-4720-0096; Almeida Marques, Paula Cristina de/0000-0001-5372-6815; Miller, Anton/0000-0002-6509-2589;</t>
  </si>
  <si>
    <t>Canadian Institutes of Health Research; Sunny Hill Foundation; British Columbia Ministry of Education</t>
  </si>
  <si>
    <t>Canadian Institutes of Health Research(Canadian Institutes of Health Research (CIHR)); Sunny Hill Foundation; British Columbia Ministry of Education</t>
  </si>
  <si>
    <t>This study was funded by a grant from the Canadian Institutes of Health Research. Anne Klassen is recipient of Canadian Institute of Health Research career award. Veronica Schiariti is the recipient of salary support from the Sunny Hill Foundation for Children through a grant from the British Columbia Ministry of Education.</t>
  </si>
  <si>
    <t>1353-4505</t>
  </si>
  <si>
    <t>1464-3677</t>
  </si>
  <si>
    <t>INT J QUAL HEALTH C</t>
  </si>
  <si>
    <t>Int. J. Qual. Health Care</t>
  </si>
  <si>
    <t>10.1093/intqhc/mzp057</t>
  </si>
  <si>
    <t>Health Care Sciences &amp; Services; Health Policy &amp; Services</t>
  </si>
  <si>
    <t>Health Care Sciences &amp; Services</t>
  </si>
  <si>
    <t>542NF</t>
  </si>
  <si>
    <t>WOS:000273500200008</t>
  </si>
  <si>
    <t>Mansour, AM; Mohammad, JH; Kravchenko, YA</t>
  </si>
  <si>
    <t>Heredia, YH; Nunez, VM; Ruiz-Shulcloper, J</t>
  </si>
  <si>
    <t>Mansour, Ali Mahmoud; Mohammad, Juman Hussein; Kravchenko, Yury Alekseevich</t>
  </si>
  <si>
    <t>Automated Ontology Extraction from Text for Content-Based Web Personalization</t>
  </si>
  <si>
    <t>PROGRESS IN ARTIFICIAL INTELLIGENCE AND PATTERN RECOGNITION, IWAIPR 2025</t>
  </si>
  <si>
    <t>9th International Workshop on Artificial Intelligence and Pattern Recognition-IWAIPR</t>
  </si>
  <si>
    <t>OCT 14-17, 2025</t>
  </si>
  <si>
    <t>Varadero, CUBA</t>
  </si>
  <si>
    <t>University of Informatic Sciences,International Association for Pattern Recognition</t>
  </si>
  <si>
    <t>Personalization; content-based recommendation; text mining; concept extraction; keyword extraction; ontology learning</t>
  </si>
  <si>
    <t>In the era of rapid AI advancements and exponential data growth, web content personalization has become essential for enhancing user experience by delivering tailored information. Traditional methods, such as conceptual approaches and static ontological models, face limitations: conceptual methods lack semantic depth and struggle with domain-specific ambiguities, while ontological models, though semantically rich, are often rigid and unable to adapt to dynamic user preferences. To address these challenges, this study proposes a hybrid approach that combines the interpretability of conceptual methods with the semantic rigor of ontologies. This paper makes two key contributions. First, it introduces an ontological model that automates the identification of hierarchical and taxonomic relationships within user profiles, enabling a more accurate and dynamic representation of user interests. This enhances the efficiency of searching for relevant knowledge items and assessing their semantic relevance. Second, it presents an improved web content personalization algorithm that leverages this ontological model to better identify user interests. The algorithm integrates keyphrase extraction and ambiguity detection techniques into a unified pipeline, ensuring more precise and adaptive personalization. Experimental results demonstrate that the proposed solutions improve the accuracy of search result personalization by 5-8%, as measured by the MAP@K metric.</t>
  </si>
  <si>
    <t>[Mansour, Ali Mahmoud; Mohammad, Juman Hussein; Kravchenko, Yury Alekseevich] Southern Fed Univ, Dept Comp Aided Design, Taganrog 347900, Russia</t>
  </si>
  <si>
    <t>Southern Federal University</t>
  </si>
  <si>
    <t>Mansour, AM (corresponding author), Southern Fed Univ, Dept Comp Aided Design, Taganrog 347900, Russia.</t>
  </si>
  <si>
    <t>mansur@sfedu.ru</t>
  </si>
  <si>
    <t>Russian Science Foundation; Southern Federal University</t>
  </si>
  <si>
    <t>Russian Science Foundation(Russian Science Foundation (RSF)); Southern Federal University</t>
  </si>
  <si>
    <t>The study was performed by the grant from the Russian Science Foundation. 22-71-10121-., https://rscf.ru/project/22-71-10121-./in the Southern Federal University.</t>
  </si>
  <si>
    <t>978-3-032-11357-3; 978-3-032-11358-0</t>
  </si>
  <si>
    <t>10.1007/978-3-032-11358-0_12</t>
  </si>
  <si>
    <t>BA6DS</t>
  </si>
  <si>
    <t>WOS:001754952900012</t>
  </si>
  <si>
    <t>Tanwar, M; Khatri, SK; Pendse, R</t>
  </si>
  <si>
    <t>Tanwar, Mona; Khatri, Sunil Kumar; Pendse, Ravi</t>
  </si>
  <si>
    <t>A Framework for Feature Selection Using Natural Language Processing for User Profile Learning for Recommendations of Healthcare-Related Content</t>
  </si>
  <si>
    <t>INTERNATIONAL JOURNAL OF BUSINESS ANALYTICS</t>
  </si>
  <si>
    <t>Clustering User Profile Features; Content Recommendation; Feature Selection; Healthcare Content; Machine Learning; Natural Language Processing; Semantic Analysis; User Profile Learning and Modeling</t>
  </si>
  <si>
    <t>This paper presents the work done on recommendations of healthcare-related journal papers by understanding the semantics of terms from the papers referred by users in past. In other words, user profiles based on user interest within the healthcare domain are constructed from the kind of journal papers read by the users. Multiple user profiles are constructed for each user based on different categories of papers read by the users. The proposed approach goes to the granular level of extrinsic and intrinsic relationship between terms and clusters highly semantically-related relevant domain terms where each cluster represents a user interest area. The semantic analysis of terms is done starting from co-occurrence analysis to extract the intra-couplings between terms and then the intercouplings are extracted from the intra-couplings, and then, finally, clusters of highly related terms are formed. The experiments showed improved precision for the proposed approach as compared to the state-of-the-art technique with a mean reciprocal rank of 0.76.</t>
  </si>
  <si>
    <t>[Tanwar, Mona] Amity Univ, Noida, India; [Khatri, Sunil Kumar] Amity Univ Tashkent, Tashkent, Uzbekistan; [Pendse, Ravi] Univ Michigan, Informat Technol, Ann Arbor, MI 48109 USA; [Pendse, Ravi] Univ Michigan, Ann Arbor, MI 48109 USA</t>
  </si>
  <si>
    <t>Amity University Noida; University of Michigan System; University of Michigan; University of Michigan System; University of Michigan</t>
  </si>
  <si>
    <t>Tanwar, M (corresponding author), Amity Univ, Noida, India.</t>
  </si>
  <si>
    <t>Khatri, Sunil Kumar/J-7795-2017</t>
  </si>
  <si>
    <t>Khatri, Sunil Kumar/0000-0003-4373-9000</t>
  </si>
  <si>
    <t>2334-4547</t>
  </si>
  <si>
    <t>2334-4555</t>
  </si>
  <si>
    <t>INT J BUS ANAL</t>
  </si>
  <si>
    <t>Int. J. Bus. Anal.</t>
  </si>
  <si>
    <t>10.4018/IJBAN.292059</t>
  </si>
  <si>
    <t>Business</t>
  </si>
  <si>
    <t>3O2VF</t>
  </si>
  <si>
    <t>WOS:000836694400001</t>
  </si>
  <si>
    <t>Zhang, Z; Zheng, XL; Zeng, DD</t>
  </si>
  <si>
    <t>Zhang, Zhu; Zheng, Xiaolong; Zeng, Daniel Dajun</t>
  </si>
  <si>
    <t>A framework for diversifying recommendation lists by user interest expansion</t>
  </si>
  <si>
    <t>Recommender systems; Collaborative filtering; Diversity; Interest expansion; Social tagging system</t>
  </si>
  <si>
    <t>SYSTEM; TAG</t>
  </si>
  <si>
    <t>Recommender systems have been widely used to discover users' preferences and recommend interesting items to users during this age of information overload. Researchers in the field of recommender systems have realized that the quality of a top-N recommendation list involves not only relevance but also diversity. Most traditional recommendation algorithms are difficult to generate a diverse item list that can cover most of his/her interests for each user, since they mainly focus on predicting accurate items similar to the dominant interests of users. Additionally, they seldom exploit semantic information such as item tags and users' interest labels to improve recommendation diversity. In this paper, we propose a novel recommendation framework which mainly adopts an expansion strategy of user interests based on social tagging information. The framework enhances the diversity of users' preferences by expanding the sizes and categories of the original user-item interaction records, and then adopts traditional recommendation models to generate recommendation lists. Empirical evaluations on three real-world data sets show that our method can effectively improve the accuracy and diversity of item recommendation. (C) 2016 Elsevier B.V. All rights reserved.</t>
  </si>
  <si>
    <t>[Zhang, Zhu; Zheng, Xiaolong; Zeng, Daniel Dajun] Chinese Acad Sci, Inst Automat, Beijing 100190, Peoples R China; [Zeng, Daniel Dajun] Univ Arizona, Dept Management Informat Syst, Tucson, AZ 85721 USA</t>
  </si>
  <si>
    <t>Chinese Academy of Sciences; Institute of Automation, CAS; Nanjing Institute of Geology &amp; Paleontology, CAS; University of Arizona</t>
  </si>
  <si>
    <t>Zheng, XL (corresponding author), Chinese Acad Sci, Inst Automat, Beijing 100190, Peoples R China.</t>
  </si>
  <si>
    <t>zhu_zhang@foxmail.com; xiaolong.zheng@ia.ac.cn; dajun.zeng@ia.ac.cn</t>
  </si>
  <si>
    <t>National Natural Science Foundation of China [71472175, 71103180, 71025001, 61175040]; National Institutes of Health (NIH) of the USA [1R01DA037378-01]; Ministry of Health of China [2012ZX10004801, 2013ZX10004218]</t>
  </si>
  <si>
    <t>National Natural Science Foundation of China(National Natural Science Foundation of China (NSFC)); National Institutes of Health (NIH) of the USA(United States Department of Health &amp; Human ServicesNational Institutes of Health (NIH) - USAOffice of the Administrator (NIH)); Ministry of Health of China</t>
  </si>
  <si>
    <t>We would like to thank each member of the SMILES group in the Institute of Automation, Chinese Academy of Sciences. Especially, we would like to thank Kainan Cui, Chuan Luo, and Saike He for their useful discussions. This work was supported by the National Natural Science Foundation of China (Grant No. 71472175, 71103180, 71025001, and 61175040), the National Institutes of Health (NIH) of the USA (Grant No. 1R01DA037378-01), and the Ministry of Health of China (Grant No. 2012ZX10004801 and 2013ZX10004218).</t>
  </si>
  <si>
    <t>10.1016/j.knosys.2016.05.010</t>
  </si>
  <si>
    <t>DQ1KZ</t>
  </si>
  <si>
    <t>WOS:000378961200008</t>
  </si>
  <si>
    <t>Mitsuhara, H; Kanenishi, K; Yano, Y</t>
  </si>
  <si>
    <t>Mitsuhara, Hiroyuki; Kanenishi, Kazuhide; Yano, Yoneo</t>
  </si>
  <si>
    <t>Adaptive link generation for multiperspective thinking on the Web: an approach to motivate learners to think</t>
  </si>
  <si>
    <t>INNOVATIONS IN EDUCATION AND TEACHING INTERNATIONAL</t>
  </si>
  <si>
    <t>1st International Conference on Cognition and Exploratory Learning in Digital Age (CELDA 2004)</t>
  </si>
  <si>
    <t>DEC 14-16, 2004</t>
  </si>
  <si>
    <t>Int Assoc Dev Informat Soc</t>
  </si>
  <si>
    <t>HYPERMEDIA</t>
  </si>
  <si>
    <t>To increase the efficiency of exploratory learning on the Web, we previously developed a free-hyperlink environment that allows adaptive link generation. In this environment, learners can make new hyperlinks independent of static hyperlinks and share them on the Web. To reduce hyperlink overflow, the adaptive link generation filters out sharable hyperlinks made by other learners with a low similarity of interest. This paper describes how to increase the effectiveness of exploratory learning on the Web. We think that learners should think about a learning topic from many perspectives beyond their individual interests. We call such a learning method multiperspective thinking. The focus of this paper is the adaptive link generation for multiperspective thinking on the Web. Our idea is to recommend the sharable hyperlinks made by other learners with low similarity of interest to motivate learners to think about information that is uninteresting for them but necessary for learning.</t>
  </si>
  <si>
    <t>Univ Tokushima, Fac Engn, Tokushima 7708506, Japan</t>
  </si>
  <si>
    <t>Tokushima University</t>
  </si>
  <si>
    <t>Mitsuhara, H (corresponding author), Univ Tokushima, Fac Engn, 2-1 Minami Josanjima Cho, Tokushima 7708506, Japan.</t>
  </si>
  <si>
    <t>mituhara@is.tokushima-u.ac.jp</t>
  </si>
  <si>
    <t>Mitsuhara, Hiroyuki/0000-0001-8230-3379</t>
  </si>
  <si>
    <t>1470-3297</t>
  </si>
  <si>
    <t>INNOV EDUC TEACH INT</t>
  </si>
  <si>
    <t>Innov. Educ. Teach. Int.</t>
  </si>
  <si>
    <t>10.1080/14703290600650434</t>
  </si>
  <si>
    <t>Conference Proceedings Citation Index - Social Science &amp; Humanities (CPCI-SSH); Social Science Citation Index (SSCI)</t>
  </si>
  <si>
    <t>065IJ</t>
  </si>
  <si>
    <t>WOS:000239153100004</t>
  </si>
  <si>
    <t>Ghose, S; Jo, GS</t>
  </si>
  <si>
    <t>Interactive and adaptive search context for the user with the exploration of personalized view reformulation</t>
  </si>
  <si>
    <t>COMPUTATIONAL INTELLIGENCE AND SECURITY, PT 1, PROCEEDINGS</t>
  </si>
  <si>
    <t>DEC 15-19, 2005</t>
  </si>
  <si>
    <t>IEEE Computat Intelligence, Hong Kong Chapter,Xidian Univ,Hong Kong Baptist Univ,Natl Nat Sci Fdn China,Guangdong Univ Technol</t>
  </si>
  <si>
    <t>The explosive growth of information on the web demands effective intelligent search and filtering methods. Consequently, techniques have been developed that extract conceptual information to form a personalized view of the search context. In a similar vein, this system ventures to extract conceptual information as a weighted term category automatically monitoring the user's browsing habits. This concept hierarchy can be served as a thematic search context to disambiguate the words in the user's query to form an effective search query. Experimental results carried out with this framework suggests that implicit measurements of user interests, combined with the semantic knowledge embedded in concept hierarchy can be used effectively to infer the user context and to improve the results of information retrieval.</t>
  </si>
  <si>
    <t>Inha Univ, Sch Comp &amp; Informat Engn, Intelligent E Commerce Syst Lab, Inchon, South Korea</t>
  </si>
  <si>
    <t>Ghose, S (corresponding author), Inha Univ, Sch Comp &amp; Informat Engn, Intelligent E Commerce Syst Lab, Inchon, South Korea.</t>
  </si>
  <si>
    <t>SGresearch@gmail.com; gsjo@inha.ac.kr</t>
  </si>
  <si>
    <t>3-540-30818-0</t>
  </si>
  <si>
    <t>BDQ19</t>
  </si>
  <si>
    <t>WOS:000234873700069</t>
  </si>
  <si>
    <t>Zhang, RP</t>
  </si>
  <si>
    <t>Zhang, Ruiping</t>
  </si>
  <si>
    <t>Personalized Course Recommendation Method Based on Learner Interest Mining in Educational Big Data Environment</t>
  </si>
  <si>
    <t>SCIENTIFIC PROGRAMMING</t>
  </si>
  <si>
    <t>ONTOLOGY</t>
  </si>
  <si>
    <t>Aiming at the problems of low accuracy and large limitations of the current personalized course recommendation method in the educational big data environment, a personalized course recommendation method based on learner interest mining in the educational big data environment is proposed. First, a corresponding online course recommendation model framework is proposed by adopting GRU, which can effectively solve the problems of gradient disappearance and gradient explosion in the process of training the RNN neural network. Then, by introducing an auto-regressive language model, XLNet (Generalized Autoregressive Pretraining for Language Understanding), the information missing problem under the Mask mechanism in the BERT model is effectively optimized, and bidirectional prediction is achieved. Finally, by introducing a temporal attention mechanism into the model, enough attention is assigned to highlight local important information on key information, which improves the quality of hidden layer feature extraction, and a high-accuracy personalized course recommendation based on learner interest mining is realized. The proposed algorithm is compared with the other three collaborative filtering algorithms and the RNN algorithm through simulation experiments. The results show that the precision, recall, and F1-measure of the proposed algorithm in the personalized course recommendation results for different types of courses under the condition of the same database are all optimal. The largest values were 92.1%, 89.3%, and 90.7%, respectively. The overall performance is better than other comparison algorithms. This method can improve the accuracy and optimization limitations of personalized courses and can fully tap the interests of learners. It is of great significance for learners to choose personalized courses in the current educational big data environment.</t>
  </si>
  <si>
    <t>[Zhang, Ruiping] Anyang Presch Educ Coll, Dept Presch Educ, Anyang 456150, Henan, Peoples R China</t>
  </si>
  <si>
    <t>Zhang, RP (corresponding author), Anyang Presch Educ Coll, Dept Presch Educ, Anyang 456150, Henan, Peoples R China.</t>
  </si>
  <si>
    <t>zhangruiping@ayyz.edu.cn</t>
  </si>
  <si>
    <t>Zhang, Ruiping/AFM-4637-2022</t>
  </si>
  <si>
    <t>Zhang, Ruiping/0000-0003-1468-4952</t>
  </si>
  <si>
    <t>1058-9244</t>
  </si>
  <si>
    <t>1875-919X</t>
  </si>
  <si>
    <t>SCI PROGRAMMING-NETH</t>
  </si>
  <si>
    <t>Sci. Program.</t>
  </si>
  <si>
    <t>SEP 21</t>
  </si>
  <si>
    <t>10.1155/2022/9943965</t>
  </si>
  <si>
    <t>6R1QU</t>
  </si>
  <si>
    <t>WOS:000892084800002</t>
  </si>
  <si>
    <t>Ducassou, S; Genelini, F; Rochard, C; Pérel, Y</t>
  </si>
  <si>
    <t>Ducassou, S.; Genelini, F.; Rochard, C.; Perel, Y.</t>
  </si>
  <si>
    <t>Physical Activity in Paediatric Oncology in Practice How to Keep Children Active?</t>
  </si>
  <si>
    <t>ONCOLOGIE</t>
  </si>
  <si>
    <t>French</t>
  </si>
  <si>
    <t>Cancer; Childhood; Teenager; Physical activity; Health education</t>
  </si>
  <si>
    <t>CANCER; LIFE</t>
  </si>
  <si>
    <t>Adapted physical activity (APA) has recently been introduced in clinical oncology units, particularly in pediatric and adolescent oncology. These initiatives emerge as support care, emphasizing their integration necessary for therapeutic projects, in connection with the multiprofessional team. They aim to improve comfort, quality of life and more, the quality of healing. For the individual interest in the child, the modulation of physical activity according to its desire and the future project proposed, the APA is a health educational approach. The physical activity is provided by caregivers and educational staff as an experiment offers, personal development and resilience.</t>
  </si>
  <si>
    <t>[Ducassou, S.; Genelini, F.; Rochard, C.; Perel, Y.] CHU Bordeaux, Hop Enfants, Unite Oncol &amp; Hematol Pediat, Pl Amelie Raba Leon, F-33076 Bordeaux, France; [Rochard, C.; Perel, Y.] CHU Bordeaux, Cerevance Ctr Reference Syndrome Evans &amp; Cytopeni, Pl Amelie Raba Leon, F-33076 Bordeaux, France</t>
  </si>
  <si>
    <t>CHU Bordeaux; Universite de Bordeaux; Universite de Bordeaux; CHU Bordeaux</t>
  </si>
  <si>
    <t>Ducassou, S (corresponding author), CHU Bordeaux, Hop Enfants, Unite Oncol &amp; Hematol Pediat, Pl Amelie Raba Leon, F-33076 Bordeaux, France.</t>
  </si>
  <si>
    <t>stephane.ducassou@chu-bordeaux.fr</t>
  </si>
  <si>
    <t>1292-3818</t>
  </si>
  <si>
    <t>1765-2839</t>
  </si>
  <si>
    <t>Oncologie</t>
  </si>
  <si>
    <t>11-12</t>
  </si>
  <si>
    <t>10.1007/s10269-016-2669-6</t>
  </si>
  <si>
    <t>Oncology</t>
  </si>
  <si>
    <t>EI3ZM</t>
  </si>
  <si>
    <t>WOS:000392432000003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</si>
</sst>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8ED92-B580-4A48-9984-9F48CC74D01C}">
  <dimension ref="A1:BT1001"/>
  <sheetViews>
    <sheetView tabSelected="1" workbookViewId="0"/>
  </sheetViews>
  <sheetFormatPr defaultRowHeight="13.2" x14ac:dyDescent="0.25"/>
  <sheetData>
    <row r="1" spans="1:72"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row>
    <row r="2" spans="1:72" x14ac:dyDescent="0.25">
      <c r="A2" t="s">
        <v>72</v>
      </c>
      <c r="B2" t="s">
        <v>73</v>
      </c>
      <c r="C2" t="s">
        <v>74</v>
      </c>
      <c r="D2" t="s">
        <v>74</v>
      </c>
      <c r="E2" t="s">
        <v>74</v>
      </c>
      <c r="F2" t="s">
        <v>75</v>
      </c>
      <c r="G2" t="s">
        <v>74</v>
      </c>
      <c r="H2" t="s">
        <v>74</v>
      </c>
      <c r="I2" t="s">
        <v>76</v>
      </c>
      <c r="J2" t="s">
        <v>77</v>
      </c>
      <c r="K2" t="s">
        <v>74</v>
      </c>
      <c r="L2" t="s">
        <v>74</v>
      </c>
      <c r="M2" t="s">
        <v>78</v>
      </c>
      <c r="N2" t="s">
        <v>79</v>
      </c>
      <c r="O2" t="s">
        <v>74</v>
      </c>
      <c r="P2" t="s">
        <v>74</v>
      </c>
      <c r="Q2" t="s">
        <v>74</v>
      </c>
      <c r="R2" t="s">
        <v>74</v>
      </c>
      <c r="S2" t="s">
        <v>74</v>
      </c>
      <c r="T2" t="s">
        <v>80</v>
      </c>
      <c r="U2" t="s">
        <v>81</v>
      </c>
      <c r="V2" t="s">
        <v>82</v>
      </c>
      <c r="W2" t="s">
        <v>83</v>
      </c>
      <c r="X2" t="s">
        <v>84</v>
      </c>
      <c r="Y2" t="s">
        <v>85</v>
      </c>
      <c r="Z2" t="s">
        <v>86</v>
      </c>
      <c r="AA2" t="s">
        <v>74</v>
      </c>
      <c r="AB2" t="s">
        <v>87</v>
      </c>
      <c r="AC2" t="s">
        <v>88</v>
      </c>
      <c r="AD2" t="s">
        <v>89</v>
      </c>
      <c r="AE2" t="s">
        <v>90</v>
      </c>
      <c r="AF2" t="s">
        <v>74</v>
      </c>
      <c r="AG2">
        <v>67</v>
      </c>
      <c r="AH2">
        <v>10</v>
      </c>
      <c r="AI2">
        <v>12</v>
      </c>
      <c r="AJ2">
        <v>5</v>
      </c>
      <c r="AK2">
        <v>15</v>
      </c>
      <c r="AL2" t="s">
        <v>91</v>
      </c>
      <c r="AM2" t="s">
        <v>92</v>
      </c>
      <c r="AN2" t="s">
        <v>93</v>
      </c>
      <c r="AO2" t="s">
        <v>94</v>
      </c>
      <c r="AP2" t="s">
        <v>95</v>
      </c>
      <c r="AQ2" t="s">
        <v>74</v>
      </c>
      <c r="AR2" t="s">
        <v>96</v>
      </c>
      <c r="AS2" t="s">
        <v>97</v>
      </c>
      <c r="AT2" t="s">
        <v>98</v>
      </c>
      <c r="AU2">
        <v>2025</v>
      </c>
      <c r="AV2">
        <v>35</v>
      </c>
      <c r="AW2">
        <v>6</v>
      </c>
      <c r="AX2" t="s">
        <v>74</v>
      </c>
      <c r="AY2" t="s">
        <v>74</v>
      </c>
      <c r="AZ2" t="s">
        <v>74</v>
      </c>
      <c r="BA2" t="s">
        <v>74</v>
      </c>
      <c r="BB2">
        <v>3459</v>
      </c>
      <c r="BC2">
        <v>3500</v>
      </c>
      <c r="BD2" t="s">
        <v>74</v>
      </c>
      <c r="BE2" t="s">
        <v>99</v>
      </c>
      <c r="BF2" t="str">
        <f>HYPERLINK("http://dx.doi.org/10.1007/s40593-025-00505-6","http://dx.doi.org/10.1007/s40593-025-00505-6")</f>
        <v>http://dx.doi.org/10.1007/s40593-025-00505-6</v>
      </c>
      <c r="BG2" t="s">
        <v>74</v>
      </c>
      <c r="BH2" t="s">
        <v>100</v>
      </c>
      <c r="BI2">
        <v>42</v>
      </c>
      <c r="BJ2" t="s">
        <v>101</v>
      </c>
      <c r="BK2" t="s">
        <v>102</v>
      </c>
      <c r="BL2" t="s">
        <v>103</v>
      </c>
      <c r="BM2" t="s">
        <v>104</v>
      </c>
      <c r="BN2" t="s">
        <v>74</v>
      </c>
      <c r="BO2" t="s">
        <v>105</v>
      </c>
      <c r="BP2" t="s">
        <v>74</v>
      </c>
      <c r="BQ2" t="s">
        <v>74</v>
      </c>
      <c r="BR2" t="s">
        <v>106</v>
      </c>
      <c r="BS2" t="s">
        <v>107</v>
      </c>
      <c r="BT2" t="str">
        <f>HYPERLINK("https%3A%2F%2Fwww.webofscience.com%2Fwos%2Fwoscc%2Ffull-record%2FWOS:001536005400001","View Full Record in Web of Science")</f>
        <v>View Full Record in Web of Science</v>
      </c>
    </row>
    <row r="3" spans="1:72" x14ac:dyDescent="0.25">
      <c r="A3" t="s">
        <v>108</v>
      </c>
      <c r="B3" t="s">
        <v>109</v>
      </c>
      <c r="C3" t="s">
        <v>74</v>
      </c>
      <c r="D3" t="s">
        <v>110</v>
      </c>
      <c r="E3" t="s">
        <v>74</v>
      </c>
      <c r="F3" t="s">
        <v>111</v>
      </c>
      <c r="G3" t="s">
        <v>74</v>
      </c>
      <c r="H3" t="s">
        <v>74</v>
      </c>
      <c r="I3" t="s">
        <v>112</v>
      </c>
      <c r="J3" t="s">
        <v>113</v>
      </c>
      <c r="K3" t="s">
        <v>114</v>
      </c>
      <c r="L3" t="s">
        <v>74</v>
      </c>
      <c r="M3" t="s">
        <v>78</v>
      </c>
      <c r="N3" t="s">
        <v>115</v>
      </c>
      <c r="O3" t="s">
        <v>116</v>
      </c>
      <c r="P3" t="s">
        <v>117</v>
      </c>
      <c r="Q3" t="s">
        <v>118</v>
      </c>
      <c r="R3" t="s">
        <v>74</v>
      </c>
      <c r="S3" t="s">
        <v>74</v>
      </c>
      <c r="T3" t="s">
        <v>119</v>
      </c>
      <c r="U3" t="s">
        <v>74</v>
      </c>
      <c r="V3" t="s">
        <v>120</v>
      </c>
      <c r="W3" t="s">
        <v>121</v>
      </c>
      <c r="X3" t="s">
        <v>122</v>
      </c>
      <c r="Y3" t="s">
        <v>123</v>
      </c>
      <c r="Z3" t="s">
        <v>124</v>
      </c>
      <c r="AA3" t="s">
        <v>125</v>
      </c>
      <c r="AB3" t="s">
        <v>74</v>
      </c>
      <c r="AC3" t="s">
        <v>126</v>
      </c>
      <c r="AD3" t="s">
        <v>127</v>
      </c>
      <c r="AE3" t="s">
        <v>128</v>
      </c>
      <c r="AF3" t="s">
        <v>74</v>
      </c>
      <c r="AG3">
        <v>20</v>
      </c>
      <c r="AH3">
        <v>1</v>
      </c>
      <c r="AI3">
        <v>1</v>
      </c>
      <c r="AJ3">
        <v>2</v>
      </c>
      <c r="AK3">
        <v>3</v>
      </c>
      <c r="AL3" t="s">
        <v>129</v>
      </c>
      <c r="AM3" t="s">
        <v>130</v>
      </c>
      <c r="AN3" t="s">
        <v>131</v>
      </c>
      <c r="AO3" t="s">
        <v>132</v>
      </c>
      <c r="AP3" t="s">
        <v>133</v>
      </c>
      <c r="AQ3" t="s">
        <v>134</v>
      </c>
      <c r="AR3" t="s">
        <v>135</v>
      </c>
      <c r="AS3" t="s">
        <v>74</v>
      </c>
      <c r="AT3" t="s">
        <v>74</v>
      </c>
      <c r="AU3">
        <v>2025</v>
      </c>
      <c r="AV3">
        <v>15881</v>
      </c>
      <c r="AW3" t="s">
        <v>74</v>
      </c>
      <c r="AX3" t="s">
        <v>74</v>
      </c>
      <c r="AY3" t="s">
        <v>74</v>
      </c>
      <c r="AZ3" t="s">
        <v>74</v>
      </c>
      <c r="BA3" t="s">
        <v>74</v>
      </c>
      <c r="BB3">
        <v>285</v>
      </c>
      <c r="BC3">
        <v>292</v>
      </c>
      <c r="BD3" t="s">
        <v>74</v>
      </c>
      <c r="BE3" t="s">
        <v>136</v>
      </c>
      <c r="BF3" t="str">
        <f>HYPERLINK("http://dx.doi.org/10.1007/978-3-031-98462-4_36","http://dx.doi.org/10.1007/978-3-031-98462-4_36")</f>
        <v>http://dx.doi.org/10.1007/978-3-031-98462-4_36</v>
      </c>
      <c r="BG3" t="s">
        <v>74</v>
      </c>
      <c r="BH3" t="s">
        <v>74</v>
      </c>
      <c r="BI3">
        <v>8</v>
      </c>
      <c r="BJ3" t="s">
        <v>137</v>
      </c>
      <c r="BK3" t="s">
        <v>138</v>
      </c>
      <c r="BL3" t="s">
        <v>139</v>
      </c>
      <c r="BM3" t="s">
        <v>140</v>
      </c>
      <c r="BN3" t="s">
        <v>74</v>
      </c>
      <c r="BO3" t="s">
        <v>74</v>
      </c>
      <c r="BP3" t="s">
        <v>74</v>
      </c>
      <c r="BQ3" t="s">
        <v>74</v>
      </c>
      <c r="BR3" t="s">
        <v>106</v>
      </c>
      <c r="BS3" t="s">
        <v>141</v>
      </c>
      <c r="BT3" t="str">
        <f>HYPERLINK("https%3A%2F%2Fwww.webofscience.com%2Fwos%2Fwoscc%2Ffull-record%2FWOS:001655282800036","View Full Record in Web of Science")</f>
        <v>View Full Record in Web of Science</v>
      </c>
    </row>
    <row r="4" spans="1:72" x14ac:dyDescent="0.25">
      <c r="A4" t="s">
        <v>108</v>
      </c>
      <c r="B4" t="s">
        <v>142</v>
      </c>
      <c r="C4" t="s">
        <v>74</v>
      </c>
      <c r="D4" t="s">
        <v>143</v>
      </c>
      <c r="E4" t="s">
        <v>74</v>
      </c>
      <c r="F4" t="s">
        <v>144</v>
      </c>
      <c r="G4" t="s">
        <v>74</v>
      </c>
      <c r="H4" t="s">
        <v>74</v>
      </c>
      <c r="I4" t="s">
        <v>145</v>
      </c>
      <c r="J4" t="s">
        <v>146</v>
      </c>
      <c r="K4" t="s">
        <v>147</v>
      </c>
      <c r="L4" t="s">
        <v>74</v>
      </c>
      <c r="M4" t="s">
        <v>78</v>
      </c>
      <c r="N4" t="s">
        <v>115</v>
      </c>
      <c r="O4" t="s">
        <v>148</v>
      </c>
      <c r="P4" t="s">
        <v>149</v>
      </c>
      <c r="Q4" t="s">
        <v>150</v>
      </c>
      <c r="R4" t="s">
        <v>74</v>
      </c>
      <c r="S4" t="s">
        <v>74</v>
      </c>
      <c r="T4" t="s">
        <v>151</v>
      </c>
      <c r="U4" t="s">
        <v>74</v>
      </c>
      <c r="V4" t="s">
        <v>152</v>
      </c>
      <c r="W4" t="s">
        <v>153</v>
      </c>
      <c r="X4" t="s">
        <v>154</v>
      </c>
      <c r="Y4" t="s">
        <v>155</v>
      </c>
      <c r="Z4" t="s">
        <v>156</v>
      </c>
      <c r="AA4" t="s">
        <v>157</v>
      </c>
      <c r="AB4" t="s">
        <v>158</v>
      </c>
      <c r="AC4" t="s">
        <v>74</v>
      </c>
      <c r="AD4" t="s">
        <v>74</v>
      </c>
      <c r="AE4" t="s">
        <v>74</v>
      </c>
      <c r="AF4" t="s">
        <v>74</v>
      </c>
      <c r="AG4">
        <v>25</v>
      </c>
      <c r="AH4">
        <v>0</v>
      </c>
      <c r="AI4">
        <v>0</v>
      </c>
      <c r="AJ4">
        <v>1</v>
      </c>
      <c r="AK4">
        <v>4</v>
      </c>
      <c r="AL4" t="s">
        <v>129</v>
      </c>
      <c r="AM4" t="s">
        <v>130</v>
      </c>
      <c r="AN4" t="s">
        <v>131</v>
      </c>
      <c r="AO4" t="s">
        <v>159</v>
      </c>
      <c r="AP4" t="s">
        <v>133</v>
      </c>
      <c r="AQ4" t="s">
        <v>160</v>
      </c>
      <c r="AR4" t="s">
        <v>161</v>
      </c>
      <c r="AS4" t="s">
        <v>74</v>
      </c>
      <c r="AT4" t="s">
        <v>74</v>
      </c>
      <c r="AU4">
        <v>2023</v>
      </c>
      <c r="AV4">
        <v>13891</v>
      </c>
      <c r="AW4" t="s">
        <v>74</v>
      </c>
      <c r="AX4" t="s">
        <v>74</v>
      </c>
      <c r="AY4" t="s">
        <v>74</v>
      </c>
      <c r="AZ4" t="s">
        <v>74</v>
      </c>
      <c r="BA4" t="s">
        <v>74</v>
      </c>
      <c r="BB4">
        <v>233</v>
      </c>
      <c r="BC4">
        <v>246</v>
      </c>
      <c r="BD4" t="s">
        <v>74</v>
      </c>
      <c r="BE4" t="s">
        <v>162</v>
      </c>
      <c r="BF4" t="str">
        <f>HYPERLINK("http://dx.doi.org/10.1007/978-3-031-32883-1_20","http://dx.doi.org/10.1007/978-3-031-32883-1_20")</f>
        <v>http://dx.doi.org/10.1007/978-3-031-32883-1_20</v>
      </c>
      <c r="BG4" t="s">
        <v>74</v>
      </c>
      <c r="BH4" t="s">
        <v>74</v>
      </c>
      <c r="BI4">
        <v>14</v>
      </c>
      <c r="BJ4" t="s">
        <v>163</v>
      </c>
      <c r="BK4" t="s">
        <v>138</v>
      </c>
      <c r="BL4" t="s">
        <v>139</v>
      </c>
      <c r="BM4" t="s">
        <v>164</v>
      </c>
      <c r="BN4" t="s">
        <v>74</v>
      </c>
      <c r="BO4" t="s">
        <v>74</v>
      </c>
      <c r="BP4" t="s">
        <v>74</v>
      </c>
      <c r="BQ4" t="s">
        <v>74</v>
      </c>
      <c r="BR4" t="s">
        <v>106</v>
      </c>
      <c r="BS4" t="s">
        <v>165</v>
      </c>
      <c r="BT4" t="str">
        <f>HYPERLINK("https%3A%2F%2Fwww.webofscience.com%2Fwos%2Fwoscc%2Ffull-record%2FWOS:001296006200020","View Full Record in Web of Science")</f>
        <v>View Full Record in Web of Science</v>
      </c>
    </row>
    <row r="5" spans="1:72" x14ac:dyDescent="0.25">
      <c r="A5" t="s">
        <v>72</v>
      </c>
      <c r="B5" t="s">
        <v>166</v>
      </c>
      <c r="C5" t="s">
        <v>74</v>
      </c>
      <c r="D5" t="s">
        <v>74</v>
      </c>
      <c r="E5" t="s">
        <v>74</v>
      </c>
      <c r="F5" t="s">
        <v>167</v>
      </c>
      <c r="G5" t="s">
        <v>74</v>
      </c>
      <c r="H5" t="s">
        <v>74</v>
      </c>
      <c r="I5" t="s">
        <v>168</v>
      </c>
      <c r="J5" t="s">
        <v>77</v>
      </c>
      <c r="K5" t="s">
        <v>74</v>
      </c>
      <c r="L5" t="s">
        <v>74</v>
      </c>
      <c r="M5" t="s">
        <v>78</v>
      </c>
      <c r="N5" t="s">
        <v>79</v>
      </c>
      <c r="O5" t="s">
        <v>74</v>
      </c>
      <c r="P5" t="s">
        <v>74</v>
      </c>
      <c r="Q5" t="s">
        <v>74</v>
      </c>
      <c r="R5" t="s">
        <v>74</v>
      </c>
      <c r="S5" t="s">
        <v>74</v>
      </c>
      <c r="T5" t="s">
        <v>169</v>
      </c>
      <c r="U5" t="s">
        <v>170</v>
      </c>
      <c r="V5" t="s">
        <v>171</v>
      </c>
      <c r="W5" t="s">
        <v>172</v>
      </c>
      <c r="X5" t="s">
        <v>173</v>
      </c>
      <c r="Y5" t="s">
        <v>174</v>
      </c>
      <c r="Z5" t="s">
        <v>175</v>
      </c>
      <c r="AA5" t="s">
        <v>176</v>
      </c>
      <c r="AB5" t="s">
        <v>177</v>
      </c>
      <c r="AC5" t="s">
        <v>74</v>
      </c>
      <c r="AD5" t="s">
        <v>74</v>
      </c>
      <c r="AE5" t="s">
        <v>74</v>
      </c>
      <c r="AF5" t="s">
        <v>74</v>
      </c>
      <c r="AG5">
        <v>37</v>
      </c>
      <c r="AH5">
        <v>8</v>
      </c>
      <c r="AI5">
        <v>12</v>
      </c>
      <c r="AJ5">
        <v>29</v>
      </c>
      <c r="AK5">
        <v>75</v>
      </c>
      <c r="AL5" t="s">
        <v>178</v>
      </c>
      <c r="AM5" t="s">
        <v>92</v>
      </c>
      <c r="AN5" t="s">
        <v>179</v>
      </c>
      <c r="AO5" t="s">
        <v>94</v>
      </c>
      <c r="AP5" t="s">
        <v>95</v>
      </c>
      <c r="AQ5" t="s">
        <v>74</v>
      </c>
      <c r="AR5" t="s">
        <v>96</v>
      </c>
      <c r="AS5" t="s">
        <v>97</v>
      </c>
      <c r="AT5" t="s">
        <v>98</v>
      </c>
      <c r="AU5">
        <v>2025</v>
      </c>
      <c r="AV5">
        <v>35</v>
      </c>
      <c r="AW5">
        <v>5</v>
      </c>
      <c r="AX5" t="s">
        <v>74</v>
      </c>
      <c r="AY5" t="s">
        <v>74</v>
      </c>
      <c r="AZ5" t="s">
        <v>74</v>
      </c>
      <c r="BA5" t="s">
        <v>74</v>
      </c>
      <c r="BB5">
        <v>3049</v>
      </c>
      <c r="BC5">
        <v>3070</v>
      </c>
      <c r="BD5" t="s">
        <v>74</v>
      </c>
      <c r="BE5" t="s">
        <v>180</v>
      </c>
      <c r="BF5" t="str">
        <f>HYPERLINK("http://dx.doi.org/10.1007/s40593-025-00491-9","http://dx.doi.org/10.1007/s40593-025-00491-9")</f>
        <v>http://dx.doi.org/10.1007/s40593-025-00491-9</v>
      </c>
      <c r="BG5" t="s">
        <v>74</v>
      </c>
      <c r="BH5" t="s">
        <v>100</v>
      </c>
      <c r="BI5">
        <v>22</v>
      </c>
      <c r="BJ5" t="s">
        <v>101</v>
      </c>
      <c r="BK5" t="s">
        <v>102</v>
      </c>
      <c r="BL5" t="s">
        <v>103</v>
      </c>
      <c r="BM5" t="s">
        <v>181</v>
      </c>
      <c r="BN5" t="s">
        <v>74</v>
      </c>
      <c r="BO5" t="s">
        <v>105</v>
      </c>
      <c r="BP5" t="s">
        <v>74</v>
      </c>
      <c r="BQ5" t="s">
        <v>74</v>
      </c>
      <c r="BR5" t="s">
        <v>106</v>
      </c>
      <c r="BS5" t="s">
        <v>182</v>
      </c>
      <c r="BT5" t="str">
        <f>HYPERLINK("https%3A%2F%2Fwww.webofscience.com%2Fwos%2Fwoscc%2Ffull-record%2FWOS:001527671200001","View Full Record in Web of Science")</f>
        <v>View Full Record in Web of Science</v>
      </c>
    </row>
    <row r="6" spans="1:72" x14ac:dyDescent="0.25">
      <c r="A6" t="s">
        <v>108</v>
      </c>
      <c r="B6" t="s">
        <v>183</v>
      </c>
      <c r="C6" t="s">
        <v>74</v>
      </c>
      <c r="D6" t="s">
        <v>184</v>
      </c>
      <c r="E6" t="s">
        <v>74</v>
      </c>
      <c r="F6" t="s">
        <v>185</v>
      </c>
      <c r="G6" t="s">
        <v>74</v>
      </c>
      <c r="H6" t="s">
        <v>74</v>
      </c>
      <c r="I6" t="s">
        <v>186</v>
      </c>
      <c r="J6" t="s">
        <v>187</v>
      </c>
      <c r="K6" t="s">
        <v>114</v>
      </c>
      <c r="L6" t="s">
        <v>74</v>
      </c>
      <c r="M6" t="s">
        <v>78</v>
      </c>
      <c r="N6" t="s">
        <v>115</v>
      </c>
      <c r="O6" t="s">
        <v>188</v>
      </c>
      <c r="P6" t="s">
        <v>189</v>
      </c>
      <c r="Q6" t="s">
        <v>190</v>
      </c>
      <c r="R6" t="s">
        <v>74</v>
      </c>
      <c r="S6" t="s">
        <v>74</v>
      </c>
      <c r="T6" t="s">
        <v>74</v>
      </c>
      <c r="U6" t="s">
        <v>191</v>
      </c>
      <c r="V6" t="s">
        <v>192</v>
      </c>
      <c r="W6" t="s">
        <v>193</v>
      </c>
      <c r="X6" t="s">
        <v>194</v>
      </c>
      <c r="Y6" t="s">
        <v>195</v>
      </c>
      <c r="Z6" t="s">
        <v>196</v>
      </c>
      <c r="AA6" t="s">
        <v>74</v>
      </c>
      <c r="AB6" t="s">
        <v>74</v>
      </c>
      <c r="AC6" t="s">
        <v>74</v>
      </c>
      <c r="AD6" t="s">
        <v>74</v>
      </c>
      <c r="AE6" t="s">
        <v>74</v>
      </c>
      <c r="AF6" t="s">
        <v>74</v>
      </c>
      <c r="AG6">
        <v>13</v>
      </c>
      <c r="AH6">
        <v>1</v>
      </c>
      <c r="AI6">
        <v>2</v>
      </c>
      <c r="AJ6">
        <v>0</v>
      </c>
      <c r="AK6">
        <v>6</v>
      </c>
      <c r="AL6" t="s">
        <v>197</v>
      </c>
      <c r="AM6" t="s">
        <v>198</v>
      </c>
      <c r="AN6" t="s">
        <v>199</v>
      </c>
      <c r="AO6" t="s">
        <v>159</v>
      </c>
      <c r="AP6" t="s">
        <v>74</v>
      </c>
      <c r="AQ6" t="s">
        <v>200</v>
      </c>
      <c r="AR6" t="s">
        <v>135</v>
      </c>
      <c r="AS6" t="s">
        <v>74</v>
      </c>
      <c r="AT6" t="s">
        <v>74</v>
      </c>
      <c r="AU6">
        <v>2015</v>
      </c>
      <c r="AV6">
        <v>9183</v>
      </c>
      <c r="AW6" t="s">
        <v>74</v>
      </c>
      <c r="AX6" t="s">
        <v>74</v>
      </c>
      <c r="AY6" t="s">
        <v>74</v>
      </c>
      <c r="AZ6" t="s">
        <v>74</v>
      </c>
      <c r="BA6" t="s">
        <v>74</v>
      </c>
      <c r="BB6">
        <v>675</v>
      </c>
      <c r="BC6">
        <v>682</v>
      </c>
      <c r="BD6" t="s">
        <v>74</v>
      </c>
      <c r="BE6" t="s">
        <v>201</v>
      </c>
      <c r="BF6" t="str">
        <f>HYPERLINK("http://dx.doi.org/10.1007/978-3-319-20816-9_64","http://dx.doi.org/10.1007/978-3-319-20816-9_64")</f>
        <v>http://dx.doi.org/10.1007/978-3-319-20816-9_64</v>
      </c>
      <c r="BG6" t="s">
        <v>74</v>
      </c>
      <c r="BH6" t="s">
        <v>74</v>
      </c>
      <c r="BI6">
        <v>8</v>
      </c>
      <c r="BJ6" t="s">
        <v>202</v>
      </c>
      <c r="BK6" t="s">
        <v>203</v>
      </c>
      <c r="BL6" t="s">
        <v>103</v>
      </c>
      <c r="BM6" t="s">
        <v>204</v>
      </c>
      <c r="BN6" t="s">
        <v>74</v>
      </c>
      <c r="BO6" t="s">
        <v>205</v>
      </c>
      <c r="BP6" t="s">
        <v>74</v>
      </c>
      <c r="BQ6" t="s">
        <v>74</v>
      </c>
      <c r="BR6" t="s">
        <v>106</v>
      </c>
      <c r="BS6" t="s">
        <v>206</v>
      </c>
      <c r="BT6" t="str">
        <f>HYPERLINK("https%3A%2F%2Fwww.webofscience.com%2Fwos%2Fwoscc%2Ffull-record%2FWOS:000364809400064","View Full Record in Web of Science")</f>
        <v>View Full Record in Web of Science</v>
      </c>
    </row>
    <row r="7" spans="1:72" x14ac:dyDescent="0.25">
      <c r="A7" t="s">
        <v>72</v>
      </c>
      <c r="B7" t="s">
        <v>207</v>
      </c>
      <c r="C7" t="s">
        <v>74</v>
      </c>
      <c r="D7" t="s">
        <v>74</v>
      </c>
      <c r="E7" t="s">
        <v>74</v>
      </c>
      <c r="F7" t="s">
        <v>208</v>
      </c>
      <c r="G7" t="s">
        <v>74</v>
      </c>
      <c r="H7" t="s">
        <v>74</v>
      </c>
      <c r="I7" t="s">
        <v>209</v>
      </c>
      <c r="J7" t="s">
        <v>77</v>
      </c>
      <c r="K7" t="s">
        <v>74</v>
      </c>
      <c r="L7" t="s">
        <v>74</v>
      </c>
      <c r="M7" t="s">
        <v>78</v>
      </c>
      <c r="N7" t="s">
        <v>79</v>
      </c>
      <c r="O7" t="s">
        <v>74</v>
      </c>
      <c r="P7" t="s">
        <v>74</v>
      </c>
      <c r="Q7" t="s">
        <v>74</v>
      </c>
      <c r="R7" t="s">
        <v>74</v>
      </c>
      <c r="S7" t="s">
        <v>74</v>
      </c>
      <c r="T7" t="s">
        <v>210</v>
      </c>
      <c r="U7" t="s">
        <v>211</v>
      </c>
      <c r="V7" t="s">
        <v>212</v>
      </c>
      <c r="W7" t="s">
        <v>213</v>
      </c>
      <c r="X7" t="s">
        <v>214</v>
      </c>
      <c r="Y7" t="s">
        <v>215</v>
      </c>
      <c r="Z7" t="s">
        <v>216</v>
      </c>
      <c r="AA7" t="s">
        <v>217</v>
      </c>
      <c r="AB7" t="s">
        <v>218</v>
      </c>
      <c r="AC7" t="s">
        <v>219</v>
      </c>
      <c r="AD7" t="s">
        <v>220</v>
      </c>
      <c r="AE7" t="s">
        <v>221</v>
      </c>
      <c r="AF7" t="s">
        <v>74</v>
      </c>
      <c r="AG7">
        <v>68</v>
      </c>
      <c r="AH7">
        <v>63</v>
      </c>
      <c r="AI7">
        <v>82</v>
      </c>
      <c r="AJ7">
        <v>1</v>
      </c>
      <c r="AK7">
        <v>58</v>
      </c>
      <c r="AL7" t="s">
        <v>178</v>
      </c>
      <c r="AM7" t="s">
        <v>92</v>
      </c>
      <c r="AN7" t="s">
        <v>222</v>
      </c>
      <c r="AO7" t="s">
        <v>94</v>
      </c>
      <c r="AP7" t="s">
        <v>95</v>
      </c>
      <c r="AQ7" t="s">
        <v>74</v>
      </c>
      <c r="AR7" t="s">
        <v>96</v>
      </c>
      <c r="AS7" t="s">
        <v>97</v>
      </c>
      <c r="AT7" t="s">
        <v>223</v>
      </c>
      <c r="AU7">
        <v>2019</v>
      </c>
      <c r="AV7">
        <v>29</v>
      </c>
      <c r="AW7">
        <v>1</v>
      </c>
      <c r="AX7" t="s">
        <v>74</v>
      </c>
      <c r="AY7" t="s">
        <v>74</v>
      </c>
      <c r="AZ7" t="s">
        <v>74</v>
      </c>
      <c r="BA7" t="s">
        <v>74</v>
      </c>
      <c r="BB7">
        <v>58</v>
      </c>
      <c r="BC7">
        <v>88</v>
      </c>
      <c r="BD7" t="s">
        <v>74</v>
      </c>
      <c r="BE7" t="s">
        <v>224</v>
      </c>
      <c r="BF7" t="str">
        <f>HYPERLINK("http://dx.doi.org/10.1007/s40593-018-0168-1","http://dx.doi.org/10.1007/s40593-018-0168-1")</f>
        <v>http://dx.doi.org/10.1007/s40593-018-0168-1</v>
      </c>
      <c r="BG7" t="s">
        <v>74</v>
      </c>
      <c r="BH7" t="s">
        <v>74</v>
      </c>
      <c r="BI7">
        <v>31</v>
      </c>
      <c r="BJ7" t="s">
        <v>101</v>
      </c>
      <c r="BK7" t="s">
        <v>102</v>
      </c>
      <c r="BL7" t="s">
        <v>103</v>
      </c>
      <c r="BM7" t="s">
        <v>225</v>
      </c>
      <c r="BN7" t="s">
        <v>74</v>
      </c>
      <c r="BO7" t="s">
        <v>105</v>
      </c>
      <c r="BP7" t="s">
        <v>74</v>
      </c>
      <c r="BQ7" t="s">
        <v>74</v>
      </c>
      <c r="BR7" t="s">
        <v>106</v>
      </c>
      <c r="BS7" t="s">
        <v>226</v>
      </c>
      <c r="BT7" t="str">
        <f>HYPERLINK("https%3A%2F%2Fwww.webofscience.com%2Fwos%2Fwoscc%2Ffull-record%2FWOS:000467957100003","View Full Record in Web of Science")</f>
        <v>View Full Record in Web of Science</v>
      </c>
    </row>
    <row r="8" spans="1:72" x14ac:dyDescent="0.25">
      <c r="A8" t="s">
        <v>72</v>
      </c>
      <c r="B8" t="s">
        <v>227</v>
      </c>
      <c r="C8" t="s">
        <v>74</v>
      </c>
      <c r="D8" t="s">
        <v>74</v>
      </c>
      <c r="E8" t="s">
        <v>74</v>
      </c>
      <c r="F8" t="s">
        <v>228</v>
      </c>
      <c r="G8" t="s">
        <v>74</v>
      </c>
      <c r="H8" t="s">
        <v>74</v>
      </c>
      <c r="I8" t="s">
        <v>229</v>
      </c>
      <c r="J8" t="s">
        <v>230</v>
      </c>
      <c r="K8" t="s">
        <v>74</v>
      </c>
      <c r="L8" t="s">
        <v>74</v>
      </c>
      <c r="M8" t="s">
        <v>78</v>
      </c>
      <c r="N8" t="s">
        <v>79</v>
      </c>
      <c r="O8" t="s">
        <v>74</v>
      </c>
      <c r="P8" t="s">
        <v>74</v>
      </c>
      <c r="Q8" t="s">
        <v>74</v>
      </c>
      <c r="R8" t="s">
        <v>74</v>
      </c>
      <c r="S8" t="s">
        <v>74</v>
      </c>
      <c r="T8" t="s">
        <v>231</v>
      </c>
      <c r="U8" t="s">
        <v>232</v>
      </c>
      <c r="V8" t="s">
        <v>233</v>
      </c>
      <c r="W8" t="s">
        <v>234</v>
      </c>
      <c r="X8" t="s">
        <v>235</v>
      </c>
      <c r="Y8" t="s">
        <v>236</v>
      </c>
      <c r="Z8" t="s">
        <v>237</v>
      </c>
      <c r="AA8" t="s">
        <v>74</v>
      </c>
      <c r="AB8" t="s">
        <v>238</v>
      </c>
      <c r="AC8" t="s">
        <v>74</v>
      </c>
      <c r="AD8" t="s">
        <v>74</v>
      </c>
      <c r="AE8" t="s">
        <v>74</v>
      </c>
      <c r="AF8" t="s">
        <v>74</v>
      </c>
      <c r="AG8">
        <v>80</v>
      </c>
      <c r="AH8">
        <v>177</v>
      </c>
      <c r="AI8">
        <v>279</v>
      </c>
      <c r="AJ8">
        <v>0</v>
      </c>
      <c r="AK8">
        <v>123</v>
      </c>
      <c r="AL8" t="s">
        <v>239</v>
      </c>
      <c r="AM8" t="s">
        <v>240</v>
      </c>
      <c r="AN8" t="s">
        <v>241</v>
      </c>
      <c r="AO8" t="s">
        <v>242</v>
      </c>
      <c r="AP8" t="s">
        <v>243</v>
      </c>
      <c r="AQ8" t="s">
        <v>74</v>
      </c>
      <c r="AR8" t="s">
        <v>244</v>
      </c>
      <c r="AS8" t="s">
        <v>245</v>
      </c>
      <c r="AT8" t="s">
        <v>246</v>
      </c>
      <c r="AU8">
        <v>2013</v>
      </c>
      <c r="AV8">
        <v>105</v>
      </c>
      <c r="AW8">
        <v>4</v>
      </c>
      <c r="AX8" t="s">
        <v>74</v>
      </c>
      <c r="AY8" t="s">
        <v>74</v>
      </c>
      <c r="AZ8" t="s">
        <v>247</v>
      </c>
      <c r="BA8" t="s">
        <v>74</v>
      </c>
      <c r="BB8">
        <v>932</v>
      </c>
      <c r="BC8">
        <v>945</v>
      </c>
      <c r="BD8" t="s">
        <v>74</v>
      </c>
      <c r="BE8" t="s">
        <v>248</v>
      </c>
      <c r="BF8" t="str">
        <f>HYPERLINK("http://dx.doi.org/10.1037/a0031882","http://dx.doi.org/10.1037/a0031882")</f>
        <v>http://dx.doi.org/10.1037/a0031882</v>
      </c>
      <c r="BG8" t="s">
        <v>74</v>
      </c>
      <c r="BH8" t="s">
        <v>74</v>
      </c>
      <c r="BI8">
        <v>14</v>
      </c>
      <c r="BJ8" t="s">
        <v>249</v>
      </c>
      <c r="BK8" t="s">
        <v>250</v>
      </c>
      <c r="BL8" t="s">
        <v>251</v>
      </c>
      <c r="BM8" t="s">
        <v>252</v>
      </c>
      <c r="BN8" t="s">
        <v>74</v>
      </c>
      <c r="BO8" t="s">
        <v>74</v>
      </c>
      <c r="BP8" t="s">
        <v>74</v>
      </c>
      <c r="BQ8" t="s">
        <v>74</v>
      </c>
      <c r="BR8" t="s">
        <v>106</v>
      </c>
      <c r="BS8" t="s">
        <v>253</v>
      </c>
      <c r="BT8" t="str">
        <f>HYPERLINK("https%3A%2F%2Fwww.webofscience.com%2Fwos%2Fwoscc%2Ffull-record%2FWOS:000326257700002","View Full Record in Web of Science")</f>
        <v>View Full Record in Web of Science</v>
      </c>
    </row>
    <row r="9" spans="1:72" x14ac:dyDescent="0.25">
      <c r="A9" t="s">
        <v>108</v>
      </c>
      <c r="B9" t="s">
        <v>254</v>
      </c>
      <c r="C9" t="s">
        <v>74</v>
      </c>
      <c r="D9" t="s">
        <v>255</v>
      </c>
      <c r="E9" t="s">
        <v>74</v>
      </c>
      <c r="F9" t="s">
        <v>256</v>
      </c>
      <c r="G9" t="s">
        <v>74</v>
      </c>
      <c r="H9" t="s">
        <v>74</v>
      </c>
      <c r="I9" t="s">
        <v>257</v>
      </c>
      <c r="J9" t="s">
        <v>258</v>
      </c>
      <c r="K9" t="s">
        <v>114</v>
      </c>
      <c r="L9" t="s">
        <v>74</v>
      </c>
      <c r="M9" t="s">
        <v>78</v>
      </c>
      <c r="N9" t="s">
        <v>115</v>
      </c>
      <c r="O9" t="s">
        <v>116</v>
      </c>
      <c r="P9" t="s">
        <v>117</v>
      </c>
      <c r="Q9" t="s">
        <v>118</v>
      </c>
      <c r="R9" t="s">
        <v>74</v>
      </c>
      <c r="S9" t="s">
        <v>74</v>
      </c>
      <c r="T9" t="s">
        <v>259</v>
      </c>
      <c r="U9" t="s">
        <v>260</v>
      </c>
      <c r="V9" t="s">
        <v>261</v>
      </c>
      <c r="W9" t="s">
        <v>262</v>
      </c>
      <c r="X9" t="s">
        <v>263</v>
      </c>
      <c r="Y9" t="s">
        <v>264</v>
      </c>
      <c r="Z9" t="s">
        <v>237</v>
      </c>
      <c r="AA9" t="s">
        <v>74</v>
      </c>
      <c r="AB9" t="s">
        <v>74</v>
      </c>
      <c r="AC9" t="s">
        <v>265</v>
      </c>
      <c r="AD9" t="s">
        <v>266</v>
      </c>
      <c r="AE9" t="s">
        <v>267</v>
      </c>
      <c r="AF9" t="s">
        <v>74</v>
      </c>
      <c r="AG9">
        <v>36</v>
      </c>
      <c r="AH9">
        <v>1</v>
      </c>
      <c r="AI9">
        <v>1</v>
      </c>
      <c r="AJ9">
        <v>3</v>
      </c>
      <c r="AK9">
        <v>4</v>
      </c>
      <c r="AL9" t="s">
        <v>129</v>
      </c>
      <c r="AM9" t="s">
        <v>130</v>
      </c>
      <c r="AN9" t="s">
        <v>131</v>
      </c>
      <c r="AO9" t="s">
        <v>132</v>
      </c>
      <c r="AP9" t="s">
        <v>133</v>
      </c>
      <c r="AQ9" t="s">
        <v>268</v>
      </c>
      <c r="AR9" t="s">
        <v>135</v>
      </c>
      <c r="AS9" t="s">
        <v>74</v>
      </c>
      <c r="AT9" t="s">
        <v>74</v>
      </c>
      <c r="AU9">
        <v>2025</v>
      </c>
      <c r="AV9">
        <v>15880</v>
      </c>
      <c r="AW9" t="s">
        <v>74</v>
      </c>
      <c r="AX9" t="s">
        <v>74</v>
      </c>
      <c r="AY9" t="s">
        <v>74</v>
      </c>
      <c r="AZ9" t="s">
        <v>74</v>
      </c>
      <c r="BA9" t="s">
        <v>74</v>
      </c>
      <c r="BB9">
        <v>90</v>
      </c>
      <c r="BC9">
        <v>104</v>
      </c>
      <c r="BD9" t="s">
        <v>74</v>
      </c>
      <c r="BE9" t="s">
        <v>269</v>
      </c>
      <c r="BF9" t="str">
        <f>HYPERLINK("http://dx.doi.org/10.1007/978-3-031-98459-4_7","http://dx.doi.org/10.1007/978-3-031-98459-4_7")</f>
        <v>http://dx.doi.org/10.1007/978-3-031-98459-4_7</v>
      </c>
      <c r="BG9" t="s">
        <v>74</v>
      </c>
      <c r="BH9" t="s">
        <v>74</v>
      </c>
      <c r="BI9">
        <v>15</v>
      </c>
      <c r="BJ9" t="s">
        <v>163</v>
      </c>
      <c r="BK9" t="s">
        <v>138</v>
      </c>
      <c r="BL9" t="s">
        <v>139</v>
      </c>
      <c r="BM9" t="s">
        <v>270</v>
      </c>
      <c r="BN9" t="s">
        <v>74</v>
      </c>
      <c r="BO9" t="s">
        <v>74</v>
      </c>
      <c r="BP9" t="s">
        <v>74</v>
      </c>
      <c r="BQ9" t="s">
        <v>74</v>
      </c>
      <c r="BR9" t="s">
        <v>106</v>
      </c>
      <c r="BS9" t="s">
        <v>271</v>
      </c>
      <c r="BT9" t="str">
        <f>HYPERLINK("https%3A%2F%2Fwww.webofscience.com%2Fwos%2Fwoscc%2Ffull-record%2FWOS:001655279700007","View Full Record in Web of Science")</f>
        <v>View Full Record in Web of Science</v>
      </c>
    </row>
    <row r="10" spans="1:72" x14ac:dyDescent="0.25">
      <c r="A10" t="s">
        <v>108</v>
      </c>
      <c r="B10" t="s">
        <v>272</v>
      </c>
      <c r="C10" t="s">
        <v>74</v>
      </c>
      <c r="D10" t="s">
        <v>74</v>
      </c>
      <c r="E10" t="s">
        <v>273</v>
      </c>
      <c r="F10" t="s">
        <v>274</v>
      </c>
      <c r="G10" t="s">
        <v>74</v>
      </c>
      <c r="H10" t="s">
        <v>74</v>
      </c>
      <c r="I10" t="s">
        <v>275</v>
      </c>
      <c r="J10" t="s">
        <v>276</v>
      </c>
      <c r="K10" t="s">
        <v>74</v>
      </c>
      <c r="L10" t="s">
        <v>74</v>
      </c>
      <c r="M10" t="s">
        <v>78</v>
      </c>
      <c r="N10" t="s">
        <v>115</v>
      </c>
      <c r="O10" t="s">
        <v>277</v>
      </c>
      <c r="P10" t="s">
        <v>278</v>
      </c>
      <c r="Q10" t="s">
        <v>279</v>
      </c>
      <c r="R10" t="s">
        <v>280</v>
      </c>
      <c r="S10" t="s">
        <v>281</v>
      </c>
      <c r="T10" t="s">
        <v>282</v>
      </c>
      <c r="U10" t="s">
        <v>74</v>
      </c>
      <c r="V10" t="s">
        <v>283</v>
      </c>
      <c r="W10" t="s">
        <v>284</v>
      </c>
      <c r="X10" t="s">
        <v>285</v>
      </c>
      <c r="Y10" t="s">
        <v>286</v>
      </c>
      <c r="Z10" t="s">
        <v>287</v>
      </c>
      <c r="AA10" t="s">
        <v>288</v>
      </c>
      <c r="AB10" t="s">
        <v>74</v>
      </c>
      <c r="AC10" t="s">
        <v>289</v>
      </c>
      <c r="AD10" t="s">
        <v>266</v>
      </c>
      <c r="AE10" t="s">
        <v>290</v>
      </c>
      <c r="AF10" t="s">
        <v>74</v>
      </c>
      <c r="AG10">
        <v>37</v>
      </c>
      <c r="AH10">
        <v>7</v>
      </c>
      <c r="AI10">
        <v>8</v>
      </c>
      <c r="AJ10">
        <v>0</v>
      </c>
      <c r="AK10">
        <v>1</v>
      </c>
      <c r="AL10" t="s">
        <v>291</v>
      </c>
      <c r="AM10" t="s">
        <v>92</v>
      </c>
      <c r="AN10" t="s">
        <v>292</v>
      </c>
      <c r="AO10" t="s">
        <v>74</v>
      </c>
      <c r="AP10" t="s">
        <v>74</v>
      </c>
      <c r="AQ10" t="s">
        <v>293</v>
      </c>
      <c r="AR10" t="s">
        <v>74</v>
      </c>
      <c r="AS10" t="s">
        <v>74</v>
      </c>
      <c r="AT10" t="s">
        <v>74</v>
      </c>
      <c r="AU10">
        <v>2015</v>
      </c>
      <c r="AV10" t="s">
        <v>74</v>
      </c>
      <c r="AW10" t="s">
        <v>74</v>
      </c>
      <c r="AX10" t="s">
        <v>74</v>
      </c>
      <c r="AY10" t="s">
        <v>74</v>
      </c>
      <c r="AZ10" t="s">
        <v>74</v>
      </c>
      <c r="BA10" t="s">
        <v>74</v>
      </c>
      <c r="BB10">
        <v>129</v>
      </c>
      <c r="BC10">
        <v>138</v>
      </c>
      <c r="BD10" t="s">
        <v>74</v>
      </c>
      <c r="BE10" t="s">
        <v>294</v>
      </c>
      <c r="BF10" t="str">
        <f>HYPERLINK("http://dx.doi.org/10.1145/2756406.2756914","http://dx.doi.org/10.1145/2756406.2756914")</f>
        <v>http://dx.doi.org/10.1145/2756406.2756914</v>
      </c>
      <c r="BG10" t="s">
        <v>74</v>
      </c>
      <c r="BH10" t="s">
        <v>74</v>
      </c>
      <c r="BI10">
        <v>10</v>
      </c>
      <c r="BJ10" t="s">
        <v>295</v>
      </c>
      <c r="BK10" t="s">
        <v>138</v>
      </c>
      <c r="BL10" t="s">
        <v>296</v>
      </c>
      <c r="BM10" t="s">
        <v>297</v>
      </c>
      <c r="BN10" t="s">
        <v>74</v>
      </c>
      <c r="BO10" t="s">
        <v>74</v>
      </c>
      <c r="BP10" t="s">
        <v>74</v>
      </c>
      <c r="BQ10" t="s">
        <v>74</v>
      </c>
      <c r="BR10" t="s">
        <v>106</v>
      </c>
      <c r="BS10" t="s">
        <v>298</v>
      </c>
      <c r="BT10" t="str">
        <f>HYPERLINK("https%3A%2F%2Fwww.webofscience.com%2Fwos%2Fwoscc%2Ffull-record%2FWOS:000493278900020","View Full Record in Web of Science")</f>
        <v>View Full Record in Web of Science</v>
      </c>
    </row>
    <row r="11" spans="1:72" x14ac:dyDescent="0.25">
      <c r="A11" t="s">
        <v>72</v>
      </c>
      <c r="B11" t="s">
        <v>299</v>
      </c>
      <c r="C11" t="s">
        <v>74</v>
      </c>
      <c r="D11" t="s">
        <v>74</v>
      </c>
      <c r="E11" t="s">
        <v>74</v>
      </c>
      <c r="F11" t="s">
        <v>300</v>
      </c>
      <c r="G11" t="s">
        <v>74</v>
      </c>
      <c r="H11" t="s">
        <v>74</v>
      </c>
      <c r="I11" t="s">
        <v>301</v>
      </c>
      <c r="J11" t="s">
        <v>302</v>
      </c>
      <c r="K11" t="s">
        <v>74</v>
      </c>
      <c r="L11" t="s">
        <v>74</v>
      </c>
      <c r="M11" t="s">
        <v>78</v>
      </c>
      <c r="N11" t="s">
        <v>79</v>
      </c>
      <c r="O11" t="s">
        <v>74</v>
      </c>
      <c r="P11" t="s">
        <v>74</v>
      </c>
      <c r="Q11" t="s">
        <v>74</v>
      </c>
      <c r="R11" t="s">
        <v>74</v>
      </c>
      <c r="S11" t="s">
        <v>74</v>
      </c>
      <c r="T11" t="s">
        <v>303</v>
      </c>
      <c r="U11" t="s">
        <v>304</v>
      </c>
      <c r="V11" t="s">
        <v>305</v>
      </c>
      <c r="W11" t="s">
        <v>306</v>
      </c>
      <c r="X11" t="s">
        <v>307</v>
      </c>
      <c r="Y11" t="s">
        <v>308</v>
      </c>
      <c r="Z11" t="s">
        <v>309</v>
      </c>
      <c r="AA11" t="s">
        <v>74</v>
      </c>
      <c r="AB11" t="s">
        <v>238</v>
      </c>
      <c r="AC11" t="s">
        <v>74</v>
      </c>
      <c r="AD11" t="s">
        <v>74</v>
      </c>
      <c r="AE11" t="s">
        <v>74</v>
      </c>
      <c r="AF11" t="s">
        <v>74</v>
      </c>
      <c r="AG11">
        <v>93</v>
      </c>
      <c r="AH11">
        <v>19</v>
      </c>
      <c r="AI11">
        <v>26</v>
      </c>
      <c r="AJ11">
        <v>0</v>
      </c>
      <c r="AK11">
        <v>51</v>
      </c>
      <c r="AL11" t="s">
        <v>310</v>
      </c>
      <c r="AM11" t="s">
        <v>311</v>
      </c>
      <c r="AN11" t="s">
        <v>312</v>
      </c>
      <c r="AO11" t="s">
        <v>313</v>
      </c>
      <c r="AP11" t="s">
        <v>314</v>
      </c>
      <c r="AQ11" t="s">
        <v>74</v>
      </c>
      <c r="AR11" t="s">
        <v>315</v>
      </c>
      <c r="AS11" t="s">
        <v>316</v>
      </c>
      <c r="AT11" t="s">
        <v>74</v>
      </c>
      <c r="AU11">
        <v>2019</v>
      </c>
      <c r="AV11">
        <v>112</v>
      </c>
      <c r="AW11">
        <v>4</v>
      </c>
      <c r="AX11" t="s">
        <v>74</v>
      </c>
      <c r="AY11" t="s">
        <v>74</v>
      </c>
      <c r="AZ11" t="s">
        <v>74</v>
      </c>
      <c r="BA11" t="s">
        <v>74</v>
      </c>
      <c r="BB11">
        <v>495</v>
      </c>
      <c r="BC11">
        <v>511</v>
      </c>
      <c r="BD11" t="s">
        <v>74</v>
      </c>
      <c r="BE11" t="s">
        <v>317</v>
      </c>
      <c r="BF11" t="str">
        <f>HYPERLINK("http://dx.doi.org/10.1080/00220671.2019.1568958","http://dx.doi.org/10.1080/00220671.2019.1568958")</f>
        <v>http://dx.doi.org/10.1080/00220671.2019.1568958</v>
      </c>
      <c r="BG11" t="s">
        <v>74</v>
      </c>
      <c r="BH11" t="s">
        <v>74</v>
      </c>
      <c r="BI11">
        <v>17</v>
      </c>
      <c r="BJ11" t="s">
        <v>318</v>
      </c>
      <c r="BK11" t="s">
        <v>250</v>
      </c>
      <c r="BL11" t="s">
        <v>318</v>
      </c>
      <c r="BM11" t="s">
        <v>319</v>
      </c>
      <c r="BN11" t="s">
        <v>74</v>
      </c>
      <c r="BO11" t="s">
        <v>74</v>
      </c>
      <c r="BP11" t="s">
        <v>74</v>
      </c>
      <c r="BQ11" t="s">
        <v>74</v>
      </c>
      <c r="BR11" t="s">
        <v>106</v>
      </c>
      <c r="BS11" t="s">
        <v>320</v>
      </c>
      <c r="BT11" t="str">
        <f>HYPERLINK("https%3A%2F%2Fwww.webofscience.com%2Fwos%2Fwoscc%2Ffull-record%2FWOS:000474220400006","View Full Record in Web of Science")</f>
        <v>View Full Record in Web of Science</v>
      </c>
    </row>
    <row r="12" spans="1:72" x14ac:dyDescent="0.25">
      <c r="A12" t="s">
        <v>108</v>
      </c>
      <c r="B12" t="s">
        <v>321</v>
      </c>
      <c r="C12" t="s">
        <v>74</v>
      </c>
      <c r="D12" t="s">
        <v>74</v>
      </c>
      <c r="E12" t="s">
        <v>322</v>
      </c>
      <c r="F12" t="s">
        <v>323</v>
      </c>
      <c r="G12" t="s">
        <v>74</v>
      </c>
      <c r="H12" t="s">
        <v>74</v>
      </c>
      <c r="I12" t="s">
        <v>324</v>
      </c>
      <c r="J12" t="s">
        <v>325</v>
      </c>
      <c r="K12" t="s">
        <v>74</v>
      </c>
      <c r="L12" t="s">
        <v>74</v>
      </c>
      <c r="M12" t="s">
        <v>78</v>
      </c>
      <c r="N12" t="s">
        <v>115</v>
      </c>
      <c r="O12" t="s">
        <v>326</v>
      </c>
      <c r="P12" t="s">
        <v>327</v>
      </c>
      <c r="Q12" t="s">
        <v>328</v>
      </c>
      <c r="R12" t="s">
        <v>329</v>
      </c>
      <c r="S12" t="s">
        <v>330</v>
      </c>
      <c r="T12" t="s">
        <v>331</v>
      </c>
      <c r="U12" t="s">
        <v>74</v>
      </c>
      <c r="V12" t="s">
        <v>332</v>
      </c>
      <c r="W12" t="s">
        <v>333</v>
      </c>
      <c r="X12" t="s">
        <v>334</v>
      </c>
      <c r="Y12" t="s">
        <v>335</v>
      </c>
      <c r="Z12" t="s">
        <v>336</v>
      </c>
      <c r="AA12" t="s">
        <v>337</v>
      </c>
      <c r="AB12" t="s">
        <v>338</v>
      </c>
      <c r="AC12" t="s">
        <v>339</v>
      </c>
      <c r="AD12" t="s">
        <v>74</v>
      </c>
      <c r="AE12" t="s">
        <v>340</v>
      </c>
      <c r="AF12" t="s">
        <v>74</v>
      </c>
      <c r="AG12">
        <v>35</v>
      </c>
      <c r="AH12">
        <v>6</v>
      </c>
      <c r="AI12">
        <v>7</v>
      </c>
      <c r="AJ12">
        <v>0</v>
      </c>
      <c r="AK12">
        <v>3</v>
      </c>
      <c r="AL12" t="s">
        <v>291</v>
      </c>
      <c r="AM12" t="s">
        <v>92</v>
      </c>
      <c r="AN12" t="s">
        <v>341</v>
      </c>
      <c r="AO12" t="s">
        <v>74</v>
      </c>
      <c r="AP12" t="s">
        <v>74</v>
      </c>
      <c r="AQ12" t="s">
        <v>342</v>
      </c>
      <c r="AR12" t="s">
        <v>74</v>
      </c>
      <c r="AS12" t="s">
        <v>74</v>
      </c>
      <c r="AT12" t="s">
        <v>74</v>
      </c>
      <c r="AU12">
        <v>2024</v>
      </c>
      <c r="AV12" t="s">
        <v>74</v>
      </c>
      <c r="AW12" t="s">
        <v>74</v>
      </c>
      <c r="AX12" t="s">
        <v>74</v>
      </c>
      <c r="AY12" t="s">
        <v>74</v>
      </c>
      <c r="AZ12" t="s">
        <v>74</v>
      </c>
      <c r="BA12" t="s">
        <v>74</v>
      </c>
      <c r="BB12">
        <v>688</v>
      </c>
      <c r="BC12">
        <v>694</v>
      </c>
      <c r="BD12" t="s">
        <v>74</v>
      </c>
      <c r="BE12" t="s">
        <v>343</v>
      </c>
      <c r="BF12" t="str">
        <f>HYPERLINK("http://dx.doi.org/10.1145/3649217.3653568","http://dx.doi.org/10.1145/3649217.3653568")</f>
        <v>http://dx.doi.org/10.1145/3649217.3653568</v>
      </c>
      <c r="BG12" t="s">
        <v>74</v>
      </c>
      <c r="BH12" t="s">
        <v>74</v>
      </c>
      <c r="BI12">
        <v>7</v>
      </c>
      <c r="BJ12" t="s">
        <v>344</v>
      </c>
      <c r="BK12" t="s">
        <v>138</v>
      </c>
      <c r="BL12" t="s">
        <v>139</v>
      </c>
      <c r="BM12" t="s">
        <v>345</v>
      </c>
      <c r="BN12" t="s">
        <v>74</v>
      </c>
      <c r="BO12" t="s">
        <v>346</v>
      </c>
      <c r="BP12" t="s">
        <v>74</v>
      </c>
      <c r="BQ12" t="s">
        <v>74</v>
      </c>
      <c r="BR12" t="s">
        <v>106</v>
      </c>
      <c r="BS12" t="s">
        <v>347</v>
      </c>
      <c r="BT12" t="str">
        <f>HYPERLINK("https%3A%2F%2Fwww.webofscience.com%2Fwos%2Fwoscc%2Ffull-record%2FWOS:001265872600100","View Full Record in Web of Science")</f>
        <v>View Full Record in Web of Science</v>
      </c>
    </row>
    <row r="13" spans="1:72" x14ac:dyDescent="0.25">
      <c r="A13" t="s">
        <v>72</v>
      </c>
      <c r="B13" t="s">
        <v>348</v>
      </c>
      <c r="C13" t="s">
        <v>74</v>
      </c>
      <c r="D13" t="s">
        <v>74</v>
      </c>
      <c r="E13" t="s">
        <v>74</v>
      </c>
      <c r="F13" t="s">
        <v>349</v>
      </c>
      <c r="G13" t="s">
        <v>74</v>
      </c>
      <c r="H13" t="s">
        <v>74</v>
      </c>
      <c r="I13" t="s">
        <v>350</v>
      </c>
      <c r="J13" t="s">
        <v>351</v>
      </c>
      <c r="K13" t="s">
        <v>74</v>
      </c>
      <c r="L13" t="s">
        <v>74</v>
      </c>
      <c r="M13" t="s">
        <v>78</v>
      </c>
      <c r="N13" t="s">
        <v>79</v>
      </c>
      <c r="O13" t="s">
        <v>74</v>
      </c>
      <c r="P13" t="s">
        <v>74</v>
      </c>
      <c r="Q13" t="s">
        <v>74</v>
      </c>
      <c r="R13" t="s">
        <v>74</v>
      </c>
      <c r="S13" t="s">
        <v>74</v>
      </c>
      <c r="T13" t="s">
        <v>352</v>
      </c>
      <c r="U13" t="s">
        <v>353</v>
      </c>
      <c r="V13" t="s">
        <v>354</v>
      </c>
      <c r="W13" t="s">
        <v>355</v>
      </c>
      <c r="X13" t="s">
        <v>356</v>
      </c>
      <c r="Y13" t="s">
        <v>357</v>
      </c>
      <c r="Z13" t="s">
        <v>358</v>
      </c>
      <c r="AA13" t="s">
        <v>359</v>
      </c>
      <c r="AB13" t="s">
        <v>74</v>
      </c>
      <c r="AC13" t="s">
        <v>360</v>
      </c>
      <c r="AD13" t="s">
        <v>360</v>
      </c>
      <c r="AE13" t="s">
        <v>361</v>
      </c>
      <c r="AF13" t="s">
        <v>74</v>
      </c>
      <c r="AG13">
        <v>111</v>
      </c>
      <c r="AH13">
        <v>2</v>
      </c>
      <c r="AI13">
        <v>2</v>
      </c>
      <c r="AJ13">
        <v>7</v>
      </c>
      <c r="AK13">
        <v>7</v>
      </c>
      <c r="AL13" t="s">
        <v>362</v>
      </c>
      <c r="AM13" t="s">
        <v>363</v>
      </c>
      <c r="AN13" t="s">
        <v>364</v>
      </c>
      <c r="AO13" t="s">
        <v>365</v>
      </c>
      <c r="AP13" t="s">
        <v>74</v>
      </c>
      <c r="AQ13" t="s">
        <v>74</v>
      </c>
      <c r="AR13" t="s">
        <v>366</v>
      </c>
      <c r="AS13" t="s">
        <v>367</v>
      </c>
      <c r="AT13" t="s">
        <v>368</v>
      </c>
      <c r="AU13">
        <v>2026</v>
      </c>
      <c r="AV13">
        <v>22</v>
      </c>
      <c r="AW13" t="s">
        <v>74</v>
      </c>
      <c r="AX13" t="s">
        <v>74</v>
      </c>
      <c r="AY13" t="s">
        <v>74</v>
      </c>
      <c r="AZ13" t="s">
        <v>74</v>
      </c>
      <c r="BA13" t="s">
        <v>74</v>
      </c>
      <c r="BB13" t="s">
        <v>74</v>
      </c>
      <c r="BC13" t="s">
        <v>74</v>
      </c>
      <c r="BD13">
        <v>101061</v>
      </c>
      <c r="BE13" t="s">
        <v>369</v>
      </c>
      <c r="BF13" t="str">
        <f>HYPERLINK("http://dx.doi.org/10.1016/j.chbr.2026.101061","http://dx.doi.org/10.1016/j.chbr.2026.101061")</f>
        <v>http://dx.doi.org/10.1016/j.chbr.2026.101061</v>
      </c>
      <c r="BG13" t="s">
        <v>74</v>
      </c>
      <c r="BH13" t="s">
        <v>74</v>
      </c>
      <c r="BI13">
        <v>14</v>
      </c>
      <c r="BJ13" t="s">
        <v>370</v>
      </c>
      <c r="BK13" t="s">
        <v>102</v>
      </c>
      <c r="BL13" t="s">
        <v>251</v>
      </c>
      <c r="BM13" t="s">
        <v>371</v>
      </c>
      <c r="BN13" t="s">
        <v>74</v>
      </c>
      <c r="BO13" t="s">
        <v>372</v>
      </c>
      <c r="BP13" t="s">
        <v>74</v>
      </c>
      <c r="BQ13" t="s">
        <v>74</v>
      </c>
      <c r="BR13" t="s">
        <v>106</v>
      </c>
      <c r="BS13" t="s">
        <v>373</v>
      </c>
      <c r="BT13" t="str">
        <f>HYPERLINK("https%3A%2F%2Fwww.webofscience.com%2Fwos%2Fwoscc%2Ffull-record%2FWOS:001754948900001","View Full Record in Web of Science")</f>
        <v>View Full Record in Web of Science</v>
      </c>
    </row>
    <row r="14" spans="1:72" x14ac:dyDescent="0.25">
      <c r="A14" t="s">
        <v>72</v>
      </c>
      <c r="B14" t="s">
        <v>374</v>
      </c>
      <c r="C14" t="s">
        <v>74</v>
      </c>
      <c r="D14" t="s">
        <v>74</v>
      </c>
      <c r="E14" t="s">
        <v>74</v>
      </c>
      <c r="F14" t="s">
        <v>375</v>
      </c>
      <c r="G14" t="s">
        <v>74</v>
      </c>
      <c r="H14" t="s">
        <v>74</v>
      </c>
      <c r="I14" t="s">
        <v>376</v>
      </c>
      <c r="J14" t="s">
        <v>377</v>
      </c>
      <c r="K14" t="s">
        <v>74</v>
      </c>
      <c r="L14" t="s">
        <v>74</v>
      </c>
      <c r="M14" t="s">
        <v>78</v>
      </c>
      <c r="N14" t="s">
        <v>79</v>
      </c>
      <c r="O14" t="s">
        <v>74</v>
      </c>
      <c r="P14" t="s">
        <v>74</v>
      </c>
      <c r="Q14" t="s">
        <v>74</v>
      </c>
      <c r="R14" t="s">
        <v>74</v>
      </c>
      <c r="S14" t="s">
        <v>74</v>
      </c>
      <c r="T14" t="s">
        <v>378</v>
      </c>
      <c r="U14" t="s">
        <v>379</v>
      </c>
      <c r="V14" t="s">
        <v>380</v>
      </c>
      <c r="W14" t="s">
        <v>381</v>
      </c>
      <c r="X14" t="s">
        <v>382</v>
      </c>
      <c r="Y14" t="s">
        <v>383</v>
      </c>
      <c r="Z14" t="s">
        <v>384</v>
      </c>
      <c r="AA14" t="s">
        <v>385</v>
      </c>
      <c r="AB14" t="s">
        <v>386</v>
      </c>
      <c r="AC14" t="s">
        <v>387</v>
      </c>
      <c r="AD14" t="s">
        <v>387</v>
      </c>
      <c r="AE14" t="s">
        <v>388</v>
      </c>
      <c r="AF14" t="s">
        <v>74</v>
      </c>
      <c r="AG14">
        <v>94</v>
      </c>
      <c r="AH14">
        <v>2</v>
      </c>
      <c r="AI14">
        <v>2</v>
      </c>
      <c r="AJ14">
        <v>4</v>
      </c>
      <c r="AK14">
        <v>16</v>
      </c>
      <c r="AL14" t="s">
        <v>389</v>
      </c>
      <c r="AM14" t="s">
        <v>390</v>
      </c>
      <c r="AN14" t="s">
        <v>391</v>
      </c>
      <c r="AO14" t="s">
        <v>74</v>
      </c>
      <c r="AP14" t="s">
        <v>392</v>
      </c>
      <c r="AQ14" t="s">
        <v>74</v>
      </c>
      <c r="AR14" t="s">
        <v>393</v>
      </c>
      <c r="AS14" t="s">
        <v>394</v>
      </c>
      <c r="AT14" t="s">
        <v>395</v>
      </c>
      <c r="AU14">
        <v>2025</v>
      </c>
      <c r="AV14">
        <v>10</v>
      </c>
      <c r="AW14" t="s">
        <v>74</v>
      </c>
      <c r="AX14" t="s">
        <v>74</v>
      </c>
      <c r="AY14" t="s">
        <v>74</v>
      </c>
      <c r="AZ14" t="s">
        <v>74</v>
      </c>
      <c r="BA14" t="s">
        <v>74</v>
      </c>
      <c r="BB14" t="s">
        <v>74</v>
      </c>
      <c r="BC14" t="s">
        <v>74</v>
      </c>
      <c r="BD14">
        <v>1427083</v>
      </c>
      <c r="BE14" t="s">
        <v>396</v>
      </c>
      <c r="BF14" t="str">
        <f>HYPERLINK("http://dx.doi.org/10.3389/feduc.2025.1427083","http://dx.doi.org/10.3389/feduc.2025.1427083")</f>
        <v>http://dx.doi.org/10.3389/feduc.2025.1427083</v>
      </c>
      <c r="BG14" t="s">
        <v>74</v>
      </c>
      <c r="BH14" t="s">
        <v>74</v>
      </c>
      <c r="BI14">
        <v>21</v>
      </c>
      <c r="BJ14" t="s">
        <v>318</v>
      </c>
      <c r="BK14" t="s">
        <v>102</v>
      </c>
      <c r="BL14" t="s">
        <v>318</v>
      </c>
      <c r="BM14" t="s">
        <v>397</v>
      </c>
      <c r="BN14" t="s">
        <v>74</v>
      </c>
      <c r="BO14" t="s">
        <v>398</v>
      </c>
      <c r="BP14" t="s">
        <v>74</v>
      </c>
      <c r="BQ14" t="s">
        <v>74</v>
      </c>
      <c r="BR14" t="s">
        <v>106</v>
      </c>
      <c r="BS14" t="s">
        <v>399</v>
      </c>
      <c r="BT14" t="str">
        <f>HYPERLINK("https%3A%2F%2Fwww.webofscience.com%2Fwos%2Fwoscc%2Ffull-record%2FWOS:001425932200001","View Full Record in Web of Science")</f>
        <v>View Full Record in Web of Science</v>
      </c>
    </row>
    <row r="15" spans="1:72" x14ac:dyDescent="0.25">
      <c r="A15" t="s">
        <v>108</v>
      </c>
      <c r="B15" t="s">
        <v>400</v>
      </c>
      <c r="C15" t="s">
        <v>74</v>
      </c>
      <c r="D15" t="s">
        <v>74</v>
      </c>
      <c r="E15" t="s">
        <v>322</v>
      </c>
      <c r="F15" t="s">
        <v>401</v>
      </c>
      <c r="G15" t="s">
        <v>74</v>
      </c>
      <c r="H15" t="s">
        <v>74</v>
      </c>
      <c r="I15" t="s">
        <v>402</v>
      </c>
      <c r="J15" t="s">
        <v>403</v>
      </c>
      <c r="K15" t="s">
        <v>74</v>
      </c>
      <c r="L15" t="s">
        <v>74</v>
      </c>
      <c r="M15" t="s">
        <v>78</v>
      </c>
      <c r="N15" t="s">
        <v>115</v>
      </c>
      <c r="O15" t="s">
        <v>404</v>
      </c>
      <c r="P15" t="s">
        <v>405</v>
      </c>
      <c r="Q15" t="s">
        <v>118</v>
      </c>
      <c r="R15" t="s">
        <v>406</v>
      </c>
      <c r="S15" t="s">
        <v>74</v>
      </c>
      <c r="T15" t="s">
        <v>407</v>
      </c>
      <c r="U15" t="s">
        <v>408</v>
      </c>
      <c r="V15" t="s">
        <v>409</v>
      </c>
      <c r="W15" t="s">
        <v>410</v>
      </c>
      <c r="X15" t="s">
        <v>84</v>
      </c>
      <c r="Y15" t="s">
        <v>411</v>
      </c>
      <c r="Z15" t="s">
        <v>74</v>
      </c>
      <c r="AA15" t="s">
        <v>74</v>
      </c>
      <c r="AB15" t="s">
        <v>74</v>
      </c>
      <c r="AC15" t="s">
        <v>74</v>
      </c>
      <c r="AD15" t="s">
        <v>74</v>
      </c>
      <c r="AE15" t="s">
        <v>74</v>
      </c>
      <c r="AF15" t="s">
        <v>74</v>
      </c>
      <c r="AG15">
        <v>41</v>
      </c>
      <c r="AH15">
        <v>1</v>
      </c>
      <c r="AI15">
        <v>3</v>
      </c>
      <c r="AJ15">
        <v>5</v>
      </c>
      <c r="AK15">
        <v>6</v>
      </c>
      <c r="AL15" t="s">
        <v>291</v>
      </c>
      <c r="AM15" t="s">
        <v>92</v>
      </c>
      <c r="AN15" t="s">
        <v>341</v>
      </c>
      <c r="AO15" t="s">
        <v>74</v>
      </c>
      <c r="AP15" t="s">
        <v>74</v>
      </c>
      <c r="AQ15" t="s">
        <v>412</v>
      </c>
      <c r="AR15" t="s">
        <v>74</v>
      </c>
      <c r="AS15" t="s">
        <v>74</v>
      </c>
      <c r="AT15" t="s">
        <v>74</v>
      </c>
      <c r="AU15">
        <v>2025</v>
      </c>
      <c r="AV15" t="s">
        <v>74</v>
      </c>
      <c r="AW15" t="s">
        <v>74</v>
      </c>
      <c r="AX15" t="s">
        <v>74</v>
      </c>
      <c r="AY15" t="s">
        <v>74</v>
      </c>
      <c r="AZ15" t="s">
        <v>74</v>
      </c>
      <c r="BA15" t="s">
        <v>74</v>
      </c>
      <c r="BB15">
        <v>330</v>
      </c>
      <c r="BC15">
        <v>335</v>
      </c>
      <c r="BD15" t="s">
        <v>74</v>
      </c>
      <c r="BE15" t="s">
        <v>413</v>
      </c>
      <c r="BF15" t="str">
        <f>HYPERLINK("http://dx.doi.org/10.1145/3698205.3733950","http://dx.doi.org/10.1145/3698205.3733950")</f>
        <v>http://dx.doi.org/10.1145/3698205.3733950</v>
      </c>
      <c r="BG15" t="s">
        <v>74</v>
      </c>
      <c r="BH15" t="s">
        <v>74</v>
      </c>
      <c r="BI15">
        <v>6</v>
      </c>
      <c r="BJ15" t="s">
        <v>414</v>
      </c>
      <c r="BK15" t="s">
        <v>138</v>
      </c>
      <c r="BL15" t="s">
        <v>139</v>
      </c>
      <c r="BM15" t="s">
        <v>415</v>
      </c>
      <c r="BN15" t="s">
        <v>74</v>
      </c>
      <c r="BO15" t="s">
        <v>74</v>
      </c>
      <c r="BP15" t="s">
        <v>74</v>
      </c>
      <c r="BQ15" t="s">
        <v>74</v>
      </c>
      <c r="BR15" t="s">
        <v>106</v>
      </c>
      <c r="BS15" t="s">
        <v>416</v>
      </c>
      <c r="BT15" t="str">
        <f>HYPERLINK("https%3A%2F%2Fwww.webofscience.com%2Fwos%2Fwoscc%2Ffull-record%2FWOS:001594400600047","View Full Record in Web of Science")</f>
        <v>View Full Record in Web of Science</v>
      </c>
    </row>
    <row r="16" spans="1:72" x14ac:dyDescent="0.25">
      <c r="A16" t="s">
        <v>108</v>
      </c>
      <c r="B16" t="s">
        <v>417</v>
      </c>
      <c r="C16" t="s">
        <v>74</v>
      </c>
      <c r="D16" t="s">
        <v>74</v>
      </c>
      <c r="E16" t="s">
        <v>418</v>
      </c>
      <c r="F16" t="s">
        <v>419</v>
      </c>
      <c r="G16" t="s">
        <v>74</v>
      </c>
      <c r="H16" t="s">
        <v>74</v>
      </c>
      <c r="I16" t="s">
        <v>420</v>
      </c>
      <c r="J16" t="s">
        <v>421</v>
      </c>
      <c r="K16" t="s">
        <v>74</v>
      </c>
      <c r="L16" t="s">
        <v>74</v>
      </c>
      <c r="M16" t="s">
        <v>78</v>
      </c>
      <c r="N16" t="s">
        <v>115</v>
      </c>
      <c r="O16" t="s">
        <v>422</v>
      </c>
      <c r="P16" t="s">
        <v>423</v>
      </c>
      <c r="Q16" t="s">
        <v>424</v>
      </c>
      <c r="R16" t="s">
        <v>425</v>
      </c>
      <c r="S16" t="s">
        <v>74</v>
      </c>
      <c r="T16" t="s">
        <v>426</v>
      </c>
      <c r="U16" t="s">
        <v>427</v>
      </c>
      <c r="V16" t="s">
        <v>428</v>
      </c>
      <c r="W16" t="s">
        <v>429</v>
      </c>
      <c r="X16" t="s">
        <v>430</v>
      </c>
      <c r="Y16" t="s">
        <v>431</v>
      </c>
      <c r="Z16" t="s">
        <v>432</v>
      </c>
      <c r="AA16" t="s">
        <v>433</v>
      </c>
      <c r="AB16" t="s">
        <v>434</v>
      </c>
      <c r="AC16" t="s">
        <v>435</v>
      </c>
      <c r="AD16" t="s">
        <v>436</v>
      </c>
      <c r="AE16" t="s">
        <v>437</v>
      </c>
      <c r="AF16" t="s">
        <v>74</v>
      </c>
      <c r="AG16">
        <v>93</v>
      </c>
      <c r="AH16">
        <v>29</v>
      </c>
      <c r="AI16">
        <v>33</v>
      </c>
      <c r="AJ16">
        <v>1</v>
      </c>
      <c r="AK16">
        <v>13</v>
      </c>
      <c r="AL16" t="s">
        <v>291</v>
      </c>
      <c r="AM16" t="s">
        <v>92</v>
      </c>
      <c r="AN16" t="s">
        <v>341</v>
      </c>
      <c r="AO16" t="s">
        <v>74</v>
      </c>
      <c r="AP16" t="s">
        <v>74</v>
      </c>
      <c r="AQ16" t="s">
        <v>438</v>
      </c>
      <c r="AR16" t="s">
        <v>74</v>
      </c>
      <c r="AS16" t="s">
        <v>74</v>
      </c>
      <c r="AT16" t="s">
        <v>74</v>
      </c>
      <c r="AU16">
        <v>2024</v>
      </c>
      <c r="AV16" t="s">
        <v>74</v>
      </c>
      <c r="AW16" t="s">
        <v>74</v>
      </c>
      <c r="AX16" t="s">
        <v>74</v>
      </c>
      <c r="AY16" t="s">
        <v>74</v>
      </c>
      <c r="AZ16" t="s">
        <v>74</v>
      </c>
      <c r="BA16" t="s">
        <v>74</v>
      </c>
      <c r="BB16">
        <v>95</v>
      </c>
      <c r="BC16">
        <v>113</v>
      </c>
      <c r="BD16" t="s">
        <v>74</v>
      </c>
      <c r="BE16" t="s">
        <v>439</v>
      </c>
      <c r="BF16" t="str">
        <f>HYPERLINK("http://dx.doi.org/10.1145/3632620.3671103","http://dx.doi.org/10.1145/3632620.3671103")</f>
        <v>http://dx.doi.org/10.1145/3632620.3671103</v>
      </c>
      <c r="BG16" t="s">
        <v>74</v>
      </c>
      <c r="BH16" t="s">
        <v>74</v>
      </c>
      <c r="BI16">
        <v>19</v>
      </c>
      <c r="BJ16" t="s">
        <v>440</v>
      </c>
      <c r="BK16" t="s">
        <v>138</v>
      </c>
      <c r="BL16" t="s">
        <v>139</v>
      </c>
      <c r="BM16" t="s">
        <v>441</v>
      </c>
      <c r="BN16" t="s">
        <v>74</v>
      </c>
      <c r="BO16" t="s">
        <v>398</v>
      </c>
      <c r="BP16" t="s">
        <v>74</v>
      </c>
      <c r="BQ16" t="s">
        <v>74</v>
      </c>
      <c r="BR16" t="s">
        <v>106</v>
      </c>
      <c r="BS16" t="s">
        <v>442</v>
      </c>
      <c r="BT16" t="str">
        <f>HYPERLINK("https%3A%2F%2Fwww.webofscience.com%2Fwos%2Fwoscc%2Ffull-record%2FWOS:001294614500008","View Full Record in Web of Science")</f>
        <v>View Full Record in Web of Science</v>
      </c>
    </row>
    <row r="17" spans="1:72" x14ac:dyDescent="0.25">
      <c r="A17" t="s">
        <v>108</v>
      </c>
      <c r="B17" t="s">
        <v>443</v>
      </c>
      <c r="C17" t="s">
        <v>74</v>
      </c>
      <c r="D17" t="s">
        <v>444</v>
      </c>
      <c r="E17" t="s">
        <v>74</v>
      </c>
      <c r="F17" t="s">
        <v>445</v>
      </c>
      <c r="G17" t="s">
        <v>74</v>
      </c>
      <c r="H17" t="s">
        <v>74</v>
      </c>
      <c r="I17" t="s">
        <v>446</v>
      </c>
      <c r="J17" t="s">
        <v>447</v>
      </c>
      <c r="K17" t="s">
        <v>114</v>
      </c>
      <c r="L17" t="s">
        <v>74</v>
      </c>
      <c r="M17" t="s">
        <v>78</v>
      </c>
      <c r="N17" t="s">
        <v>115</v>
      </c>
      <c r="O17" t="s">
        <v>448</v>
      </c>
      <c r="P17" t="s">
        <v>449</v>
      </c>
      <c r="Q17" t="s">
        <v>450</v>
      </c>
      <c r="R17" t="s">
        <v>451</v>
      </c>
      <c r="S17" t="s">
        <v>74</v>
      </c>
      <c r="T17" t="s">
        <v>452</v>
      </c>
      <c r="U17" t="s">
        <v>453</v>
      </c>
      <c r="V17" t="s">
        <v>454</v>
      </c>
      <c r="W17" t="s">
        <v>455</v>
      </c>
      <c r="X17" t="s">
        <v>456</v>
      </c>
      <c r="Y17" t="s">
        <v>457</v>
      </c>
      <c r="Z17" t="s">
        <v>458</v>
      </c>
      <c r="AA17" t="s">
        <v>74</v>
      </c>
      <c r="AB17" t="s">
        <v>74</v>
      </c>
      <c r="AC17" t="s">
        <v>74</v>
      </c>
      <c r="AD17" t="s">
        <v>74</v>
      </c>
      <c r="AE17" t="s">
        <v>74</v>
      </c>
      <c r="AF17" t="s">
        <v>74</v>
      </c>
      <c r="AG17">
        <v>19</v>
      </c>
      <c r="AH17">
        <v>11</v>
      </c>
      <c r="AI17">
        <v>15</v>
      </c>
      <c r="AJ17">
        <v>0</v>
      </c>
      <c r="AK17">
        <v>4</v>
      </c>
      <c r="AL17" t="s">
        <v>197</v>
      </c>
      <c r="AM17" t="s">
        <v>198</v>
      </c>
      <c r="AN17" t="s">
        <v>199</v>
      </c>
      <c r="AO17" t="s">
        <v>159</v>
      </c>
      <c r="AP17" t="s">
        <v>133</v>
      </c>
      <c r="AQ17" t="s">
        <v>459</v>
      </c>
      <c r="AR17" t="s">
        <v>135</v>
      </c>
      <c r="AS17" t="s">
        <v>74</v>
      </c>
      <c r="AT17" t="s">
        <v>74</v>
      </c>
      <c r="AU17">
        <v>2015</v>
      </c>
      <c r="AV17">
        <v>8757</v>
      </c>
      <c r="AW17" t="s">
        <v>74</v>
      </c>
      <c r="AX17" t="s">
        <v>74</v>
      </c>
      <c r="AY17" t="s">
        <v>74</v>
      </c>
      <c r="AZ17" t="s">
        <v>74</v>
      </c>
      <c r="BA17" t="s">
        <v>74</v>
      </c>
      <c r="BB17">
        <v>78</v>
      </c>
      <c r="BC17">
        <v>87</v>
      </c>
      <c r="BD17" t="s">
        <v>74</v>
      </c>
      <c r="BE17" t="s">
        <v>460</v>
      </c>
      <c r="BF17" t="str">
        <f>HYPERLINK("http://dx.doi.org/10.1007/978-3-319-15557-9_8","http://dx.doi.org/10.1007/978-3-319-15557-9_8")</f>
        <v>http://dx.doi.org/10.1007/978-3-319-15557-9_8</v>
      </c>
      <c r="BG17" t="s">
        <v>74</v>
      </c>
      <c r="BH17" t="s">
        <v>74</v>
      </c>
      <c r="BI17">
        <v>10</v>
      </c>
      <c r="BJ17" t="s">
        <v>461</v>
      </c>
      <c r="BK17" t="s">
        <v>203</v>
      </c>
      <c r="BL17" t="s">
        <v>103</v>
      </c>
      <c r="BM17" t="s">
        <v>462</v>
      </c>
      <c r="BN17" t="s">
        <v>74</v>
      </c>
      <c r="BO17" t="s">
        <v>74</v>
      </c>
      <c r="BP17" t="s">
        <v>74</v>
      </c>
      <c r="BQ17" t="s">
        <v>74</v>
      </c>
      <c r="BR17" t="s">
        <v>106</v>
      </c>
      <c r="BS17" t="s">
        <v>463</v>
      </c>
      <c r="BT17" t="str">
        <f>HYPERLINK("https%3A%2F%2Fwww.webofscience.com%2Fwos%2Fwoscc%2Ffull-record%2FWOS:000355731000008","View Full Record in Web of Science")</f>
        <v>View Full Record in Web of Science</v>
      </c>
    </row>
    <row r="18" spans="1:72" x14ac:dyDescent="0.25">
      <c r="A18" t="s">
        <v>108</v>
      </c>
      <c r="B18" t="s">
        <v>464</v>
      </c>
      <c r="C18" t="s">
        <v>74</v>
      </c>
      <c r="D18" t="s">
        <v>74</v>
      </c>
      <c r="E18" t="s">
        <v>465</v>
      </c>
      <c r="F18" t="s">
        <v>466</v>
      </c>
      <c r="G18" t="s">
        <v>74</v>
      </c>
      <c r="H18" t="s">
        <v>74</v>
      </c>
      <c r="I18" t="s">
        <v>467</v>
      </c>
      <c r="J18" t="s">
        <v>468</v>
      </c>
      <c r="K18" t="s">
        <v>469</v>
      </c>
      <c r="L18" t="s">
        <v>74</v>
      </c>
      <c r="M18" t="s">
        <v>78</v>
      </c>
      <c r="N18" t="s">
        <v>115</v>
      </c>
      <c r="O18" t="s">
        <v>470</v>
      </c>
      <c r="P18" t="s">
        <v>471</v>
      </c>
      <c r="Q18" t="s">
        <v>472</v>
      </c>
      <c r="R18" t="s">
        <v>473</v>
      </c>
      <c r="S18" t="s">
        <v>74</v>
      </c>
      <c r="T18" t="s">
        <v>474</v>
      </c>
      <c r="U18" t="s">
        <v>74</v>
      </c>
      <c r="V18" t="s">
        <v>475</v>
      </c>
      <c r="W18" t="s">
        <v>476</v>
      </c>
      <c r="X18" t="s">
        <v>477</v>
      </c>
      <c r="Y18" t="s">
        <v>478</v>
      </c>
      <c r="Z18" t="s">
        <v>479</v>
      </c>
      <c r="AA18" t="s">
        <v>74</v>
      </c>
      <c r="AB18" t="s">
        <v>74</v>
      </c>
      <c r="AC18" t="s">
        <v>74</v>
      </c>
      <c r="AD18" t="s">
        <v>74</v>
      </c>
      <c r="AE18" t="s">
        <v>74</v>
      </c>
      <c r="AF18" t="s">
        <v>74</v>
      </c>
      <c r="AG18">
        <v>41</v>
      </c>
      <c r="AH18">
        <v>0</v>
      </c>
      <c r="AI18">
        <v>0</v>
      </c>
      <c r="AJ18">
        <v>3</v>
      </c>
      <c r="AK18">
        <v>3</v>
      </c>
      <c r="AL18" t="s">
        <v>465</v>
      </c>
      <c r="AM18" t="s">
        <v>92</v>
      </c>
      <c r="AN18" t="s">
        <v>480</v>
      </c>
      <c r="AO18" t="s">
        <v>481</v>
      </c>
      <c r="AP18" t="s">
        <v>74</v>
      </c>
      <c r="AQ18" t="s">
        <v>482</v>
      </c>
      <c r="AR18" t="s">
        <v>483</v>
      </c>
      <c r="AS18" t="s">
        <v>74</v>
      </c>
      <c r="AT18" t="s">
        <v>74</v>
      </c>
      <c r="AU18">
        <v>2025</v>
      </c>
      <c r="AV18" t="s">
        <v>74</v>
      </c>
      <c r="AW18" t="s">
        <v>74</v>
      </c>
      <c r="AX18" t="s">
        <v>74</v>
      </c>
      <c r="AY18" t="s">
        <v>74</v>
      </c>
      <c r="AZ18" t="s">
        <v>74</v>
      </c>
      <c r="BA18" t="s">
        <v>74</v>
      </c>
      <c r="BB18" t="s">
        <v>74</v>
      </c>
      <c r="BC18" t="s">
        <v>74</v>
      </c>
      <c r="BD18" t="s">
        <v>74</v>
      </c>
      <c r="BE18" t="s">
        <v>484</v>
      </c>
      <c r="BF18" t="str">
        <f>HYPERLINK("http://dx.doi.org/10.1109/WEEF-GEDC66748.2025.11256481","http://dx.doi.org/10.1109/WEEF-GEDC66748.2025.11256481")</f>
        <v>http://dx.doi.org/10.1109/WEEF-GEDC66748.2025.11256481</v>
      </c>
      <c r="BG18" t="s">
        <v>74</v>
      </c>
      <c r="BH18" t="s">
        <v>74</v>
      </c>
      <c r="BI18">
        <v>9</v>
      </c>
      <c r="BJ18" t="s">
        <v>485</v>
      </c>
      <c r="BK18" t="s">
        <v>203</v>
      </c>
      <c r="BL18" t="s">
        <v>486</v>
      </c>
      <c r="BM18" t="s">
        <v>487</v>
      </c>
      <c r="BN18" t="s">
        <v>74</v>
      </c>
      <c r="BO18" t="s">
        <v>74</v>
      </c>
      <c r="BP18" t="s">
        <v>74</v>
      </c>
      <c r="BQ18" t="s">
        <v>74</v>
      </c>
      <c r="BR18" t="s">
        <v>106</v>
      </c>
      <c r="BS18" t="s">
        <v>488</v>
      </c>
      <c r="BT18" t="str">
        <f>HYPERLINK("https%3A%2F%2Fwww.webofscience.com%2Fwos%2Fwoscc%2Ffull-record%2FWOS:001669704400103","View Full Record in Web of Science")</f>
        <v>View Full Record in Web of Science</v>
      </c>
    </row>
    <row r="19" spans="1:72" x14ac:dyDescent="0.25">
      <c r="A19" t="s">
        <v>72</v>
      </c>
      <c r="B19" t="s">
        <v>489</v>
      </c>
      <c r="C19" t="s">
        <v>74</v>
      </c>
      <c r="D19" t="s">
        <v>74</v>
      </c>
      <c r="E19" t="s">
        <v>74</v>
      </c>
      <c r="F19" t="s">
        <v>490</v>
      </c>
      <c r="G19" t="s">
        <v>74</v>
      </c>
      <c r="H19" t="s">
        <v>74</v>
      </c>
      <c r="I19" t="s">
        <v>491</v>
      </c>
      <c r="J19" t="s">
        <v>492</v>
      </c>
      <c r="K19" t="s">
        <v>74</v>
      </c>
      <c r="L19" t="s">
        <v>74</v>
      </c>
      <c r="M19" t="s">
        <v>78</v>
      </c>
      <c r="N19" t="s">
        <v>79</v>
      </c>
      <c r="O19" t="s">
        <v>74</v>
      </c>
      <c r="P19" t="s">
        <v>74</v>
      </c>
      <c r="Q19" t="s">
        <v>74</v>
      </c>
      <c r="R19" t="s">
        <v>74</v>
      </c>
      <c r="S19" t="s">
        <v>74</v>
      </c>
      <c r="T19" t="s">
        <v>493</v>
      </c>
      <c r="U19" t="s">
        <v>74</v>
      </c>
      <c r="V19" t="s">
        <v>494</v>
      </c>
      <c r="W19" t="s">
        <v>495</v>
      </c>
      <c r="X19" t="s">
        <v>496</v>
      </c>
      <c r="Y19" t="s">
        <v>497</v>
      </c>
      <c r="Z19" t="s">
        <v>498</v>
      </c>
      <c r="AA19" t="s">
        <v>74</v>
      </c>
      <c r="AB19" t="s">
        <v>74</v>
      </c>
      <c r="AC19" t="s">
        <v>499</v>
      </c>
      <c r="AD19" t="s">
        <v>500</v>
      </c>
      <c r="AE19" t="s">
        <v>501</v>
      </c>
      <c r="AF19" t="s">
        <v>74</v>
      </c>
      <c r="AG19">
        <v>13</v>
      </c>
      <c r="AH19">
        <v>0</v>
      </c>
      <c r="AI19">
        <v>0</v>
      </c>
      <c r="AJ19">
        <v>0</v>
      </c>
      <c r="AK19">
        <v>0</v>
      </c>
      <c r="AL19" t="s">
        <v>502</v>
      </c>
      <c r="AM19" t="s">
        <v>503</v>
      </c>
      <c r="AN19" t="s">
        <v>504</v>
      </c>
      <c r="AO19" t="s">
        <v>505</v>
      </c>
      <c r="AP19" t="s">
        <v>506</v>
      </c>
      <c r="AQ19" t="s">
        <v>74</v>
      </c>
      <c r="AR19" t="s">
        <v>507</v>
      </c>
      <c r="AS19" t="s">
        <v>508</v>
      </c>
      <c r="AT19" t="s">
        <v>509</v>
      </c>
      <c r="AU19">
        <v>2013</v>
      </c>
      <c r="AV19">
        <v>2</v>
      </c>
      <c r="AW19">
        <v>3</v>
      </c>
      <c r="AX19" t="s">
        <v>74</v>
      </c>
      <c r="AY19" t="s">
        <v>74</v>
      </c>
      <c r="AZ19" t="s">
        <v>74</v>
      </c>
      <c r="BA19" t="s">
        <v>74</v>
      </c>
      <c r="BB19">
        <v>169</v>
      </c>
      <c r="BC19">
        <v>181</v>
      </c>
      <c r="BD19" t="s">
        <v>74</v>
      </c>
      <c r="BE19" t="s">
        <v>74</v>
      </c>
      <c r="BF19" t="s">
        <v>74</v>
      </c>
      <c r="BG19" t="s">
        <v>74</v>
      </c>
      <c r="BH19" t="s">
        <v>74</v>
      </c>
      <c r="BI19">
        <v>13</v>
      </c>
      <c r="BJ19" t="s">
        <v>510</v>
      </c>
      <c r="BK19" t="s">
        <v>102</v>
      </c>
      <c r="BL19" t="s">
        <v>510</v>
      </c>
      <c r="BM19" t="s">
        <v>511</v>
      </c>
      <c r="BN19" t="s">
        <v>74</v>
      </c>
      <c r="BO19" t="s">
        <v>74</v>
      </c>
      <c r="BP19" t="s">
        <v>74</v>
      </c>
      <c r="BQ19" t="s">
        <v>74</v>
      </c>
      <c r="BR19" t="s">
        <v>106</v>
      </c>
      <c r="BS19" t="s">
        <v>512</v>
      </c>
      <c r="BT19" t="str">
        <f>HYPERLINK("https%3A%2F%2Fwww.webofscience.com%2Fwos%2Fwoscc%2Ffull-record%2FWOS:000409745000005","View Full Record in Web of Science")</f>
        <v>View Full Record in Web of Science</v>
      </c>
    </row>
    <row r="20" spans="1:72" x14ac:dyDescent="0.25">
      <c r="A20" t="s">
        <v>108</v>
      </c>
      <c r="B20" t="s">
        <v>513</v>
      </c>
      <c r="C20" t="s">
        <v>74</v>
      </c>
      <c r="D20" t="s">
        <v>74</v>
      </c>
      <c r="E20" t="s">
        <v>322</v>
      </c>
      <c r="F20" t="s">
        <v>514</v>
      </c>
      <c r="G20" t="s">
        <v>74</v>
      </c>
      <c r="H20" t="s">
        <v>74</v>
      </c>
      <c r="I20" t="s">
        <v>515</v>
      </c>
      <c r="J20" t="s">
        <v>516</v>
      </c>
      <c r="K20" t="s">
        <v>74</v>
      </c>
      <c r="L20" t="s">
        <v>74</v>
      </c>
      <c r="M20" t="s">
        <v>78</v>
      </c>
      <c r="N20" t="s">
        <v>115</v>
      </c>
      <c r="O20" t="s">
        <v>517</v>
      </c>
      <c r="P20" t="s">
        <v>518</v>
      </c>
      <c r="Q20" t="s">
        <v>519</v>
      </c>
      <c r="R20" t="s">
        <v>520</v>
      </c>
      <c r="S20" t="s">
        <v>74</v>
      </c>
      <c r="T20" t="s">
        <v>74</v>
      </c>
      <c r="U20" t="s">
        <v>74</v>
      </c>
      <c r="V20" t="s">
        <v>521</v>
      </c>
      <c r="W20" t="s">
        <v>522</v>
      </c>
      <c r="X20" t="s">
        <v>523</v>
      </c>
      <c r="Y20" t="s">
        <v>524</v>
      </c>
      <c r="Z20" t="s">
        <v>525</v>
      </c>
      <c r="AA20" t="s">
        <v>526</v>
      </c>
      <c r="AB20" t="s">
        <v>74</v>
      </c>
      <c r="AC20" t="s">
        <v>74</v>
      </c>
      <c r="AD20" t="s">
        <v>74</v>
      </c>
      <c r="AE20" t="s">
        <v>74</v>
      </c>
      <c r="AF20" t="s">
        <v>74</v>
      </c>
      <c r="AG20">
        <v>32</v>
      </c>
      <c r="AH20">
        <v>4</v>
      </c>
      <c r="AI20">
        <v>4</v>
      </c>
      <c r="AJ20">
        <v>0</v>
      </c>
      <c r="AK20">
        <v>8</v>
      </c>
      <c r="AL20" t="s">
        <v>291</v>
      </c>
      <c r="AM20" t="s">
        <v>92</v>
      </c>
      <c r="AN20" t="s">
        <v>292</v>
      </c>
      <c r="AO20" t="s">
        <v>74</v>
      </c>
      <c r="AP20" t="s">
        <v>74</v>
      </c>
      <c r="AQ20" t="s">
        <v>527</v>
      </c>
      <c r="AR20" t="s">
        <v>74</v>
      </c>
      <c r="AS20" t="s">
        <v>74</v>
      </c>
      <c r="AT20" t="s">
        <v>74</v>
      </c>
      <c r="AU20">
        <v>2019</v>
      </c>
      <c r="AV20" t="s">
        <v>74</v>
      </c>
      <c r="AW20" t="s">
        <v>74</v>
      </c>
      <c r="AX20" t="s">
        <v>74</v>
      </c>
      <c r="AY20" t="s">
        <v>74</v>
      </c>
      <c r="AZ20" t="s">
        <v>74</v>
      </c>
      <c r="BA20" t="s">
        <v>74</v>
      </c>
      <c r="BB20">
        <v>1407</v>
      </c>
      <c r="BC20">
        <v>1408</v>
      </c>
      <c r="BD20" t="s">
        <v>74</v>
      </c>
      <c r="BE20" t="s">
        <v>528</v>
      </c>
      <c r="BF20" t="str">
        <f>HYPERLINK("http://dx.doi.org/10.1145/3331184.3331383","http://dx.doi.org/10.1145/3331184.3331383")</f>
        <v>http://dx.doi.org/10.1145/3331184.3331383</v>
      </c>
      <c r="BG20" t="s">
        <v>74</v>
      </c>
      <c r="BH20" t="s">
        <v>74</v>
      </c>
      <c r="BI20">
        <v>2</v>
      </c>
      <c r="BJ20" t="s">
        <v>295</v>
      </c>
      <c r="BK20" t="s">
        <v>138</v>
      </c>
      <c r="BL20" t="s">
        <v>296</v>
      </c>
      <c r="BM20" t="s">
        <v>529</v>
      </c>
      <c r="BN20" t="s">
        <v>74</v>
      </c>
      <c r="BO20" t="s">
        <v>74</v>
      </c>
      <c r="BP20" t="s">
        <v>74</v>
      </c>
      <c r="BQ20" t="s">
        <v>74</v>
      </c>
      <c r="BR20" t="s">
        <v>106</v>
      </c>
      <c r="BS20" t="s">
        <v>530</v>
      </c>
      <c r="BT20" t="str">
        <f>HYPERLINK("https%3A%2F%2Fwww.webofscience.com%2Fwos%2Fwoscc%2Ffull-record%2FWOS:000501488900234","View Full Record in Web of Science")</f>
        <v>View Full Record in Web of Science</v>
      </c>
    </row>
    <row r="21" spans="1:72" x14ac:dyDescent="0.25">
      <c r="A21" t="s">
        <v>108</v>
      </c>
      <c r="B21" t="s">
        <v>531</v>
      </c>
      <c r="C21" t="s">
        <v>74</v>
      </c>
      <c r="D21" t="s">
        <v>532</v>
      </c>
      <c r="E21" t="s">
        <v>74</v>
      </c>
      <c r="F21" t="s">
        <v>533</v>
      </c>
      <c r="G21" t="s">
        <v>74</v>
      </c>
      <c r="H21" t="s">
        <v>74</v>
      </c>
      <c r="I21" t="s">
        <v>534</v>
      </c>
      <c r="J21" t="s">
        <v>535</v>
      </c>
      <c r="K21" t="s">
        <v>147</v>
      </c>
      <c r="L21" t="s">
        <v>74</v>
      </c>
      <c r="M21" t="s">
        <v>78</v>
      </c>
      <c r="N21" t="s">
        <v>115</v>
      </c>
      <c r="O21" t="s">
        <v>536</v>
      </c>
      <c r="P21" t="s">
        <v>537</v>
      </c>
      <c r="Q21" t="s">
        <v>538</v>
      </c>
      <c r="R21" t="s">
        <v>539</v>
      </c>
      <c r="S21" t="s">
        <v>74</v>
      </c>
      <c r="T21" t="s">
        <v>540</v>
      </c>
      <c r="U21" t="s">
        <v>541</v>
      </c>
      <c r="V21" t="s">
        <v>542</v>
      </c>
      <c r="W21" t="s">
        <v>543</v>
      </c>
      <c r="X21" t="s">
        <v>544</v>
      </c>
      <c r="Y21" t="s">
        <v>545</v>
      </c>
      <c r="Z21" t="s">
        <v>546</v>
      </c>
      <c r="AA21" t="s">
        <v>74</v>
      </c>
      <c r="AB21" t="s">
        <v>74</v>
      </c>
      <c r="AC21" t="s">
        <v>74</v>
      </c>
      <c r="AD21" t="s">
        <v>74</v>
      </c>
      <c r="AE21" t="s">
        <v>74</v>
      </c>
      <c r="AF21" t="s">
        <v>74</v>
      </c>
      <c r="AG21">
        <v>32</v>
      </c>
      <c r="AH21">
        <v>23</v>
      </c>
      <c r="AI21">
        <v>27</v>
      </c>
      <c r="AJ21">
        <v>0</v>
      </c>
      <c r="AK21">
        <v>7</v>
      </c>
      <c r="AL21" t="s">
        <v>197</v>
      </c>
      <c r="AM21" t="s">
        <v>198</v>
      </c>
      <c r="AN21" t="s">
        <v>199</v>
      </c>
      <c r="AO21" t="s">
        <v>159</v>
      </c>
      <c r="AP21" t="s">
        <v>133</v>
      </c>
      <c r="AQ21" t="s">
        <v>547</v>
      </c>
      <c r="AR21" t="s">
        <v>161</v>
      </c>
      <c r="AS21" t="s">
        <v>74</v>
      </c>
      <c r="AT21" t="s">
        <v>74</v>
      </c>
      <c r="AU21">
        <v>2010</v>
      </c>
      <c r="AV21">
        <v>6075</v>
      </c>
      <c r="AW21" t="s">
        <v>74</v>
      </c>
      <c r="AX21" t="s">
        <v>74</v>
      </c>
      <c r="AY21" t="s">
        <v>74</v>
      </c>
      <c r="AZ21" t="s">
        <v>74</v>
      </c>
      <c r="BA21" t="s">
        <v>74</v>
      </c>
      <c r="BB21">
        <v>159</v>
      </c>
      <c r="BC21">
        <v>170</v>
      </c>
      <c r="BD21" t="s">
        <v>74</v>
      </c>
      <c r="BE21" t="s">
        <v>74</v>
      </c>
      <c r="BF21" t="s">
        <v>74</v>
      </c>
      <c r="BG21" t="s">
        <v>74</v>
      </c>
      <c r="BH21" t="s">
        <v>74</v>
      </c>
      <c r="BI21">
        <v>12</v>
      </c>
      <c r="BJ21" t="s">
        <v>461</v>
      </c>
      <c r="BK21" t="s">
        <v>203</v>
      </c>
      <c r="BL21" t="s">
        <v>103</v>
      </c>
      <c r="BM21" t="s">
        <v>548</v>
      </c>
      <c r="BN21" t="s">
        <v>74</v>
      </c>
      <c r="BO21" t="s">
        <v>74</v>
      </c>
      <c r="BP21" t="s">
        <v>74</v>
      </c>
      <c r="BQ21" t="s">
        <v>74</v>
      </c>
      <c r="BR21" t="s">
        <v>106</v>
      </c>
      <c r="BS21" t="s">
        <v>549</v>
      </c>
      <c r="BT21" t="str">
        <f>HYPERLINK("https%3A%2F%2Fwww.webofscience.com%2Fwos%2Fwoscc%2Ffull-record%2FWOS:000279499600014","View Full Record in Web of Science")</f>
        <v>View Full Record in Web of Science</v>
      </c>
    </row>
    <row r="22" spans="1:72" x14ac:dyDescent="0.25">
      <c r="A22" t="s">
        <v>72</v>
      </c>
      <c r="B22" t="s">
        <v>550</v>
      </c>
      <c r="C22" t="s">
        <v>74</v>
      </c>
      <c r="D22" t="s">
        <v>74</v>
      </c>
      <c r="E22" t="s">
        <v>74</v>
      </c>
      <c r="F22" t="s">
        <v>551</v>
      </c>
      <c r="G22" t="s">
        <v>74</v>
      </c>
      <c r="H22" t="s">
        <v>74</v>
      </c>
      <c r="I22" t="s">
        <v>552</v>
      </c>
      <c r="J22" t="s">
        <v>230</v>
      </c>
      <c r="K22" t="s">
        <v>74</v>
      </c>
      <c r="L22" t="s">
        <v>74</v>
      </c>
      <c r="M22" t="s">
        <v>78</v>
      </c>
      <c r="N22" t="s">
        <v>79</v>
      </c>
      <c r="O22" t="s">
        <v>74</v>
      </c>
      <c r="P22" t="s">
        <v>74</v>
      </c>
      <c r="Q22" t="s">
        <v>74</v>
      </c>
      <c r="R22" t="s">
        <v>74</v>
      </c>
      <c r="S22" t="s">
        <v>74</v>
      </c>
      <c r="T22" t="s">
        <v>553</v>
      </c>
      <c r="U22" t="s">
        <v>554</v>
      </c>
      <c r="V22" t="s">
        <v>555</v>
      </c>
      <c r="W22" t="s">
        <v>556</v>
      </c>
      <c r="X22" t="s">
        <v>557</v>
      </c>
      <c r="Y22" t="s">
        <v>558</v>
      </c>
      <c r="Z22" t="s">
        <v>559</v>
      </c>
      <c r="AA22" t="s">
        <v>560</v>
      </c>
      <c r="AB22" t="s">
        <v>561</v>
      </c>
      <c r="AC22" t="s">
        <v>562</v>
      </c>
      <c r="AD22" t="s">
        <v>563</v>
      </c>
      <c r="AE22" t="s">
        <v>564</v>
      </c>
      <c r="AF22" t="s">
        <v>74</v>
      </c>
      <c r="AG22">
        <v>70</v>
      </c>
      <c r="AH22">
        <v>135</v>
      </c>
      <c r="AI22">
        <v>188</v>
      </c>
      <c r="AJ22">
        <v>4</v>
      </c>
      <c r="AK22">
        <v>117</v>
      </c>
      <c r="AL22" t="s">
        <v>239</v>
      </c>
      <c r="AM22" t="s">
        <v>240</v>
      </c>
      <c r="AN22" t="s">
        <v>241</v>
      </c>
      <c r="AO22" t="s">
        <v>242</v>
      </c>
      <c r="AP22" t="s">
        <v>243</v>
      </c>
      <c r="AQ22" t="s">
        <v>74</v>
      </c>
      <c r="AR22" t="s">
        <v>244</v>
      </c>
      <c r="AS22" t="s">
        <v>245</v>
      </c>
      <c r="AT22" t="s">
        <v>565</v>
      </c>
      <c r="AU22">
        <v>2018</v>
      </c>
      <c r="AV22">
        <v>110</v>
      </c>
      <c r="AW22">
        <v>6</v>
      </c>
      <c r="AX22" t="s">
        <v>74</v>
      </c>
      <c r="AY22" t="s">
        <v>74</v>
      </c>
      <c r="AZ22" t="s">
        <v>74</v>
      </c>
      <c r="BA22" t="s">
        <v>74</v>
      </c>
      <c r="BB22">
        <v>864</v>
      </c>
      <c r="BC22">
        <v>881</v>
      </c>
      <c r="BD22" t="s">
        <v>74</v>
      </c>
      <c r="BE22" t="s">
        <v>566</v>
      </c>
      <c r="BF22" t="str">
        <f>HYPERLINK("http://dx.doi.org/10.1037/edu0000250","http://dx.doi.org/10.1037/edu0000250")</f>
        <v>http://dx.doi.org/10.1037/edu0000250</v>
      </c>
      <c r="BG22" t="s">
        <v>74</v>
      </c>
      <c r="BH22" t="s">
        <v>74</v>
      </c>
      <c r="BI22">
        <v>18</v>
      </c>
      <c r="BJ22" t="s">
        <v>249</v>
      </c>
      <c r="BK22" t="s">
        <v>250</v>
      </c>
      <c r="BL22" t="s">
        <v>251</v>
      </c>
      <c r="BM22" t="s">
        <v>567</v>
      </c>
      <c r="BN22" t="s">
        <v>74</v>
      </c>
      <c r="BO22" t="s">
        <v>105</v>
      </c>
      <c r="BP22" t="s">
        <v>74</v>
      </c>
      <c r="BQ22" t="s">
        <v>74</v>
      </c>
      <c r="BR22" t="s">
        <v>106</v>
      </c>
      <c r="BS22" t="s">
        <v>568</v>
      </c>
      <c r="BT22" t="str">
        <f>HYPERLINK("https%3A%2F%2Fwww.webofscience.com%2Fwos%2Fwoscc%2Ffull-record%2FWOS:000439919800008","View Full Record in Web of Science")</f>
        <v>View Full Record in Web of Science</v>
      </c>
    </row>
    <row r="23" spans="1:72" x14ac:dyDescent="0.25">
      <c r="A23" t="s">
        <v>108</v>
      </c>
      <c r="B23" t="s">
        <v>569</v>
      </c>
      <c r="C23" t="s">
        <v>74</v>
      </c>
      <c r="D23" t="s">
        <v>570</v>
      </c>
      <c r="E23" t="s">
        <v>74</v>
      </c>
      <c r="F23" t="s">
        <v>571</v>
      </c>
      <c r="G23" t="s">
        <v>74</v>
      </c>
      <c r="H23" t="s">
        <v>74</v>
      </c>
      <c r="I23" t="s">
        <v>572</v>
      </c>
      <c r="J23" t="s">
        <v>573</v>
      </c>
      <c r="K23" t="s">
        <v>114</v>
      </c>
      <c r="L23" t="s">
        <v>74</v>
      </c>
      <c r="M23" t="s">
        <v>78</v>
      </c>
      <c r="N23" t="s">
        <v>115</v>
      </c>
      <c r="O23" t="s">
        <v>574</v>
      </c>
      <c r="P23" t="s">
        <v>575</v>
      </c>
      <c r="Q23" t="s">
        <v>576</v>
      </c>
      <c r="R23" t="s">
        <v>74</v>
      </c>
      <c r="S23" t="s">
        <v>577</v>
      </c>
      <c r="T23" t="s">
        <v>578</v>
      </c>
      <c r="U23" t="s">
        <v>579</v>
      </c>
      <c r="V23" t="s">
        <v>580</v>
      </c>
      <c r="W23" t="s">
        <v>581</v>
      </c>
      <c r="X23" t="s">
        <v>582</v>
      </c>
      <c r="Y23" t="s">
        <v>583</v>
      </c>
      <c r="Z23" t="s">
        <v>584</v>
      </c>
      <c r="AA23" t="s">
        <v>585</v>
      </c>
      <c r="AB23" t="s">
        <v>586</v>
      </c>
      <c r="AC23" t="s">
        <v>587</v>
      </c>
      <c r="AD23" t="s">
        <v>588</v>
      </c>
      <c r="AE23" t="s">
        <v>74</v>
      </c>
      <c r="AF23" t="s">
        <v>74</v>
      </c>
      <c r="AG23">
        <v>29</v>
      </c>
      <c r="AH23">
        <v>10</v>
      </c>
      <c r="AI23">
        <v>11</v>
      </c>
      <c r="AJ23">
        <v>0</v>
      </c>
      <c r="AK23">
        <v>16</v>
      </c>
      <c r="AL23" t="s">
        <v>129</v>
      </c>
      <c r="AM23" t="s">
        <v>130</v>
      </c>
      <c r="AN23" t="s">
        <v>131</v>
      </c>
      <c r="AO23" t="s">
        <v>159</v>
      </c>
      <c r="AP23" t="s">
        <v>133</v>
      </c>
      <c r="AQ23" t="s">
        <v>589</v>
      </c>
      <c r="AR23" t="s">
        <v>135</v>
      </c>
      <c r="AS23" t="s">
        <v>74</v>
      </c>
      <c r="AT23" t="s">
        <v>74</v>
      </c>
      <c r="AU23">
        <v>2017</v>
      </c>
      <c r="AV23">
        <v>10331</v>
      </c>
      <c r="AW23" t="s">
        <v>74</v>
      </c>
      <c r="AX23" t="s">
        <v>74</v>
      </c>
      <c r="AY23" t="s">
        <v>74</v>
      </c>
      <c r="AZ23" t="s">
        <v>74</v>
      </c>
      <c r="BA23" t="s">
        <v>74</v>
      </c>
      <c r="BB23">
        <v>28</v>
      </c>
      <c r="BC23">
        <v>39</v>
      </c>
      <c r="BD23" t="s">
        <v>74</v>
      </c>
      <c r="BE23" t="s">
        <v>590</v>
      </c>
      <c r="BF23" t="str">
        <f>HYPERLINK("http://dx.doi.org/10.1007/978-3-319-61425-0_3","http://dx.doi.org/10.1007/978-3-319-61425-0_3")</f>
        <v>http://dx.doi.org/10.1007/978-3-319-61425-0_3</v>
      </c>
      <c r="BG23" t="s">
        <v>74</v>
      </c>
      <c r="BH23" t="s">
        <v>74</v>
      </c>
      <c r="BI23">
        <v>12</v>
      </c>
      <c r="BJ23" t="s">
        <v>591</v>
      </c>
      <c r="BK23" t="s">
        <v>203</v>
      </c>
      <c r="BL23" t="s">
        <v>103</v>
      </c>
      <c r="BM23" t="s">
        <v>592</v>
      </c>
      <c r="BN23" t="s">
        <v>74</v>
      </c>
      <c r="BO23" t="s">
        <v>74</v>
      </c>
      <c r="BP23" t="s">
        <v>74</v>
      </c>
      <c r="BQ23" t="s">
        <v>74</v>
      </c>
      <c r="BR23" t="s">
        <v>106</v>
      </c>
      <c r="BS23" t="s">
        <v>593</v>
      </c>
      <c r="BT23" t="str">
        <f>HYPERLINK("https%3A%2F%2Fwww.webofscience.com%2Fwos%2Fwoscc%2Ffull-record%2FWOS:000434475300003","View Full Record in Web of Science")</f>
        <v>View Full Record in Web of Science</v>
      </c>
    </row>
    <row r="24" spans="1:72" x14ac:dyDescent="0.25">
      <c r="A24" t="s">
        <v>72</v>
      </c>
      <c r="B24" t="s">
        <v>594</v>
      </c>
      <c r="C24" t="s">
        <v>74</v>
      </c>
      <c r="D24" t="s">
        <v>74</v>
      </c>
      <c r="E24" t="s">
        <v>74</v>
      </c>
      <c r="F24" t="s">
        <v>595</v>
      </c>
      <c r="G24" t="s">
        <v>74</v>
      </c>
      <c r="H24" t="s">
        <v>74</v>
      </c>
      <c r="I24" t="s">
        <v>596</v>
      </c>
      <c r="J24" t="s">
        <v>597</v>
      </c>
      <c r="K24" t="s">
        <v>74</v>
      </c>
      <c r="L24" t="s">
        <v>74</v>
      </c>
      <c r="M24" t="s">
        <v>78</v>
      </c>
      <c r="N24" t="s">
        <v>79</v>
      </c>
      <c r="O24" t="s">
        <v>74</v>
      </c>
      <c r="P24" t="s">
        <v>74</v>
      </c>
      <c r="Q24" t="s">
        <v>74</v>
      </c>
      <c r="R24" t="s">
        <v>74</v>
      </c>
      <c r="S24" t="s">
        <v>74</v>
      </c>
      <c r="T24" t="s">
        <v>598</v>
      </c>
      <c r="U24" t="s">
        <v>74</v>
      </c>
      <c r="V24" t="s">
        <v>599</v>
      </c>
      <c r="W24" t="s">
        <v>600</v>
      </c>
      <c r="X24" t="s">
        <v>601</v>
      </c>
      <c r="Y24" t="s">
        <v>602</v>
      </c>
      <c r="Z24" t="s">
        <v>603</v>
      </c>
      <c r="AA24" t="s">
        <v>74</v>
      </c>
      <c r="AB24" t="s">
        <v>74</v>
      </c>
      <c r="AC24" t="s">
        <v>604</v>
      </c>
      <c r="AD24" t="s">
        <v>604</v>
      </c>
      <c r="AE24" t="s">
        <v>605</v>
      </c>
      <c r="AF24" t="s">
        <v>74</v>
      </c>
      <c r="AG24">
        <v>23</v>
      </c>
      <c r="AH24">
        <v>0</v>
      </c>
      <c r="AI24">
        <v>0</v>
      </c>
      <c r="AJ24">
        <v>0</v>
      </c>
      <c r="AK24">
        <v>3</v>
      </c>
      <c r="AL24" t="s">
        <v>310</v>
      </c>
      <c r="AM24" t="s">
        <v>311</v>
      </c>
      <c r="AN24" t="s">
        <v>312</v>
      </c>
      <c r="AO24" t="s">
        <v>606</v>
      </c>
      <c r="AP24" t="s">
        <v>607</v>
      </c>
      <c r="AQ24" t="s">
        <v>74</v>
      </c>
      <c r="AR24" t="s">
        <v>608</v>
      </c>
      <c r="AS24" t="s">
        <v>609</v>
      </c>
      <c r="AT24" t="s">
        <v>610</v>
      </c>
      <c r="AU24">
        <v>2026</v>
      </c>
      <c r="AV24">
        <v>33</v>
      </c>
      <c r="AW24">
        <v>2</v>
      </c>
      <c r="AX24" t="s">
        <v>74</v>
      </c>
      <c r="AY24" t="s">
        <v>74</v>
      </c>
      <c r="AZ24" t="s">
        <v>74</v>
      </c>
      <c r="BA24" t="s">
        <v>74</v>
      </c>
      <c r="BB24">
        <v>205</v>
      </c>
      <c r="BC24">
        <v>220</v>
      </c>
      <c r="BD24" t="s">
        <v>74</v>
      </c>
      <c r="BE24" t="s">
        <v>611</v>
      </c>
      <c r="BF24" t="str">
        <f>HYPERLINK("http://dx.doi.org/10.1080/1358684X.2025.2563547","http://dx.doi.org/10.1080/1358684X.2025.2563547")</f>
        <v>http://dx.doi.org/10.1080/1358684X.2025.2563547</v>
      </c>
      <c r="BG24" t="s">
        <v>74</v>
      </c>
      <c r="BH24" t="s">
        <v>612</v>
      </c>
      <c r="BI24">
        <v>16</v>
      </c>
      <c r="BJ24" t="s">
        <v>318</v>
      </c>
      <c r="BK24" t="s">
        <v>102</v>
      </c>
      <c r="BL24" t="s">
        <v>318</v>
      </c>
      <c r="BM24" t="s">
        <v>613</v>
      </c>
      <c r="BN24" t="s">
        <v>74</v>
      </c>
      <c r="BO24" t="s">
        <v>74</v>
      </c>
      <c r="BP24" t="s">
        <v>74</v>
      </c>
      <c r="BQ24" t="s">
        <v>74</v>
      </c>
      <c r="BR24" t="s">
        <v>106</v>
      </c>
      <c r="BS24" t="s">
        <v>614</v>
      </c>
      <c r="BT24" t="str">
        <f>HYPERLINK("https%3A%2F%2Fwww.webofscience.com%2Fwos%2Fwoscc%2Ffull-record%2FWOS:001592465300001","View Full Record in Web of Science")</f>
        <v>View Full Record in Web of Science</v>
      </c>
    </row>
    <row r="25" spans="1:72" x14ac:dyDescent="0.25">
      <c r="A25" t="s">
        <v>72</v>
      </c>
      <c r="B25" t="s">
        <v>615</v>
      </c>
      <c r="C25" t="s">
        <v>74</v>
      </c>
      <c r="D25" t="s">
        <v>74</v>
      </c>
      <c r="E25" t="s">
        <v>74</v>
      </c>
      <c r="F25" t="s">
        <v>616</v>
      </c>
      <c r="G25" t="s">
        <v>74</v>
      </c>
      <c r="H25" t="s">
        <v>74</v>
      </c>
      <c r="I25" t="s">
        <v>617</v>
      </c>
      <c r="J25" t="s">
        <v>618</v>
      </c>
      <c r="K25" t="s">
        <v>74</v>
      </c>
      <c r="L25" t="s">
        <v>74</v>
      </c>
      <c r="M25" t="s">
        <v>78</v>
      </c>
      <c r="N25" t="s">
        <v>79</v>
      </c>
      <c r="O25" t="s">
        <v>74</v>
      </c>
      <c r="P25" t="s">
        <v>74</v>
      </c>
      <c r="Q25" t="s">
        <v>74</v>
      </c>
      <c r="R25" t="s">
        <v>74</v>
      </c>
      <c r="S25" t="s">
        <v>74</v>
      </c>
      <c r="T25" t="s">
        <v>619</v>
      </c>
      <c r="U25" t="s">
        <v>620</v>
      </c>
      <c r="V25" t="s">
        <v>621</v>
      </c>
      <c r="W25" t="s">
        <v>622</v>
      </c>
      <c r="X25" t="s">
        <v>623</v>
      </c>
      <c r="Y25" t="s">
        <v>624</v>
      </c>
      <c r="Z25" t="s">
        <v>625</v>
      </c>
      <c r="AA25" t="s">
        <v>626</v>
      </c>
      <c r="AB25" t="s">
        <v>627</v>
      </c>
      <c r="AC25" t="s">
        <v>628</v>
      </c>
      <c r="AD25" t="s">
        <v>629</v>
      </c>
      <c r="AE25" t="s">
        <v>630</v>
      </c>
      <c r="AF25" t="s">
        <v>74</v>
      </c>
      <c r="AG25">
        <v>75</v>
      </c>
      <c r="AH25">
        <v>19</v>
      </c>
      <c r="AI25">
        <v>24</v>
      </c>
      <c r="AJ25">
        <v>24</v>
      </c>
      <c r="AK25">
        <v>81</v>
      </c>
      <c r="AL25" t="s">
        <v>631</v>
      </c>
      <c r="AM25" t="s">
        <v>632</v>
      </c>
      <c r="AN25" t="s">
        <v>633</v>
      </c>
      <c r="AO25" t="s">
        <v>634</v>
      </c>
      <c r="AP25" t="s">
        <v>635</v>
      </c>
      <c r="AQ25" t="s">
        <v>74</v>
      </c>
      <c r="AR25" t="s">
        <v>636</v>
      </c>
      <c r="AS25" t="s">
        <v>637</v>
      </c>
      <c r="AT25" t="s">
        <v>509</v>
      </c>
      <c r="AU25">
        <v>2025</v>
      </c>
      <c r="AV25">
        <v>56</v>
      </c>
      <c r="AW25">
        <v>5</v>
      </c>
      <c r="AX25" t="s">
        <v>74</v>
      </c>
      <c r="AY25" t="s">
        <v>74</v>
      </c>
      <c r="AZ25" t="s">
        <v>74</v>
      </c>
      <c r="BA25" t="s">
        <v>74</v>
      </c>
      <c r="BB25">
        <v>1735</v>
      </c>
      <c r="BC25">
        <v>1757</v>
      </c>
      <c r="BD25" t="s">
        <v>74</v>
      </c>
      <c r="BE25" t="s">
        <v>638</v>
      </c>
      <c r="BF25" t="str">
        <f>HYPERLINK("http://dx.doi.org/10.1111/bjet.13609","http://dx.doi.org/10.1111/bjet.13609")</f>
        <v>http://dx.doi.org/10.1111/bjet.13609</v>
      </c>
      <c r="BG25" t="s">
        <v>74</v>
      </c>
      <c r="BH25" t="s">
        <v>100</v>
      </c>
      <c r="BI25">
        <v>23</v>
      </c>
      <c r="BJ25" t="s">
        <v>318</v>
      </c>
      <c r="BK25" t="s">
        <v>250</v>
      </c>
      <c r="BL25" t="s">
        <v>318</v>
      </c>
      <c r="BM25" t="s">
        <v>639</v>
      </c>
      <c r="BN25" t="s">
        <v>74</v>
      </c>
      <c r="BO25" t="s">
        <v>105</v>
      </c>
      <c r="BP25" t="s">
        <v>74</v>
      </c>
      <c r="BQ25" t="s">
        <v>74</v>
      </c>
      <c r="BR25" t="s">
        <v>106</v>
      </c>
      <c r="BS25" t="s">
        <v>640</v>
      </c>
      <c r="BT25" t="str">
        <f>HYPERLINK("https%3A%2F%2Fwww.webofscience.com%2Fwos%2Fwoscc%2Ffull-record%2FWOS:001521140300001","View Full Record in Web of Science")</f>
        <v>View Full Record in Web of Science</v>
      </c>
    </row>
    <row r="26" spans="1:72" x14ac:dyDescent="0.25">
      <c r="A26" t="s">
        <v>72</v>
      </c>
      <c r="B26" t="s">
        <v>641</v>
      </c>
      <c r="C26" t="s">
        <v>74</v>
      </c>
      <c r="D26" t="s">
        <v>74</v>
      </c>
      <c r="E26" t="s">
        <v>74</v>
      </c>
      <c r="F26" t="s">
        <v>642</v>
      </c>
      <c r="G26" t="s">
        <v>74</v>
      </c>
      <c r="H26" t="s">
        <v>74</v>
      </c>
      <c r="I26" t="s">
        <v>643</v>
      </c>
      <c r="J26" t="s">
        <v>644</v>
      </c>
      <c r="K26" t="s">
        <v>74</v>
      </c>
      <c r="L26" t="s">
        <v>74</v>
      </c>
      <c r="M26" t="s">
        <v>78</v>
      </c>
      <c r="N26" t="s">
        <v>79</v>
      </c>
      <c r="O26" t="s">
        <v>74</v>
      </c>
      <c r="P26" t="s">
        <v>74</v>
      </c>
      <c r="Q26" t="s">
        <v>74</v>
      </c>
      <c r="R26" t="s">
        <v>74</v>
      </c>
      <c r="S26" t="s">
        <v>74</v>
      </c>
      <c r="T26" t="s">
        <v>645</v>
      </c>
      <c r="U26" t="s">
        <v>646</v>
      </c>
      <c r="V26" t="s">
        <v>647</v>
      </c>
      <c r="W26" t="s">
        <v>648</v>
      </c>
      <c r="X26" t="s">
        <v>649</v>
      </c>
      <c r="Y26" t="s">
        <v>650</v>
      </c>
      <c r="Z26" t="s">
        <v>651</v>
      </c>
      <c r="AA26" t="s">
        <v>652</v>
      </c>
      <c r="AB26" t="s">
        <v>653</v>
      </c>
      <c r="AC26" t="s">
        <v>654</v>
      </c>
      <c r="AD26" t="s">
        <v>655</v>
      </c>
      <c r="AE26" t="s">
        <v>656</v>
      </c>
      <c r="AF26" t="s">
        <v>74</v>
      </c>
      <c r="AG26">
        <v>49</v>
      </c>
      <c r="AH26">
        <v>0</v>
      </c>
      <c r="AI26">
        <v>0</v>
      </c>
      <c r="AJ26">
        <v>6</v>
      </c>
      <c r="AK26">
        <v>20</v>
      </c>
      <c r="AL26" t="s">
        <v>310</v>
      </c>
      <c r="AM26" t="s">
        <v>311</v>
      </c>
      <c r="AN26" t="s">
        <v>312</v>
      </c>
      <c r="AO26" t="s">
        <v>657</v>
      </c>
      <c r="AP26" t="s">
        <v>658</v>
      </c>
      <c r="AQ26" t="s">
        <v>74</v>
      </c>
      <c r="AR26" t="s">
        <v>659</v>
      </c>
      <c r="AS26" t="s">
        <v>660</v>
      </c>
      <c r="AT26" t="s">
        <v>661</v>
      </c>
      <c r="AU26">
        <v>2025</v>
      </c>
      <c r="AV26">
        <v>45</v>
      </c>
      <c r="AW26">
        <v>4</v>
      </c>
      <c r="AX26" t="s">
        <v>74</v>
      </c>
      <c r="AY26" t="s">
        <v>74</v>
      </c>
      <c r="AZ26" t="s">
        <v>74</v>
      </c>
      <c r="BA26" t="s">
        <v>74</v>
      </c>
      <c r="BB26">
        <v>377</v>
      </c>
      <c r="BC26">
        <v>394</v>
      </c>
      <c r="BD26" t="s">
        <v>74</v>
      </c>
      <c r="BE26" t="s">
        <v>662</v>
      </c>
      <c r="BF26" t="str">
        <f>HYPERLINK("http://dx.doi.org/10.1080/01443410.2025.2477814","http://dx.doi.org/10.1080/01443410.2025.2477814")</f>
        <v>http://dx.doi.org/10.1080/01443410.2025.2477814</v>
      </c>
      <c r="BG26" t="s">
        <v>74</v>
      </c>
      <c r="BH26" t="s">
        <v>663</v>
      </c>
      <c r="BI26">
        <v>18</v>
      </c>
      <c r="BJ26" t="s">
        <v>664</v>
      </c>
      <c r="BK26" t="s">
        <v>250</v>
      </c>
      <c r="BL26" t="s">
        <v>665</v>
      </c>
      <c r="BM26" t="s">
        <v>666</v>
      </c>
      <c r="BN26" t="s">
        <v>74</v>
      </c>
      <c r="BO26" t="s">
        <v>105</v>
      </c>
      <c r="BP26" t="s">
        <v>74</v>
      </c>
      <c r="BQ26" t="s">
        <v>74</v>
      </c>
      <c r="BR26" t="s">
        <v>106</v>
      </c>
      <c r="BS26" t="s">
        <v>667</v>
      </c>
      <c r="BT26" t="str">
        <f>HYPERLINK("https%3A%2F%2Fwww.webofscience.com%2Fwos%2Fwoscc%2Ffull-record%2FWOS:001445602200001","View Full Record in Web of Science")</f>
        <v>View Full Record in Web of Science</v>
      </c>
    </row>
    <row r="27" spans="1:72" x14ac:dyDescent="0.25">
      <c r="A27" t="s">
        <v>108</v>
      </c>
      <c r="B27" t="s">
        <v>668</v>
      </c>
      <c r="C27" t="s">
        <v>74</v>
      </c>
      <c r="D27" t="s">
        <v>669</v>
      </c>
      <c r="E27" t="s">
        <v>74</v>
      </c>
      <c r="F27" t="s">
        <v>670</v>
      </c>
      <c r="G27" t="s">
        <v>74</v>
      </c>
      <c r="H27" t="s">
        <v>74</v>
      </c>
      <c r="I27" t="s">
        <v>671</v>
      </c>
      <c r="J27" t="s">
        <v>672</v>
      </c>
      <c r="K27" t="s">
        <v>114</v>
      </c>
      <c r="L27" t="s">
        <v>74</v>
      </c>
      <c r="M27" t="s">
        <v>78</v>
      </c>
      <c r="N27" t="s">
        <v>115</v>
      </c>
      <c r="O27" t="s">
        <v>673</v>
      </c>
      <c r="P27" t="s">
        <v>674</v>
      </c>
      <c r="Q27" t="s">
        <v>675</v>
      </c>
      <c r="R27" t="s">
        <v>676</v>
      </c>
      <c r="S27" t="s">
        <v>74</v>
      </c>
      <c r="T27" t="s">
        <v>677</v>
      </c>
      <c r="U27" t="s">
        <v>74</v>
      </c>
      <c r="V27" t="s">
        <v>678</v>
      </c>
      <c r="W27" t="s">
        <v>679</v>
      </c>
      <c r="X27" t="s">
        <v>680</v>
      </c>
      <c r="Y27" t="s">
        <v>681</v>
      </c>
      <c r="Z27" t="s">
        <v>682</v>
      </c>
      <c r="AA27" t="s">
        <v>74</v>
      </c>
      <c r="AB27" t="s">
        <v>683</v>
      </c>
      <c r="AC27" t="s">
        <v>74</v>
      </c>
      <c r="AD27" t="s">
        <v>74</v>
      </c>
      <c r="AE27" t="s">
        <v>74</v>
      </c>
      <c r="AF27" t="s">
        <v>74</v>
      </c>
      <c r="AG27">
        <v>18</v>
      </c>
      <c r="AH27">
        <v>21</v>
      </c>
      <c r="AI27">
        <v>35</v>
      </c>
      <c r="AJ27">
        <v>0</v>
      </c>
      <c r="AK27">
        <v>5</v>
      </c>
      <c r="AL27" t="s">
        <v>197</v>
      </c>
      <c r="AM27" t="s">
        <v>198</v>
      </c>
      <c r="AN27" t="s">
        <v>199</v>
      </c>
      <c r="AO27" t="s">
        <v>159</v>
      </c>
      <c r="AP27" t="s">
        <v>133</v>
      </c>
      <c r="AQ27" t="s">
        <v>684</v>
      </c>
      <c r="AR27" t="s">
        <v>135</v>
      </c>
      <c r="AS27" t="s">
        <v>74</v>
      </c>
      <c r="AT27" t="s">
        <v>74</v>
      </c>
      <c r="AU27">
        <v>2011</v>
      </c>
      <c r="AV27">
        <v>6635</v>
      </c>
      <c r="AW27" t="s">
        <v>74</v>
      </c>
      <c r="AX27">
        <v>2</v>
      </c>
      <c r="AY27" t="s">
        <v>74</v>
      </c>
      <c r="AZ27" t="s">
        <v>74</v>
      </c>
      <c r="BA27" t="s">
        <v>74</v>
      </c>
      <c r="BB27">
        <v>75</v>
      </c>
      <c r="BC27">
        <v>86</v>
      </c>
      <c r="BD27" t="s">
        <v>74</v>
      </c>
      <c r="BE27" t="s">
        <v>74</v>
      </c>
      <c r="BF27" t="s">
        <v>74</v>
      </c>
      <c r="BG27" t="s">
        <v>74</v>
      </c>
      <c r="BH27" t="s">
        <v>74</v>
      </c>
      <c r="BI27">
        <v>12</v>
      </c>
      <c r="BJ27" t="s">
        <v>461</v>
      </c>
      <c r="BK27" t="s">
        <v>203</v>
      </c>
      <c r="BL27" t="s">
        <v>103</v>
      </c>
      <c r="BM27" t="s">
        <v>685</v>
      </c>
      <c r="BN27" t="s">
        <v>74</v>
      </c>
      <c r="BO27" t="s">
        <v>74</v>
      </c>
      <c r="BP27" t="s">
        <v>74</v>
      </c>
      <c r="BQ27" t="s">
        <v>74</v>
      </c>
      <c r="BR27" t="s">
        <v>106</v>
      </c>
      <c r="BS27" t="s">
        <v>686</v>
      </c>
      <c r="BT27" t="str">
        <f>HYPERLINK("https%3A%2F%2Fwww.webofscience.com%2Fwos%2Fwoscc%2Ffull-record%2FWOS:000311907700007","View Full Record in Web of Science")</f>
        <v>View Full Record in Web of Science</v>
      </c>
    </row>
    <row r="28" spans="1:72" x14ac:dyDescent="0.25">
      <c r="A28" t="s">
        <v>108</v>
      </c>
      <c r="B28" t="s">
        <v>513</v>
      </c>
      <c r="C28" t="s">
        <v>74</v>
      </c>
      <c r="D28" t="s">
        <v>74</v>
      </c>
      <c r="E28" t="s">
        <v>273</v>
      </c>
      <c r="F28" t="s">
        <v>514</v>
      </c>
      <c r="G28" t="s">
        <v>74</v>
      </c>
      <c r="H28" t="s">
        <v>74</v>
      </c>
      <c r="I28" t="s">
        <v>687</v>
      </c>
      <c r="J28" t="s">
        <v>688</v>
      </c>
      <c r="K28" t="s">
        <v>74</v>
      </c>
      <c r="L28" t="s">
        <v>74</v>
      </c>
      <c r="M28" t="s">
        <v>78</v>
      </c>
      <c r="N28" t="s">
        <v>115</v>
      </c>
      <c r="O28" t="s">
        <v>689</v>
      </c>
      <c r="P28" t="s">
        <v>690</v>
      </c>
      <c r="Q28" t="s">
        <v>691</v>
      </c>
      <c r="R28" t="s">
        <v>692</v>
      </c>
      <c r="S28" t="s">
        <v>74</v>
      </c>
      <c r="T28" t="s">
        <v>74</v>
      </c>
      <c r="U28" t="s">
        <v>74</v>
      </c>
      <c r="V28" t="s">
        <v>521</v>
      </c>
      <c r="W28" t="s">
        <v>522</v>
      </c>
      <c r="X28" t="s">
        <v>523</v>
      </c>
      <c r="Y28" t="s">
        <v>524</v>
      </c>
      <c r="Z28" t="s">
        <v>525</v>
      </c>
      <c r="AA28" t="s">
        <v>693</v>
      </c>
      <c r="AB28" t="s">
        <v>74</v>
      </c>
      <c r="AC28" t="s">
        <v>74</v>
      </c>
      <c r="AD28" t="s">
        <v>74</v>
      </c>
      <c r="AE28" t="s">
        <v>74</v>
      </c>
      <c r="AF28" t="s">
        <v>74</v>
      </c>
      <c r="AG28">
        <v>33</v>
      </c>
      <c r="AH28">
        <v>6</v>
      </c>
      <c r="AI28">
        <v>8</v>
      </c>
      <c r="AJ28">
        <v>0</v>
      </c>
      <c r="AK28">
        <v>8</v>
      </c>
      <c r="AL28" t="s">
        <v>291</v>
      </c>
      <c r="AM28" t="s">
        <v>92</v>
      </c>
      <c r="AN28" t="s">
        <v>292</v>
      </c>
      <c r="AO28" t="s">
        <v>74</v>
      </c>
      <c r="AP28" t="s">
        <v>74</v>
      </c>
      <c r="AQ28" t="s">
        <v>694</v>
      </c>
      <c r="AR28" t="s">
        <v>74</v>
      </c>
      <c r="AS28" t="s">
        <v>74</v>
      </c>
      <c r="AT28" t="s">
        <v>74</v>
      </c>
      <c r="AU28">
        <v>2019</v>
      </c>
      <c r="AV28" t="s">
        <v>74</v>
      </c>
      <c r="AW28" t="s">
        <v>74</v>
      </c>
      <c r="AX28" t="s">
        <v>74</v>
      </c>
      <c r="AY28" t="s">
        <v>74</v>
      </c>
      <c r="AZ28" t="s">
        <v>74</v>
      </c>
      <c r="BA28" t="s">
        <v>74</v>
      </c>
      <c r="BB28">
        <v>3235</v>
      </c>
      <c r="BC28">
        <v>3236</v>
      </c>
      <c r="BD28" t="s">
        <v>74</v>
      </c>
      <c r="BE28" t="s">
        <v>695</v>
      </c>
      <c r="BF28" t="str">
        <f>HYPERLINK("http://dx.doi.org/10.1145/3292500.3332279","http://dx.doi.org/10.1145/3292500.3332279")</f>
        <v>http://dx.doi.org/10.1145/3292500.3332279</v>
      </c>
      <c r="BG28" t="s">
        <v>74</v>
      </c>
      <c r="BH28" t="s">
        <v>74</v>
      </c>
      <c r="BI28">
        <v>2</v>
      </c>
      <c r="BJ28" t="s">
        <v>696</v>
      </c>
      <c r="BK28" t="s">
        <v>203</v>
      </c>
      <c r="BL28" t="s">
        <v>103</v>
      </c>
      <c r="BM28" t="s">
        <v>697</v>
      </c>
      <c r="BN28" t="s">
        <v>74</v>
      </c>
      <c r="BO28" t="s">
        <v>74</v>
      </c>
      <c r="BP28" t="s">
        <v>74</v>
      </c>
      <c r="BQ28" t="s">
        <v>74</v>
      </c>
      <c r="BR28" t="s">
        <v>106</v>
      </c>
      <c r="BS28" t="s">
        <v>698</v>
      </c>
      <c r="BT28" t="str">
        <f>HYPERLINK("https%3A%2F%2Fwww.webofscience.com%2Fwos%2Fwoscc%2Ffull-record%2FWOS:000485562503067","View Full Record in Web of Science")</f>
        <v>View Full Record in Web of Science</v>
      </c>
    </row>
    <row r="29" spans="1:72" x14ac:dyDescent="0.25">
      <c r="A29" t="s">
        <v>108</v>
      </c>
      <c r="B29" t="s">
        <v>699</v>
      </c>
      <c r="C29" t="s">
        <v>74</v>
      </c>
      <c r="D29" t="s">
        <v>74</v>
      </c>
      <c r="E29" t="s">
        <v>322</v>
      </c>
      <c r="F29" t="s">
        <v>700</v>
      </c>
      <c r="G29" t="s">
        <v>74</v>
      </c>
      <c r="H29" t="s">
        <v>74</v>
      </c>
      <c r="I29" t="s">
        <v>701</v>
      </c>
      <c r="J29" t="s">
        <v>702</v>
      </c>
      <c r="K29" t="s">
        <v>74</v>
      </c>
      <c r="L29" t="s">
        <v>74</v>
      </c>
      <c r="M29" t="s">
        <v>78</v>
      </c>
      <c r="N29" t="s">
        <v>115</v>
      </c>
      <c r="O29" t="s">
        <v>703</v>
      </c>
      <c r="P29" t="s">
        <v>704</v>
      </c>
      <c r="Q29" t="s">
        <v>705</v>
      </c>
      <c r="R29" t="s">
        <v>706</v>
      </c>
      <c r="S29" t="s">
        <v>74</v>
      </c>
      <c r="T29" t="s">
        <v>707</v>
      </c>
      <c r="U29" t="s">
        <v>708</v>
      </c>
      <c r="V29" t="s">
        <v>709</v>
      </c>
      <c r="W29" t="s">
        <v>710</v>
      </c>
      <c r="X29" t="s">
        <v>711</v>
      </c>
      <c r="Y29" t="s">
        <v>712</v>
      </c>
      <c r="Z29" t="s">
        <v>713</v>
      </c>
      <c r="AA29" t="s">
        <v>74</v>
      </c>
      <c r="AB29" t="s">
        <v>714</v>
      </c>
      <c r="AC29" t="s">
        <v>715</v>
      </c>
      <c r="AD29" t="s">
        <v>716</v>
      </c>
      <c r="AE29" t="s">
        <v>717</v>
      </c>
      <c r="AF29" t="s">
        <v>74</v>
      </c>
      <c r="AG29">
        <v>22</v>
      </c>
      <c r="AH29">
        <v>4</v>
      </c>
      <c r="AI29">
        <v>4</v>
      </c>
      <c r="AJ29">
        <v>0</v>
      </c>
      <c r="AK29">
        <v>3</v>
      </c>
      <c r="AL29" t="s">
        <v>291</v>
      </c>
      <c r="AM29" t="s">
        <v>92</v>
      </c>
      <c r="AN29" t="s">
        <v>341</v>
      </c>
      <c r="AO29" t="s">
        <v>74</v>
      </c>
      <c r="AP29" t="s">
        <v>74</v>
      </c>
      <c r="AQ29" t="s">
        <v>718</v>
      </c>
      <c r="AR29" t="s">
        <v>74</v>
      </c>
      <c r="AS29" t="s">
        <v>74</v>
      </c>
      <c r="AT29" t="s">
        <v>74</v>
      </c>
      <c r="AU29">
        <v>2025</v>
      </c>
      <c r="AV29" t="s">
        <v>74</v>
      </c>
      <c r="AW29" t="s">
        <v>74</v>
      </c>
      <c r="AX29" t="s">
        <v>74</v>
      </c>
      <c r="AY29" t="s">
        <v>74</v>
      </c>
      <c r="AZ29" t="s">
        <v>74</v>
      </c>
      <c r="BA29" t="s">
        <v>74</v>
      </c>
      <c r="BB29">
        <v>144</v>
      </c>
      <c r="BC29">
        <v>153</v>
      </c>
      <c r="BD29" t="s">
        <v>74</v>
      </c>
      <c r="BE29" t="s">
        <v>719</v>
      </c>
      <c r="BF29" t="str">
        <f>HYPERLINK("http://dx.doi.org/10.1145/3716640.3716656","http://dx.doi.org/10.1145/3716640.3716656")</f>
        <v>http://dx.doi.org/10.1145/3716640.3716656</v>
      </c>
      <c r="BG29" t="s">
        <v>74</v>
      </c>
      <c r="BH29" t="s">
        <v>74</v>
      </c>
      <c r="BI29">
        <v>10</v>
      </c>
      <c r="BJ29" t="s">
        <v>344</v>
      </c>
      <c r="BK29" t="s">
        <v>138</v>
      </c>
      <c r="BL29" t="s">
        <v>139</v>
      </c>
      <c r="BM29" t="s">
        <v>720</v>
      </c>
      <c r="BN29" t="s">
        <v>74</v>
      </c>
      <c r="BO29" t="s">
        <v>372</v>
      </c>
      <c r="BP29" t="s">
        <v>74</v>
      </c>
      <c r="BQ29" t="s">
        <v>74</v>
      </c>
      <c r="BR29" t="s">
        <v>106</v>
      </c>
      <c r="BS29" t="s">
        <v>721</v>
      </c>
      <c r="BT29" t="str">
        <f>HYPERLINK("https%3A%2F%2Fwww.webofscience.com%2Fwos%2Fwoscc%2Ffull-record%2FWOS:001480949300016","View Full Record in Web of Science")</f>
        <v>View Full Record in Web of Science</v>
      </c>
    </row>
    <row r="30" spans="1:72" x14ac:dyDescent="0.25">
      <c r="A30" t="s">
        <v>72</v>
      </c>
      <c r="B30" t="s">
        <v>722</v>
      </c>
      <c r="C30" t="s">
        <v>74</v>
      </c>
      <c r="D30" t="s">
        <v>74</v>
      </c>
      <c r="E30" t="s">
        <v>74</v>
      </c>
      <c r="F30" t="s">
        <v>723</v>
      </c>
      <c r="G30" t="s">
        <v>74</v>
      </c>
      <c r="H30" t="s">
        <v>74</v>
      </c>
      <c r="I30" t="s">
        <v>724</v>
      </c>
      <c r="J30" t="s">
        <v>725</v>
      </c>
      <c r="K30" t="s">
        <v>74</v>
      </c>
      <c r="L30" t="s">
        <v>74</v>
      </c>
      <c r="M30" t="s">
        <v>78</v>
      </c>
      <c r="N30" t="s">
        <v>726</v>
      </c>
      <c r="O30" t="s">
        <v>74</v>
      </c>
      <c r="P30" t="s">
        <v>74</v>
      </c>
      <c r="Q30" t="s">
        <v>74</v>
      </c>
      <c r="R30" t="s">
        <v>74</v>
      </c>
      <c r="S30" t="s">
        <v>74</v>
      </c>
      <c r="T30" t="s">
        <v>727</v>
      </c>
      <c r="U30" t="s">
        <v>728</v>
      </c>
      <c r="V30" t="s">
        <v>729</v>
      </c>
      <c r="W30" t="s">
        <v>730</v>
      </c>
      <c r="X30" t="s">
        <v>731</v>
      </c>
      <c r="Y30" t="s">
        <v>732</v>
      </c>
      <c r="Z30" t="s">
        <v>733</v>
      </c>
      <c r="AA30" t="s">
        <v>734</v>
      </c>
      <c r="AB30" t="s">
        <v>735</v>
      </c>
      <c r="AC30" t="s">
        <v>74</v>
      </c>
      <c r="AD30" t="s">
        <v>74</v>
      </c>
      <c r="AE30" t="s">
        <v>74</v>
      </c>
      <c r="AF30" t="s">
        <v>74</v>
      </c>
      <c r="AG30">
        <v>108</v>
      </c>
      <c r="AH30">
        <v>122</v>
      </c>
      <c r="AI30">
        <v>145</v>
      </c>
      <c r="AJ30">
        <v>2</v>
      </c>
      <c r="AK30">
        <v>254</v>
      </c>
      <c r="AL30" t="s">
        <v>736</v>
      </c>
      <c r="AM30" t="s">
        <v>737</v>
      </c>
      <c r="AN30" t="s">
        <v>738</v>
      </c>
      <c r="AO30" t="s">
        <v>739</v>
      </c>
      <c r="AP30" t="s">
        <v>740</v>
      </c>
      <c r="AQ30" t="s">
        <v>74</v>
      </c>
      <c r="AR30" t="s">
        <v>741</v>
      </c>
      <c r="AS30" t="s">
        <v>742</v>
      </c>
      <c r="AT30" t="s">
        <v>98</v>
      </c>
      <c r="AU30">
        <v>2019</v>
      </c>
      <c r="AV30">
        <v>142</v>
      </c>
      <c r="AW30" t="s">
        <v>74</v>
      </c>
      <c r="AX30" t="s">
        <v>74</v>
      </c>
      <c r="AY30" t="s">
        <v>74</v>
      </c>
      <c r="AZ30" t="s">
        <v>74</v>
      </c>
      <c r="BA30" t="s">
        <v>74</v>
      </c>
      <c r="BB30" t="s">
        <v>74</v>
      </c>
      <c r="BC30" t="s">
        <v>74</v>
      </c>
      <c r="BD30">
        <v>103642</v>
      </c>
      <c r="BE30" t="s">
        <v>743</v>
      </c>
      <c r="BF30" t="str">
        <f>HYPERLINK("http://dx.doi.org/10.1016/j.compedu.2019.103642","http://dx.doi.org/10.1016/j.compedu.2019.103642")</f>
        <v>http://dx.doi.org/10.1016/j.compedu.2019.103642</v>
      </c>
      <c r="BG30" t="s">
        <v>74</v>
      </c>
      <c r="BH30" t="s">
        <v>74</v>
      </c>
      <c r="BI30">
        <v>18</v>
      </c>
      <c r="BJ30" t="s">
        <v>744</v>
      </c>
      <c r="BK30" t="s">
        <v>745</v>
      </c>
      <c r="BL30" t="s">
        <v>139</v>
      </c>
      <c r="BM30" t="s">
        <v>746</v>
      </c>
      <c r="BN30" t="s">
        <v>74</v>
      </c>
      <c r="BO30" t="s">
        <v>74</v>
      </c>
      <c r="BP30" t="s">
        <v>74</v>
      </c>
      <c r="BQ30" t="s">
        <v>74</v>
      </c>
      <c r="BR30" t="s">
        <v>106</v>
      </c>
      <c r="BS30" t="s">
        <v>747</v>
      </c>
      <c r="BT30" t="str">
        <f>HYPERLINK("https%3A%2F%2Fwww.webofscience.com%2Fwos%2Fwoscc%2Ffull-record%2FWOS:000487568200006","View Full Record in Web of Science")</f>
        <v>View Full Record in Web of Science</v>
      </c>
    </row>
    <row r="31" spans="1:72" x14ac:dyDescent="0.25">
      <c r="A31" t="s">
        <v>108</v>
      </c>
      <c r="B31" t="s">
        <v>748</v>
      </c>
      <c r="C31" t="s">
        <v>74</v>
      </c>
      <c r="D31" t="s">
        <v>74</v>
      </c>
      <c r="E31" t="s">
        <v>322</v>
      </c>
      <c r="F31" t="s">
        <v>749</v>
      </c>
      <c r="G31" t="s">
        <v>74</v>
      </c>
      <c r="H31" t="s">
        <v>74</v>
      </c>
      <c r="I31" t="s">
        <v>750</v>
      </c>
      <c r="J31" t="s">
        <v>751</v>
      </c>
      <c r="K31" t="s">
        <v>74</v>
      </c>
      <c r="L31" t="s">
        <v>74</v>
      </c>
      <c r="M31" t="s">
        <v>78</v>
      </c>
      <c r="N31" t="s">
        <v>115</v>
      </c>
      <c r="O31" t="s">
        <v>752</v>
      </c>
      <c r="P31" t="s">
        <v>753</v>
      </c>
      <c r="Q31" t="s">
        <v>754</v>
      </c>
      <c r="R31" t="s">
        <v>755</v>
      </c>
      <c r="S31" t="s">
        <v>74</v>
      </c>
      <c r="T31" t="s">
        <v>756</v>
      </c>
      <c r="U31" t="s">
        <v>757</v>
      </c>
      <c r="V31" t="s">
        <v>758</v>
      </c>
      <c r="W31" t="s">
        <v>759</v>
      </c>
      <c r="X31" t="s">
        <v>760</v>
      </c>
      <c r="Y31" t="s">
        <v>761</v>
      </c>
      <c r="Z31" t="s">
        <v>762</v>
      </c>
      <c r="AA31" t="s">
        <v>74</v>
      </c>
      <c r="AB31" t="s">
        <v>763</v>
      </c>
      <c r="AC31" t="s">
        <v>764</v>
      </c>
      <c r="AD31" t="s">
        <v>765</v>
      </c>
      <c r="AE31" t="s">
        <v>766</v>
      </c>
      <c r="AF31" t="s">
        <v>74</v>
      </c>
      <c r="AG31">
        <v>63</v>
      </c>
      <c r="AH31">
        <v>36</v>
      </c>
      <c r="AI31">
        <v>41</v>
      </c>
      <c r="AJ31">
        <v>18</v>
      </c>
      <c r="AK31">
        <v>67</v>
      </c>
      <c r="AL31" t="s">
        <v>291</v>
      </c>
      <c r="AM31" t="s">
        <v>92</v>
      </c>
      <c r="AN31" t="s">
        <v>341</v>
      </c>
      <c r="AO31" t="s">
        <v>74</v>
      </c>
      <c r="AP31" t="s">
        <v>74</v>
      </c>
      <c r="AQ31" t="s">
        <v>767</v>
      </c>
      <c r="AR31" t="s">
        <v>74</v>
      </c>
      <c r="AS31" t="s">
        <v>74</v>
      </c>
      <c r="AT31" t="s">
        <v>74</v>
      </c>
      <c r="AU31">
        <v>2024</v>
      </c>
      <c r="AV31" t="s">
        <v>74</v>
      </c>
      <c r="AW31" t="s">
        <v>74</v>
      </c>
      <c r="AX31" t="s">
        <v>74</v>
      </c>
      <c r="AY31" t="s">
        <v>74</v>
      </c>
      <c r="AZ31" t="s">
        <v>74</v>
      </c>
      <c r="BA31" t="s">
        <v>74</v>
      </c>
      <c r="BB31" t="s">
        <v>74</v>
      </c>
      <c r="BC31" t="s">
        <v>74</v>
      </c>
      <c r="BD31" t="s">
        <v>74</v>
      </c>
      <c r="BE31" t="s">
        <v>768</v>
      </c>
      <c r="BF31" t="str">
        <f>HYPERLINK("http://dx.doi.org/10.1145/3613904.3642393","http://dx.doi.org/10.1145/3613904.3642393")</f>
        <v>http://dx.doi.org/10.1145/3613904.3642393</v>
      </c>
      <c r="BG31" t="s">
        <v>74</v>
      </c>
      <c r="BH31" t="s">
        <v>74</v>
      </c>
      <c r="BI31">
        <v>15</v>
      </c>
      <c r="BJ31" t="s">
        <v>461</v>
      </c>
      <c r="BK31" t="s">
        <v>203</v>
      </c>
      <c r="BL31" t="s">
        <v>103</v>
      </c>
      <c r="BM31" t="s">
        <v>769</v>
      </c>
      <c r="BN31" t="s">
        <v>74</v>
      </c>
      <c r="BO31" t="s">
        <v>398</v>
      </c>
      <c r="BP31" t="s">
        <v>74</v>
      </c>
      <c r="BQ31" t="s">
        <v>74</v>
      </c>
      <c r="BR31" t="s">
        <v>106</v>
      </c>
      <c r="BS31" t="s">
        <v>770</v>
      </c>
      <c r="BT31" t="str">
        <f>HYPERLINK("https%3A%2F%2Fwww.webofscience.com%2Fwos%2Fwoscc%2Ffull-record%2FWOS:001255317909010","View Full Record in Web of Science")</f>
        <v>View Full Record in Web of Science</v>
      </c>
    </row>
    <row r="32" spans="1:72" x14ac:dyDescent="0.25">
      <c r="A32" t="s">
        <v>108</v>
      </c>
      <c r="B32" t="s">
        <v>771</v>
      </c>
      <c r="C32" t="s">
        <v>74</v>
      </c>
      <c r="D32" t="s">
        <v>74</v>
      </c>
      <c r="E32" t="s">
        <v>322</v>
      </c>
      <c r="F32" t="s">
        <v>772</v>
      </c>
      <c r="G32" t="s">
        <v>74</v>
      </c>
      <c r="H32" t="s">
        <v>74</v>
      </c>
      <c r="I32" t="s">
        <v>773</v>
      </c>
      <c r="J32" t="s">
        <v>403</v>
      </c>
      <c r="K32" t="s">
        <v>74</v>
      </c>
      <c r="L32" t="s">
        <v>74</v>
      </c>
      <c r="M32" t="s">
        <v>78</v>
      </c>
      <c r="N32" t="s">
        <v>115</v>
      </c>
      <c r="O32" t="s">
        <v>404</v>
      </c>
      <c r="P32" t="s">
        <v>405</v>
      </c>
      <c r="Q32" t="s">
        <v>118</v>
      </c>
      <c r="R32" t="s">
        <v>406</v>
      </c>
      <c r="S32" t="s">
        <v>74</v>
      </c>
      <c r="T32" t="s">
        <v>774</v>
      </c>
      <c r="U32" t="s">
        <v>74</v>
      </c>
      <c r="V32" t="s">
        <v>775</v>
      </c>
      <c r="W32" t="s">
        <v>776</v>
      </c>
      <c r="X32" t="s">
        <v>777</v>
      </c>
      <c r="Y32" t="s">
        <v>778</v>
      </c>
      <c r="Z32" t="s">
        <v>779</v>
      </c>
      <c r="AA32" t="s">
        <v>780</v>
      </c>
      <c r="AB32" t="s">
        <v>74</v>
      </c>
      <c r="AC32" t="s">
        <v>781</v>
      </c>
      <c r="AD32" t="s">
        <v>266</v>
      </c>
      <c r="AE32" t="s">
        <v>782</v>
      </c>
      <c r="AF32" t="s">
        <v>74</v>
      </c>
      <c r="AG32">
        <v>12</v>
      </c>
      <c r="AH32">
        <v>0</v>
      </c>
      <c r="AI32">
        <v>0</v>
      </c>
      <c r="AJ32">
        <v>1</v>
      </c>
      <c r="AK32">
        <v>1</v>
      </c>
      <c r="AL32" t="s">
        <v>291</v>
      </c>
      <c r="AM32" t="s">
        <v>92</v>
      </c>
      <c r="AN32" t="s">
        <v>341</v>
      </c>
      <c r="AO32" t="s">
        <v>74</v>
      </c>
      <c r="AP32" t="s">
        <v>74</v>
      </c>
      <c r="AQ32" t="s">
        <v>412</v>
      </c>
      <c r="AR32" t="s">
        <v>74</v>
      </c>
      <c r="AS32" t="s">
        <v>74</v>
      </c>
      <c r="AT32" t="s">
        <v>74</v>
      </c>
      <c r="AU32">
        <v>2025</v>
      </c>
      <c r="AV32" t="s">
        <v>74</v>
      </c>
      <c r="AW32" t="s">
        <v>74</v>
      </c>
      <c r="AX32" t="s">
        <v>74</v>
      </c>
      <c r="AY32" t="s">
        <v>74</v>
      </c>
      <c r="AZ32" t="s">
        <v>74</v>
      </c>
      <c r="BA32" t="s">
        <v>74</v>
      </c>
      <c r="BB32">
        <v>261</v>
      </c>
      <c r="BC32">
        <v>265</v>
      </c>
      <c r="BD32" t="s">
        <v>74</v>
      </c>
      <c r="BE32" t="s">
        <v>783</v>
      </c>
      <c r="BF32" t="str">
        <f>HYPERLINK("http://dx.doi.org/10.1145/3698205.3733936","http://dx.doi.org/10.1145/3698205.3733936")</f>
        <v>http://dx.doi.org/10.1145/3698205.3733936</v>
      </c>
      <c r="BG32" t="s">
        <v>74</v>
      </c>
      <c r="BH32" t="s">
        <v>74</v>
      </c>
      <c r="BI32">
        <v>5</v>
      </c>
      <c r="BJ32" t="s">
        <v>414</v>
      </c>
      <c r="BK32" t="s">
        <v>138</v>
      </c>
      <c r="BL32" t="s">
        <v>139</v>
      </c>
      <c r="BM32" t="s">
        <v>415</v>
      </c>
      <c r="BN32" t="s">
        <v>74</v>
      </c>
      <c r="BO32" t="s">
        <v>74</v>
      </c>
      <c r="BP32" t="s">
        <v>74</v>
      </c>
      <c r="BQ32" t="s">
        <v>74</v>
      </c>
      <c r="BR32" t="s">
        <v>106</v>
      </c>
      <c r="BS32" t="s">
        <v>784</v>
      </c>
      <c r="BT32" t="str">
        <f>HYPERLINK("https%3A%2F%2Fwww.webofscience.com%2Fwos%2Fwoscc%2Ffull-record%2FWOS:001594400600033","View Full Record in Web of Science")</f>
        <v>View Full Record in Web of Science</v>
      </c>
    </row>
    <row r="33" spans="1:72" x14ac:dyDescent="0.25">
      <c r="A33" t="s">
        <v>108</v>
      </c>
      <c r="B33" t="s">
        <v>785</v>
      </c>
      <c r="C33" t="s">
        <v>74</v>
      </c>
      <c r="D33" t="s">
        <v>786</v>
      </c>
      <c r="E33" t="s">
        <v>74</v>
      </c>
      <c r="F33" t="s">
        <v>787</v>
      </c>
      <c r="G33" t="s">
        <v>74</v>
      </c>
      <c r="H33" t="s">
        <v>74</v>
      </c>
      <c r="I33" t="s">
        <v>788</v>
      </c>
      <c r="J33" t="s">
        <v>789</v>
      </c>
      <c r="K33" t="s">
        <v>790</v>
      </c>
      <c r="L33" t="s">
        <v>74</v>
      </c>
      <c r="M33" t="s">
        <v>78</v>
      </c>
      <c r="N33" t="s">
        <v>115</v>
      </c>
      <c r="O33" t="s">
        <v>791</v>
      </c>
      <c r="P33" t="s">
        <v>792</v>
      </c>
      <c r="Q33" t="s">
        <v>793</v>
      </c>
      <c r="R33" t="s">
        <v>794</v>
      </c>
      <c r="S33" t="s">
        <v>74</v>
      </c>
      <c r="T33" t="s">
        <v>795</v>
      </c>
      <c r="U33" t="s">
        <v>74</v>
      </c>
      <c r="V33" t="s">
        <v>796</v>
      </c>
      <c r="W33" t="s">
        <v>797</v>
      </c>
      <c r="X33" t="s">
        <v>798</v>
      </c>
      <c r="Y33" t="s">
        <v>799</v>
      </c>
      <c r="Z33" t="s">
        <v>800</v>
      </c>
      <c r="AA33" t="s">
        <v>801</v>
      </c>
      <c r="AB33" t="s">
        <v>802</v>
      </c>
      <c r="AC33" t="s">
        <v>74</v>
      </c>
      <c r="AD33" t="s">
        <v>74</v>
      </c>
      <c r="AE33" t="s">
        <v>74</v>
      </c>
      <c r="AF33" t="s">
        <v>74</v>
      </c>
      <c r="AG33">
        <v>10</v>
      </c>
      <c r="AH33">
        <v>4</v>
      </c>
      <c r="AI33">
        <v>4</v>
      </c>
      <c r="AJ33">
        <v>0</v>
      </c>
      <c r="AK33">
        <v>3</v>
      </c>
      <c r="AL33" t="s">
        <v>197</v>
      </c>
      <c r="AM33" t="s">
        <v>198</v>
      </c>
      <c r="AN33" t="s">
        <v>199</v>
      </c>
      <c r="AO33" t="s">
        <v>803</v>
      </c>
      <c r="AP33" t="s">
        <v>74</v>
      </c>
      <c r="AQ33" t="s">
        <v>804</v>
      </c>
      <c r="AR33" t="s">
        <v>805</v>
      </c>
      <c r="AS33" t="s">
        <v>74</v>
      </c>
      <c r="AT33" t="s">
        <v>74</v>
      </c>
      <c r="AU33">
        <v>2015</v>
      </c>
      <c r="AV33">
        <v>372</v>
      </c>
      <c r="AW33" t="s">
        <v>74</v>
      </c>
      <c r="AX33" t="s">
        <v>74</v>
      </c>
      <c r="AY33" t="s">
        <v>74</v>
      </c>
      <c r="AZ33" t="s">
        <v>74</v>
      </c>
      <c r="BA33" t="s">
        <v>74</v>
      </c>
      <c r="BB33">
        <v>159</v>
      </c>
      <c r="BC33">
        <v>166</v>
      </c>
      <c r="BD33" t="s">
        <v>74</v>
      </c>
      <c r="BE33" t="s">
        <v>806</v>
      </c>
      <c r="BF33" t="str">
        <f>HYPERLINK("http://dx.doi.org/10.1007/978-3-319-19629-9_18","http://dx.doi.org/10.1007/978-3-319-19629-9_18")</f>
        <v>http://dx.doi.org/10.1007/978-3-319-19629-9_18</v>
      </c>
      <c r="BG33" t="s">
        <v>74</v>
      </c>
      <c r="BH33" t="s">
        <v>74</v>
      </c>
      <c r="BI33">
        <v>8</v>
      </c>
      <c r="BJ33" t="s">
        <v>807</v>
      </c>
      <c r="BK33" t="s">
        <v>203</v>
      </c>
      <c r="BL33" t="s">
        <v>103</v>
      </c>
      <c r="BM33" t="s">
        <v>808</v>
      </c>
      <c r="BN33" t="s">
        <v>74</v>
      </c>
      <c r="BO33" t="s">
        <v>74</v>
      </c>
      <c r="BP33" t="s">
        <v>74</v>
      </c>
      <c r="BQ33" t="s">
        <v>74</v>
      </c>
      <c r="BR33" t="s">
        <v>106</v>
      </c>
      <c r="BS33" t="s">
        <v>809</v>
      </c>
      <c r="BT33" t="str">
        <f>HYPERLINK("https%3A%2F%2Fwww.webofscience.com%2Fwos%2Fwoscc%2Ffull-record%2FWOS:000380446400018","View Full Record in Web of Science")</f>
        <v>View Full Record in Web of Science</v>
      </c>
    </row>
    <row r="34" spans="1:72" x14ac:dyDescent="0.25">
      <c r="A34" t="s">
        <v>108</v>
      </c>
      <c r="B34" t="s">
        <v>810</v>
      </c>
      <c r="C34" t="s">
        <v>74</v>
      </c>
      <c r="D34" t="s">
        <v>811</v>
      </c>
      <c r="E34" t="s">
        <v>74</v>
      </c>
      <c r="F34" t="s">
        <v>812</v>
      </c>
      <c r="G34" t="s">
        <v>74</v>
      </c>
      <c r="H34" t="s">
        <v>74</v>
      </c>
      <c r="I34" t="s">
        <v>813</v>
      </c>
      <c r="J34" t="s">
        <v>814</v>
      </c>
      <c r="K34" t="s">
        <v>74</v>
      </c>
      <c r="L34" t="s">
        <v>74</v>
      </c>
      <c r="M34" t="s">
        <v>78</v>
      </c>
      <c r="N34" t="s">
        <v>115</v>
      </c>
      <c r="O34" t="s">
        <v>815</v>
      </c>
      <c r="P34" t="s">
        <v>816</v>
      </c>
      <c r="Q34" t="s">
        <v>817</v>
      </c>
      <c r="R34" t="s">
        <v>74</v>
      </c>
      <c r="S34" t="s">
        <v>74</v>
      </c>
      <c r="T34" t="s">
        <v>74</v>
      </c>
      <c r="U34" t="s">
        <v>818</v>
      </c>
      <c r="V34" t="s">
        <v>819</v>
      </c>
      <c r="W34" t="s">
        <v>820</v>
      </c>
      <c r="X34" t="s">
        <v>821</v>
      </c>
      <c r="Y34" t="s">
        <v>822</v>
      </c>
      <c r="Z34" t="s">
        <v>823</v>
      </c>
      <c r="AA34" t="s">
        <v>824</v>
      </c>
      <c r="AB34" t="s">
        <v>74</v>
      </c>
      <c r="AC34" t="s">
        <v>825</v>
      </c>
      <c r="AD34" t="s">
        <v>826</v>
      </c>
      <c r="AE34" t="s">
        <v>827</v>
      </c>
      <c r="AF34" t="s">
        <v>74</v>
      </c>
      <c r="AG34">
        <v>57</v>
      </c>
      <c r="AH34">
        <v>0</v>
      </c>
      <c r="AI34">
        <v>0</v>
      </c>
      <c r="AJ34">
        <v>0</v>
      </c>
      <c r="AK34">
        <v>0</v>
      </c>
      <c r="AL34" t="s">
        <v>828</v>
      </c>
      <c r="AM34" t="s">
        <v>829</v>
      </c>
      <c r="AN34" t="s">
        <v>830</v>
      </c>
      <c r="AO34" t="s">
        <v>74</v>
      </c>
      <c r="AP34" t="s">
        <v>74</v>
      </c>
      <c r="AQ34" t="s">
        <v>831</v>
      </c>
      <c r="AR34" t="s">
        <v>74</v>
      </c>
      <c r="AS34" t="s">
        <v>74</v>
      </c>
      <c r="AT34" t="s">
        <v>74</v>
      </c>
      <c r="AU34">
        <v>2025</v>
      </c>
      <c r="AV34" t="s">
        <v>74</v>
      </c>
      <c r="AW34" t="s">
        <v>74</v>
      </c>
      <c r="AX34" t="s">
        <v>74</v>
      </c>
      <c r="AY34" t="s">
        <v>74</v>
      </c>
      <c r="AZ34" t="s">
        <v>74</v>
      </c>
      <c r="BA34" t="s">
        <v>74</v>
      </c>
      <c r="BB34">
        <v>21830</v>
      </c>
      <c r="BC34">
        <v>21845</v>
      </c>
      <c r="BD34" t="s">
        <v>74</v>
      </c>
      <c r="BE34" t="s">
        <v>74</v>
      </c>
      <c r="BF34" t="s">
        <v>74</v>
      </c>
      <c r="BG34" t="s">
        <v>74</v>
      </c>
      <c r="BH34" t="s">
        <v>74</v>
      </c>
      <c r="BI34">
        <v>16</v>
      </c>
      <c r="BJ34" t="s">
        <v>832</v>
      </c>
      <c r="BK34" t="s">
        <v>138</v>
      </c>
      <c r="BL34" t="s">
        <v>833</v>
      </c>
      <c r="BM34" t="s">
        <v>834</v>
      </c>
      <c r="BN34" t="s">
        <v>74</v>
      </c>
      <c r="BO34" t="s">
        <v>74</v>
      </c>
      <c r="BP34" t="s">
        <v>74</v>
      </c>
      <c r="BQ34" t="s">
        <v>74</v>
      </c>
      <c r="BR34" t="s">
        <v>106</v>
      </c>
      <c r="BS34" t="s">
        <v>835</v>
      </c>
      <c r="BT34" t="str">
        <f>HYPERLINK("https%3A%2F%2Fwww.webofscience.com%2Fwos%2Fwoscc%2Ffull-record%2FWOS:001811102600254","View Full Record in Web of Science")</f>
        <v>View Full Record in Web of Science</v>
      </c>
    </row>
    <row r="35" spans="1:72" x14ac:dyDescent="0.25">
      <c r="A35" t="s">
        <v>72</v>
      </c>
      <c r="B35" t="s">
        <v>836</v>
      </c>
      <c r="C35" t="s">
        <v>74</v>
      </c>
      <c r="D35" t="s">
        <v>74</v>
      </c>
      <c r="E35" t="s">
        <v>74</v>
      </c>
      <c r="F35" t="s">
        <v>837</v>
      </c>
      <c r="G35" t="s">
        <v>74</v>
      </c>
      <c r="H35" t="s">
        <v>74</v>
      </c>
      <c r="I35" t="s">
        <v>838</v>
      </c>
      <c r="J35" t="s">
        <v>839</v>
      </c>
      <c r="K35" t="s">
        <v>74</v>
      </c>
      <c r="L35" t="s">
        <v>74</v>
      </c>
      <c r="M35" t="s">
        <v>78</v>
      </c>
      <c r="N35" t="s">
        <v>79</v>
      </c>
      <c r="O35" t="s">
        <v>74</v>
      </c>
      <c r="P35" t="s">
        <v>74</v>
      </c>
      <c r="Q35" t="s">
        <v>74</v>
      </c>
      <c r="R35" t="s">
        <v>74</v>
      </c>
      <c r="S35" t="s">
        <v>74</v>
      </c>
      <c r="T35" t="s">
        <v>840</v>
      </c>
      <c r="U35" t="s">
        <v>74</v>
      </c>
      <c r="V35" t="s">
        <v>841</v>
      </c>
      <c r="W35" t="s">
        <v>842</v>
      </c>
      <c r="X35" t="s">
        <v>843</v>
      </c>
      <c r="Y35" t="s">
        <v>844</v>
      </c>
      <c r="Z35" t="s">
        <v>845</v>
      </c>
      <c r="AA35" t="s">
        <v>74</v>
      </c>
      <c r="AB35" t="s">
        <v>846</v>
      </c>
      <c r="AC35" t="s">
        <v>74</v>
      </c>
      <c r="AD35" t="s">
        <v>74</v>
      </c>
      <c r="AE35" t="s">
        <v>74</v>
      </c>
      <c r="AF35" t="s">
        <v>74</v>
      </c>
      <c r="AG35">
        <v>21</v>
      </c>
      <c r="AH35">
        <v>6</v>
      </c>
      <c r="AI35">
        <v>9</v>
      </c>
      <c r="AJ35">
        <v>0</v>
      </c>
      <c r="AK35">
        <v>1</v>
      </c>
      <c r="AL35" t="s">
        <v>291</v>
      </c>
      <c r="AM35" t="s">
        <v>92</v>
      </c>
      <c r="AN35" t="s">
        <v>847</v>
      </c>
      <c r="AO35" t="s">
        <v>848</v>
      </c>
      <c r="AP35" t="s">
        <v>74</v>
      </c>
      <c r="AQ35" t="s">
        <v>74</v>
      </c>
      <c r="AR35" t="s">
        <v>849</v>
      </c>
      <c r="AS35" t="s">
        <v>850</v>
      </c>
      <c r="AT35" t="s">
        <v>509</v>
      </c>
      <c r="AU35">
        <v>2016</v>
      </c>
      <c r="AV35">
        <v>16</v>
      </c>
      <c r="AW35">
        <v>3</v>
      </c>
      <c r="AX35" t="s">
        <v>74</v>
      </c>
      <c r="AY35" t="s">
        <v>74</v>
      </c>
      <c r="AZ35" t="s">
        <v>74</v>
      </c>
      <c r="BA35" t="s">
        <v>74</v>
      </c>
      <c r="BB35">
        <v>5</v>
      </c>
      <c r="BC35">
        <v>14</v>
      </c>
      <c r="BD35" t="s">
        <v>74</v>
      </c>
      <c r="BE35" t="s">
        <v>851</v>
      </c>
      <c r="BF35" t="str">
        <f>HYPERLINK("http://dx.doi.org/10.1145/3015297.3015298","http://dx.doi.org/10.1145/3015297.3015298")</f>
        <v>http://dx.doi.org/10.1145/3015297.3015298</v>
      </c>
      <c r="BG35" t="s">
        <v>74</v>
      </c>
      <c r="BH35" t="s">
        <v>74</v>
      </c>
      <c r="BI35">
        <v>10</v>
      </c>
      <c r="BJ35" t="s">
        <v>852</v>
      </c>
      <c r="BK35" t="s">
        <v>102</v>
      </c>
      <c r="BL35" t="s">
        <v>103</v>
      </c>
      <c r="BM35" t="s">
        <v>853</v>
      </c>
      <c r="BN35" t="s">
        <v>74</v>
      </c>
      <c r="BO35" t="s">
        <v>74</v>
      </c>
      <c r="BP35" t="s">
        <v>74</v>
      </c>
      <c r="BQ35" t="s">
        <v>74</v>
      </c>
      <c r="BR35" t="s">
        <v>106</v>
      </c>
      <c r="BS35" t="s">
        <v>854</v>
      </c>
      <c r="BT35" t="str">
        <f>HYPERLINK("https%3A%2F%2Fwww.webofscience.com%2Fwos%2Fwoscc%2Ffull-record%2FWOS:000388490400001","View Full Record in Web of Science")</f>
        <v>View Full Record in Web of Science</v>
      </c>
    </row>
    <row r="36" spans="1:72" x14ac:dyDescent="0.25">
      <c r="A36" t="s">
        <v>108</v>
      </c>
      <c r="B36" t="s">
        <v>855</v>
      </c>
      <c r="C36" t="s">
        <v>74</v>
      </c>
      <c r="D36" t="s">
        <v>856</v>
      </c>
      <c r="E36" t="s">
        <v>74</v>
      </c>
      <c r="F36" t="s">
        <v>857</v>
      </c>
      <c r="G36" t="s">
        <v>74</v>
      </c>
      <c r="H36" t="s">
        <v>74</v>
      </c>
      <c r="I36" t="s">
        <v>858</v>
      </c>
      <c r="J36" t="s">
        <v>859</v>
      </c>
      <c r="K36" t="s">
        <v>147</v>
      </c>
      <c r="L36" t="s">
        <v>74</v>
      </c>
      <c r="M36" t="s">
        <v>78</v>
      </c>
      <c r="N36" t="s">
        <v>115</v>
      </c>
      <c r="O36" t="s">
        <v>860</v>
      </c>
      <c r="P36" t="s">
        <v>861</v>
      </c>
      <c r="Q36" t="s">
        <v>862</v>
      </c>
      <c r="R36" t="s">
        <v>74</v>
      </c>
      <c r="S36" t="s">
        <v>74</v>
      </c>
      <c r="T36" t="s">
        <v>863</v>
      </c>
      <c r="U36" t="s">
        <v>74</v>
      </c>
      <c r="V36" t="s">
        <v>864</v>
      </c>
      <c r="W36" t="s">
        <v>865</v>
      </c>
      <c r="X36" t="s">
        <v>866</v>
      </c>
      <c r="Y36" t="s">
        <v>867</v>
      </c>
      <c r="Z36" t="s">
        <v>868</v>
      </c>
      <c r="AA36" t="s">
        <v>74</v>
      </c>
      <c r="AB36" t="s">
        <v>869</v>
      </c>
      <c r="AC36" t="s">
        <v>870</v>
      </c>
      <c r="AD36" t="s">
        <v>871</v>
      </c>
      <c r="AE36" t="s">
        <v>872</v>
      </c>
      <c r="AF36" t="s">
        <v>74</v>
      </c>
      <c r="AG36">
        <v>22</v>
      </c>
      <c r="AH36">
        <v>1</v>
      </c>
      <c r="AI36">
        <v>1</v>
      </c>
      <c r="AJ36">
        <v>0</v>
      </c>
      <c r="AK36">
        <v>1</v>
      </c>
      <c r="AL36" t="s">
        <v>129</v>
      </c>
      <c r="AM36" t="s">
        <v>130</v>
      </c>
      <c r="AN36" t="s">
        <v>131</v>
      </c>
      <c r="AO36" t="s">
        <v>159</v>
      </c>
      <c r="AP36" t="s">
        <v>133</v>
      </c>
      <c r="AQ36" t="s">
        <v>873</v>
      </c>
      <c r="AR36" t="s">
        <v>161</v>
      </c>
      <c r="AS36" t="s">
        <v>74</v>
      </c>
      <c r="AT36" t="s">
        <v>74</v>
      </c>
      <c r="AU36">
        <v>2018</v>
      </c>
      <c r="AV36">
        <v>11258</v>
      </c>
      <c r="AW36" t="s">
        <v>74</v>
      </c>
      <c r="AX36" t="s">
        <v>74</v>
      </c>
      <c r="AY36" t="s">
        <v>74</v>
      </c>
      <c r="AZ36" t="s">
        <v>74</v>
      </c>
      <c r="BA36" t="s">
        <v>74</v>
      </c>
      <c r="BB36">
        <v>363</v>
      </c>
      <c r="BC36">
        <v>374</v>
      </c>
      <c r="BD36" t="s">
        <v>74</v>
      </c>
      <c r="BE36" t="s">
        <v>874</v>
      </c>
      <c r="BF36" t="str">
        <f>HYPERLINK("http://dx.doi.org/10.1007/978-3-030-03338-5_31","http://dx.doi.org/10.1007/978-3-030-03338-5_31")</f>
        <v>http://dx.doi.org/10.1007/978-3-030-03338-5_31</v>
      </c>
      <c r="BG36" t="s">
        <v>74</v>
      </c>
      <c r="BH36" t="s">
        <v>74</v>
      </c>
      <c r="BI36">
        <v>12</v>
      </c>
      <c r="BJ36" t="s">
        <v>875</v>
      </c>
      <c r="BK36" t="s">
        <v>203</v>
      </c>
      <c r="BL36" t="s">
        <v>876</v>
      </c>
      <c r="BM36" t="s">
        <v>877</v>
      </c>
      <c r="BN36" t="s">
        <v>74</v>
      </c>
      <c r="BO36" t="s">
        <v>74</v>
      </c>
      <c r="BP36" t="s">
        <v>74</v>
      </c>
      <c r="BQ36" t="s">
        <v>74</v>
      </c>
      <c r="BR36" t="s">
        <v>106</v>
      </c>
      <c r="BS36" t="s">
        <v>878</v>
      </c>
      <c r="BT36" t="str">
        <f>HYPERLINK("https%3A%2F%2Fwww.webofscience.com%2Fwos%2Fwoscc%2Ffull-record%2FWOS:000846890200031","View Full Record in Web of Science")</f>
        <v>View Full Record in Web of Science</v>
      </c>
    </row>
    <row r="37" spans="1:72" x14ac:dyDescent="0.25">
      <c r="A37" t="s">
        <v>72</v>
      </c>
      <c r="B37" t="s">
        <v>879</v>
      </c>
      <c r="C37" t="s">
        <v>74</v>
      </c>
      <c r="D37" t="s">
        <v>74</v>
      </c>
      <c r="E37" t="s">
        <v>74</v>
      </c>
      <c r="F37" t="s">
        <v>880</v>
      </c>
      <c r="G37" t="s">
        <v>74</v>
      </c>
      <c r="H37" t="s">
        <v>74</v>
      </c>
      <c r="I37" t="s">
        <v>881</v>
      </c>
      <c r="J37" t="s">
        <v>882</v>
      </c>
      <c r="K37" t="s">
        <v>74</v>
      </c>
      <c r="L37" t="s">
        <v>74</v>
      </c>
      <c r="M37" t="s">
        <v>78</v>
      </c>
      <c r="N37" t="s">
        <v>79</v>
      </c>
      <c r="O37" t="s">
        <v>74</v>
      </c>
      <c r="P37" t="s">
        <v>74</v>
      </c>
      <c r="Q37" t="s">
        <v>74</v>
      </c>
      <c r="R37" t="s">
        <v>74</v>
      </c>
      <c r="S37" t="s">
        <v>74</v>
      </c>
      <c r="T37" t="s">
        <v>883</v>
      </c>
      <c r="U37" t="s">
        <v>884</v>
      </c>
      <c r="V37" t="s">
        <v>885</v>
      </c>
      <c r="W37" t="s">
        <v>886</v>
      </c>
      <c r="X37" t="s">
        <v>887</v>
      </c>
      <c r="Y37" t="s">
        <v>888</v>
      </c>
      <c r="Z37" t="s">
        <v>889</v>
      </c>
      <c r="AA37" t="s">
        <v>890</v>
      </c>
      <c r="AB37" t="s">
        <v>891</v>
      </c>
      <c r="AC37" t="s">
        <v>892</v>
      </c>
      <c r="AD37" t="s">
        <v>893</v>
      </c>
      <c r="AE37" t="s">
        <v>894</v>
      </c>
      <c r="AF37" t="s">
        <v>74</v>
      </c>
      <c r="AG37">
        <v>63</v>
      </c>
      <c r="AH37">
        <v>0</v>
      </c>
      <c r="AI37">
        <v>0</v>
      </c>
      <c r="AJ37">
        <v>0</v>
      </c>
      <c r="AK37">
        <v>3</v>
      </c>
      <c r="AL37" t="s">
        <v>895</v>
      </c>
      <c r="AM37" t="s">
        <v>896</v>
      </c>
      <c r="AN37" t="s">
        <v>897</v>
      </c>
      <c r="AO37" t="s">
        <v>898</v>
      </c>
      <c r="AP37" t="s">
        <v>74</v>
      </c>
      <c r="AQ37" t="s">
        <v>74</v>
      </c>
      <c r="AR37" t="s">
        <v>882</v>
      </c>
      <c r="AS37" t="s">
        <v>899</v>
      </c>
      <c r="AT37" t="s">
        <v>74</v>
      </c>
      <c r="AU37">
        <v>2025</v>
      </c>
      <c r="AV37">
        <v>13</v>
      </c>
      <c r="AW37" t="s">
        <v>74</v>
      </c>
      <c r="AX37" t="s">
        <v>74</v>
      </c>
      <c r="AY37" t="s">
        <v>74</v>
      </c>
      <c r="AZ37" t="s">
        <v>74</v>
      </c>
      <c r="BA37" t="s">
        <v>74</v>
      </c>
      <c r="BB37">
        <v>207348</v>
      </c>
      <c r="BC37">
        <v>207366</v>
      </c>
      <c r="BD37" t="s">
        <v>74</v>
      </c>
      <c r="BE37" t="s">
        <v>900</v>
      </c>
      <c r="BF37" t="str">
        <f>HYPERLINK("http://dx.doi.org/10.1109/ACCESS.2025.3637590","http://dx.doi.org/10.1109/ACCESS.2025.3637590")</f>
        <v>http://dx.doi.org/10.1109/ACCESS.2025.3637590</v>
      </c>
      <c r="BG37" t="s">
        <v>74</v>
      </c>
      <c r="BH37" t="s">
        <v>74</v>
      </c>
      <c r="BI37">
        <v>19</v>
      </c>
      <c r="BJ37" t="s">
        <v>901</v>
      </c>
      <c r="BK37" t="s">
        <v>902</v>
      </c>
      <c r="BL37" t="s">
        <v>903</v>
      </c>
      <c r="BM37" t="s">
        <v>904</v>
      </c>
      <c r="BN37" t="s">
        <v>74</v>
      </c>
      <c r="BO37" t="s">
        <v>372</v>
      </c>
      <c r="BP37" t="s">
        <v>74</v>
      </c>
      <c r="BQ37" t="s">
        <v>74</v>
      </c>
      <c r="BR37" t="s">
        <v>106</v>
      </c>
      <c r="BS37" t="s">
        <v>905</v>
      </c>
      <c r="BT37" t="str">
        <f>HYPERLINK("https%3A%2F%2Fwww.webofscience.com%2Fwos%2Fwoscc%2Ffull-record%2FWOS:001641511700024","View Full Record in Web of Science")</f>
        <v>View Full Record in Web of Science</v>
      </c>
    </row>
    <row r="38" spans="1:72" x14ac:dyDescent="0.25">
      <c r="A38" t="s">
        <v>108</v>
      </c>
      <c r="B38" t="s">
        <v>906</v>
      </c>
      <c r="C38" t="s">
        <v>74</v>
      </c>
      <c r="D38" t="s">
        <v>907</v>
      </c>
      <c r="E38" t="s">
        <v>74</v>
      </c>
      <c r="F38" t="s">
        <v>908</v>
      </c>
      <c r="G38" t="s">
        <v>74</v>
      </c>
      <c r="H38" t="s">
        <v>74</v>
      </c>
      <c r="I38" t="s">
        <v>909</v>
      </c>
      <c r="J38" t="s">
        <v>910</v>
      </c>
      <c r="K38" t="s">
        <v>74</v>
      </c>
      <c r="L38" t="s">
        <v>74</v>
      </c>
      <c r="M38" t="s">
        <v>78</v>
      </c>
      <c r="N38" t="s">
        <v>115</v>
      </c>
      <c r="O38" t="s">
        <v>911</v>
      </c>
      <c r="P38" t="s">
        <v>912</v>
      </c>
      <c r="Q38" t="s">
        <v>913</v>
      </c>
      <c r="R38" t="s">
        <v>914</v>
      </c>
      <c r="S38" t="s">
        <v>915</v>
      </c>
      <c r="T38" t="s">
        <v>916</v>
      </c>
      <c r="U38" t="s">
        <v>74</v>
      </c>
      <c r="V38" t="s">
        <v>917</v>
      </c>
      <c r="W38" t="s">
        <v>918</v>
      </c>
      <c r="X38" t="s">
        <v>919</v>
      </c>
      <c r="Y38" t="s">
        <v>920</v>
      </c>
      <c r="Z38" t="s">
        <v>921</v>
      </c>
      <c r="AA38" t="s">
        <v>922</v>
      </c>
      <c r="AB38" t="s">
        <v>923</v>
      </c>
      <c r="AC38" t="s">
        <v>74</v>
      </c>
      <c r="AD38" t="s">
        <v>74</v>
      </c>
      <c r="AE38" t="s">
        <v>74</v>
      </c>
      <c r="AF38" t="s">
        <v>74</v>
      </c>
      <c r="AG38">
        <v>25</v>
      </c>
      <c r="AH38">
        <v>3</v>
      </c>
      <c r="AI38">
        <v>3</v>
      </c>
      <c r="AJ38">
        <v>0</v>
      </c>
      <c r="AK38">
        <v>1</v>
      </c>
      <c r="AL38" t="s">
        <v>465</v>
      </c>
      <c r="AM38" t="s">
        <v>92</v>
      </c>
      <c r="AN38" t="s">
        <v>480</v>
      </c>
      <c r="AO38" t="s">
        <v>74</v>
      </c>
      <c r="AP38" t="s">
        <v>74</v>
      </c>
      <c r="AQ38" t="s">
        <v>924</v>
      </c>
      <c r="AR38" t="s">
        <v>74</v>
      </c>
      <c r="AS38" t="s">
        <v>74</v>
      </c>
      <c r="AT38" t="s">
        <v>74</v>
      </c>
      <c r="AU38">
        <v>2017</v>
      </c>
      <c r="AV38" t="s">
        <v>74</v>
      </c>
      <c r="AW38" t="s">
        <v>74</v>
      </c>
      <c r="AX38" t="s">
        <v>74</v>
      </c>
      <c r="AY38" t="s">
        <v>74</v>
      </c>
      <c r="AZ38" t="s">
        <v>74</v>
      </c>
      <c r="BA38" t="s">
        <v>74</v>
      </c>
      <c r="BB38">
        <v>58</v>
      </c>
      <c r="BC38">
        <v>64</v>
      </c>
      <c r="BD38" t="s">
        <v>74</v>
      </c>
      <c r="BE38" t="s">
        <v>74</v>
      </c>
      <c r="BF38" t="s">
        <v>74</v>
      </c>
      <c r="BG38" t="s">
        <v>74</v>
      </c>
      <c r="BH38" t="s">
        <v>74</v>
      </c>
      <c r="BI38">
        <v>7</v>
      </c>
      <c r="BJ38" t="s">
        <v>925</v>
      </c>
      <c r="BK38" t="s">
        <v>203</v>
      </c>
      <c r="BL38" t="s">
        <v>103</v>
      </c>
      <c r="BM38" t="s">
        <v>926</v>
      </c>
      <c r="BN38" t="s">
        <v>74</v>
      </c>
      <c r="BO38" t="s">
        <v>74</v>
      </c>
      <c r="BP38" t="s">
        <v>74</v>
      </c>
      <c r="BQ38" t="s">
        <v>74</v>
      </c>
      <c r="BR38" t="s">
        <v>106</v>
      </c>
      <c r="BS38" t="s">
        <v>927</v>
      </c>
      <c r="BT38" t="str">
        <f>HYPERLINK("https%3A%2F%2Fwww.webofscience.com%2Fwos%2Fwoscc%2Ffull-record%2FWOS:000540739300009","View Full Record in Web of Science")</f>
        <v>View Full Record in Web of Science</v>
      </c>
    </row>
    <row r="39" spans="1:72" x14ac:dyDescent="0.25">
      <c r="A39" t="s">
        <v>108</v>
      </c>
      <c r="B39" t="s">
        <v>928</v>
      </c>
      <c r="C39" t="s">
        <v>74</v>
      </c>
      <c r="D39" t="s">
        <v>929</v>
      </c>
      <c r="E39" t="s">
        <v>74</v>
      </c>
      <c r="F39" t="s">
        <v>930</v>
      </c>
      <c r="G39" t="s">
        <v>74</v>
      </c>
      <c r="H39" t="s">
        <v>74</v>
      </c>
      <c r="I39" t="s">
        <v>931</v>
      </c>
      <c r="J39" t="s">
        <v>932</v>
      </c>
      <c r="K39" t="s">
        <v>74</v>
      </c>
      <c r="L39" t="s">
        <v>74</v>
      </c>
      <c r="M39" t="s">
        <v>78</v>
      </c>
      <c r="N39" t="s">
        <v>115</v>
      </c>
      <c r="O39" t="s">
        <v>933</v>
      </c>
      <c r="P39" t="s">
        <v>934</v>
      </c>
      <c r="Q39" t="s">
        <v>935</v>
      </c>
      <c r="R39" t="s">
        <v>936</v>
      </c>
      <c r="S39" t="s">
        <v>74</v>
      </c>
      <c r="T39" t="s">
        <v>937</v>
      </c>
      <c r="U39" t="s">
        <v>74</v>
      </c>
      <c r="V39" t="s">
        <v>938</v>
      </c>
      <c r="W39" t="s">
        <v>939</v>
      </c>
      <c r="X39" t="s">
        <v>940</v>
      </c>
      <c r="Y39" t="s">
        <v>941</v>
      </c>
      <c r="Z39" t="s">
        <v>942</v>
      </c>
      <c r="AA39" t="s">
        <v>943</v>
      </c>
      <c r="AB39" t="s">
        <v>74</v>
      </c>
      <c r="AC39" t="s">
        <v>944</v>
      </c>
      <c r="AD39" t="s">
        <v>945</v>
      </c>
      <c r="AE39" t="s">
        <v>946</v>
      </c>
      <c r="AF39" t="s">
        <v>74</v>
      </c>
      <c r="AG39">
        <v>17</v>
      </c>
      <c r="AH39">
        <v>7</v>
      </c>
      <c r="AI39">
        <v>7</v>
      </c>
      <c r="AJ39">
        <v>0</v>
      </c>
      <c r="AK39">
        <v>0</v>
      </c>
      <c r="AL39" t="s">
        <v>947</v>
      </c>
      <c r="AM39" t="s">
        <v>948</v>
      </c>
      <c r="AN39" t="s">
        <v>949</v>
      </c>
      <c r="AO39" t="s">
        <v>74</v>
      </c>
      <c r="AP39" t="s">
        <v>74</v>
      </c>
      <c r="AQ39" t="s">
        <v>950</v>
      </c>
      <c r="AR39" t="s">
        <v>74</v>
      </c>
      <c r="AS39" t="s">
        <v>74</v>
      </c>
      <c r="AT39" t="s">
        <v>74</v>
      </c>
      <c r="AU39">
        <v>2012</v>
      </c>
      <c r="AV39" t="s">
        <v>74</v>
      </c>
      <c r="AW39" t="s">
        <v>74</v>
      </c>
      <c r="AX39" t="s">
        <v>74</v>
      </c>
      <c r="AY39" t="s">
        <v>74</v>
      </c>
      <c r="AZ39" t="s">
        <v>74</v>
      </c>
      <c r="BA39" t="s">
        <v>74</v>
      </c>
      <c r="BB39">
        <v>196</v>
      </c>
      <c r="BC39">
        <v>200</v>
      </c>
      <c r="BD39" t="s">
        <v>74</v>
      </c>
      <c r="BE39" t="s">
        <v>951</v>
      </c>
      <c r="BF39" t="str">
        <f>HYPERLINK("http://dx.doi.org/10.1109/WI-IAT.2012.64","http://dx.doi.org/10.1109/WI-IAT.2012.64")</f>
        <v>http://dx.doi.org/10.1109/WI-IAT.2012.64</v>
      </c>
      <c r="BG39" t="s">
        <v>74</v>
      </c>
      <c r="BH39" t="s">
        <v>74</v>
      </c>
      <c r="BI39">
        <v>5</v>
      </c>
      <c r="BJ39" t="s">
        <v>952</v>
      </c>
      <c r="BK39" t="s">
        <v>203</v>
      </c>
      <c r="BL39" t="s">
        <v>953</v>
      </c>
      <c r="BM39" t="s">
        <v>954</v>
      </c>
      <c r="BN39" t="s">
        <v>74</v>
      </c>
      <c r="BO39" t="s">
        <v>74</v>
      </c>
      <c r="BP39" t="s">
        <v>74</v>
      </c>
      <c r="BQ39" t="s">
        <v>74</v>
      </c>
      <c r="BR39" t="s">
        <v>106</v>
      </c>
      <c r="BS39" t="s">
        <v>955</v>
      </c>
      <c r="BT39" t="str">
        <f>HYPERLINK("https%3A%2F%2Fwww.webofscience.com%2Fwos%2Fwoscc%2Ffull-record%2FWOS:000423016400027","View Full Record in Web of Science")</f>
        <v>View Full Record in Web of Science</v>
      </c>
    </row>
    <row r="40" spans="1:72" x14ac:dyDescent="0.25">
      <c r="A40" t="s">
        <v>108</v>
      </c>
      <c r="B40" t="s">
        <v>956</v>
      </c>
      <c r="C40" t="s">
        <v>74</v>
      </c>
      <c r="D40" t="s">
        <v>74</v>
      </c>
      <c r="E40" t="s">
        <v>465</v>
      </c>
      <c r="F40" t="s">
        <v>957</v>
      </c>
      <c r="G40" t="s">
        <v>74</v>
      </c>
      <c r="H40" t="s">
        <v>74</v>
      </c>
      <c r="I40" t="s">
        <v>958</v>
      </c>
      <c r="J40" t="s">
        <v>959</v>
      </c>
      <c r="K40" t="s">
        <v>74</v>
      </c>
      <c r="L40" t="s">
        <v>74</v>
      </c>
      <c r="M40" t="s">
        <v>78</v>
      </c>
      <c r="N40" t="s">
        <v>115</v>
      </c>
      <c r="O40" t="s">
        <v>960</v>
      </c>
      <c r="P40" t="s">
        <v>961</v>
      </c>
      <c r="Q40" t="s">
        <v>450</v>
      </c>
      <c r="R40" t="s">
        <v>962</v>
      </c>
      <c r="S40" t="s">
        <v>74</v>
      </c>
      <c r="T40" t="s">
        <v>963</v>
      </c>
      <c r="U40" t="s">
        <v>74</v>
      </c>
      <c r="V40" t="s">
        <v>964</v>
      </c>
      <c r="W40" t="s">
        <v>965</v>
      </c>
      <c r="X40" t="s">
        <v>966</v>
      </c>
      <c r="Y40" t="s">
        <v>967</v>
      </c>
      <c r="Z40" t="s">
        <v>74</v>
      </c>
      <c r="AA40" t="s">
        <v>968</v>
      </c>
      <c r="AB40" t="s">
        <v>969</v>
      </c>
      <c r="AC40" t="s">
        <v>74</v>
      </c>
      <c r="AD40" t="s">
        <v>74</v>
      </c>
      <c r="AE40" t="s">
        <v>74</v>
      </c>
      <c r="AF40" t="s">
        <v>74</v>
      </c>
      <c r="AG40">
        <v>30</v>
      </c>
      <c r="AH40">
        <v>25</v>
      </c>
      <c r="AI40">
        <v>27</v>
      </c>
      <c r="AJ40">
        <v>0</v>
      </c>
      <c r="AK40">
        <v>3</v>
      </c>
      <c r="AL40" t="s">
        <v>947</v>
      </c>
      <c r="AM40" t="s">
        <v>948</v>
      </c>
      <c r="AN40" t="s">
        <v>949</v>
      </c>
      <c r="AO40" t="s">
        <v>74</v>
      </c>
      <c r="AP40" t="s">
        <v>74</v>
      </c>
      <c r="AQ40" t="s">
        <v>970</v>
      </c>
      <c r="AR40" t="s">
        <v>74</v>
      </c>
      <c r="AS40" t="s">
        <v>74</v>
      </c>
      <c r="AT40" t="s">
        <v>74</v>
      </c>
      <c r="AU40">
        <v>2015</v>
      </c>
      <c r="AV40" t="s">
        <v>74</v>
      </c>
      <c r="AW40" t="s">
        <v>74</v>
      </c>
      <c r="AX40" t="s">
        <v>74</v>
      </c>
      <c r="AY40" t="s">
        <v>74</v>
      </c>
      <c r="AZ40" t="s">
        <v>74</v>
      </c>
      <c r="BA40" t="s">
        <v>74</v>
      </c>
      <c r="BB40">
        <v>469</v>
      </c>
      <c r="BC40">
        <v>476</v>
      </c>
      <c r="BD40" t="s">
        <v>74</v>
      </c>
      <c r="BE40" t="s">
        <v>971</v>
      </c>
      <c r="BF40" t="str">
        <f>HYPERLINK("http://dx.doi.org/10.1109/WI-IAT.2015.182","http://dx.doi.org/10.1109/WI-IAT.2015.182")</f>
        <v>http://dx.doi.org/10.1109/WI-IAT.2015.182</v>
      </c>
      <c r="BG40" t="s">
        <v>74</v>
      </c>
      <c r="BH40" t="s">
        <v>74</v>
      </c>
      <c r="BI40">
        <v>8</v>
      </c>
      <c r="BJ40" t="s">
        <v>972</v>
      </c>
      <c r="BK40" t="s">
        <v>203</v>
      </c>
      <c r="BL40" t="s">
        <v>953</v>
      </c>
      <c r="BM40" t="s">
        <v>973</v>
      </c>
      <c r="BN40" t="s">
        <v>74</v>
      </c>
      <c r="BO40" t="s">
        <v>74</v>
      </c>
      <c r="BP40" t="s">
        <v>74</v>
      </c>
      <c r="BQ40" t="s">
        <v>74</v>
      </c>
      <c r="BR40" t="s">
        <v>106</v>
      </c>
      <c r="BS40" t="s">
        <v>974</v>
      </c>
      <c r="BT40" t="str">
        <f>HYPERLINK("https%3A%2F%2Fwww.webofscience.com%2Fwos%2Fwoscc%2Ffull-record%2FWOS:000393162800080","View Full Record in Web of Science")</f>
        <v>View Full Record in Web of Science</v>
      </c>
    </row>
    <row r="41" spans="1:72" x14ac:dyDescent="0.25">
      <c r="A41" t="s">
        <v>72</v>
      </c>
      <c r="B41" t="s">
        <v>207</v>
      </c>
      <c r="C41" t="s">
        <v>74</v>
      </c>
      <c r="D41" t="s">
        <v>74</v>
      </c>
      <c r="E41" t="s">
        <v>74</v>
      </c>
      <c r="F41" t="s">
        <v>208</v>
      </c>
      <c r="G41" t="s">
        <v>74</v>
      </c>
      <c r="H41" t="s">
        <v>74</v>
      </c>
      <c r="I41" t="s">
        <v>975</v>
      </c>
      <c r="J41" t="s">
        <v>976</v>
      </c>
      <c r="K41" t="s">
        <v>74</v>
      </c>
      <c r="L41" t="s">
        <v>74</v>
      </c>
      <c r="M41" t="s">
        <v>78</v>
      </c>
      <c r="N41" t="s">
        <v>79</v>
      </c>
      <c r="O41" t="s">
        <v>74</v>
      </c>
      <c r="P41" t="s">
        <v>74</v>
      </c>
      <c r="Q41" t="s">
        <v>74</v>
      </c>
      <c r="R41" t="s">
        <v>74</v>
      </c>
      <c r="S41" t="s">
        <v>74</v>
      </c>
      <c r="T41" t="s">
        <v>977</v>
      </c>
      <c r="U41" t="s">
        <v>978</v>
      </c>
      <c r="V41" t="s">
        <v>979</v>
      </c>
      <c r="W41" t="s">
        <v>980</v>
      </c>
      <c r="X41" t="s">
        <v>214</v>
      </c>
      <c r="Y41" t="s">
        <v>981</v>
      </c>
      <c r="Z41" t="s">
        <v>237</v>
      </c>
      <c r="AA41" t="s">
        <v>217</v>
      </c>
      <c r="AB41" t="s">
        <v>982</v>
      </c>
      <c r="AC41" t="s">
        <v>74</v>
      </c>
      <c r="AD41" t="s">
        <v>74</v>
      </c>
      <c r="AE41" t="s">
        <v>74</v>
      </c>
      <c r="AF41" t="s">
        <v>74</v>
      </c>
      <c r="AG41">
        <v>74</v>
      </c>
      <c r="AH41">
        <v>39</v>
      </c>
      <c r="AI41">
        <v>60</v>
      </c>
      <c r="AJ41">
        <v>2</v>
      </c>
      <c r="AK41">
        <v>45</v>
      </c>
      <c r="AL41" t="s">
        <v>310</v>
      </c>
      <c r="AM41" t="s">
        <v>311</v>
      </c>
      <c r="AN41" t="s">
        <v>312</v>
      </c>
      <c r="AO41" t="s">
        <v>983</v>
      </c>
      <c r="AP41" t="s">
        <v>984</v>
      </c>
      <c r="AQ41" t="s">
        <v>74</v>
      </c>
      <c r="AR41" t="s">
        <v>985</v>
      </c>
      <c r="AS41" t="s">
        <v>986</v>
      </c>
      <c r="AT41" t="s">
        <v>74</v>
      </c>
      <c r="AU41">
        <v>2018</v>
      </c>
      <c r="AV41">
        <v>86</v>
      </c>
      <c r="AW41">
        <v>1</v>
      </c>
      <c r="AX41" t="s">
        <v>74</v>
      </c>
      <c r="AY41" t="s">
        <v>74</v>
      </c>
      <c r="AZ41" t="s">
        <v>247</v>
      </c>
      <c r="BA41" t="s">
        <v>74</v>
      </c>
      <c r="BB41">
        <v>50</v>
      </c>
      <c r="BC41">
        <v>68</v>
      </c>
      <c r="BD41" t="s">
        <v>74</v>
      </c>
      <c r="BE41" t="s">
        <v>987</v>
      </c>
      <c r="BF41" t="str">
        <f>HYPERLINK("http://dx.doi.org/10.1080/00220973.2017.1380590","http://dx.doi.org/10.1080/00220973.2017.1380590")</f>
        <v>http://dx.doi.org/10.1080/00220973.2017.1380590</v>
      </c>
      <c r="BG41" t="s">
        <v>74</v>
      </c>
      <c r="BH41" t="s">
        <v>74</v>
      </c>
      <c r="BI41">
        <v>19</v>
      </c>
      <c r="BJ41" t="s">
        <v>664</v>
      </c>
      <c r="BK41" t="s">
        <v>250</v>
      </c>
      <c r="BL41" t="s">
        <v>665</v>
      </c>
      <c r="BM41" t="s">
        <v>988</v>
      </c>
      <c r="BN41" t="s">
        <v>74</v>
      </c>
      <c r="BO41" t="s">
        <v>74</v>
      </c>
      <c r="BP41" t="s">
        <v>74</v>
      </c>
      <c r="BQ41" t="s">
        <v>74</v>
      </c>
      <c r="BR41" t="s">
        <v>106</v>
      </c>
      <c r="BS41" t="s">
        <v>989</v>
      </c>
      <c r="BT41" t="str">
        <f>HYPERLINK("https%3A%2F%2Fwww.webofscience.com%2Fwos%2Fwoscc%2Ffull-record%2FWOS:000418851900004","View Full Record in Web of Science")</f>
        <v>View Full Record in Web of Science</v>
      </c>
    </row>
    <row r="42" spans="1:72" x14ac:dyDescent="0.25">
      <c r="A42" t="s">
        <v>72</v>
      </c>
      <c r="B42" t="s">
        <v>990</v>
      </c>
      <c r="C42" t="s">
        <v>74</v>
      </c>
      <c r="D42" t="s">
        <v>74</v>
      </c>
      <c r="E42" t="s">
        <v>74</v>
      </c>
      <c r="F42" t="s">
        <v>991</v>
      </c>
      <c r="G42" t="s">
        <v>74</v>
      </c>
      <c r="H42" t="s">
        <v>74</v>
      </c>
      <c r="I42" t="s">
        <v>992</v>
      </c>
      <c r="J42" t="s">
        <v>993</v>
      </c>
      <c r="K42" t="s">
        <v>74</v>
      </c>
      <c r="L42" t="s">
        <v>74</v>
      </c>
      <c r="M42" t="s">
        <v>78</v>
      </c>
      <c r="N42" t="s">
        <v>79</v>
      </c>
      <c r="O42" t="s">
        <v>74</v>
      </c>
      <c r="P42" t="s">
        <v>74</v>
      </c>
      <c r="Q42" t="s">
        <v>74</v>
      </c>
      <c r="R42" t="s">
        <v>74</v>
      </c>
      <c r="S42" t="s">
        <v>74</v>
      </c>
      <c r="T42" t="s">
        <v>994</v>
      </c>
      <c r="U42" t="s">
        <v>74</v>
      </c>
      <c r="V42" t="s">
        <v>995</v>
      </c>
      <c r="W42" t="s">
        <v>996</v>
      </c>
      <c r="X42" t="s">
        <v>997</v>
      </c>
      <c r="Y42" t="s">
        <v>998</v>
      </c>
      <c r="Z42" t="s">
        <v>999</v>
      </c>
      <c r="AA42" t="s">
        <v>1000</v>
      </c>
      <c r="AB42" t="s">
        <v>1001</v>
      </c>
      <c r="AC42" t="s">
        <v>1002</v>
      </c>
      <c r="AD42" t="s">
        <v>1003</v>
      </c>
      <c r="AE42" t="s">
        <v>1004</v>
      </c>
      <c r="AF42" t="s">
        <v>74</v>
      </c>
      <c r="AG42">
        <v>116</v>
      </c>
      <c r="AH42">
        <v>42</v>
      </c>
      <c r="AI42">
        <v>43</v>
      </c>
      <c r="AJ42">
        <v>0</v>
      </c>
      <c r="AK42">
        <v>38</v>
      </c>
      <c r="AL42" t="s">
        <v>178</v>
      </c>
      <c r="AM42" t="s">
        <v>1005</v>
      </c>
      <c r="AN42" t="s">
        <v>1006</v>
      </c>
      <c r="AO42" t="s">
        <v>1007</v>
      </c>
      <c r="AP42" t="s">
        <v>1008</v>
      </c>
      <c r="AQ42" t="s">
        <v>74</v>
      </c>
      <c r="AR42" t="s">
        <v>1009</v>
      </c>
      <c r="AS42" t="s">
        <v>1010</v>
      </c>
      <c r="AT42" t="s">
        <v>565</v>
      </c>
      <c r="AU42">
        <v>2018</v>
      </c>
      <c r="AV42">
        <v>28</v>
      </c>
      <c r="AW42">
        <v>3</v>
      </c>
      <c r="AX42" t="s">
        <v>74</v>
      </c>
      <c r="AY42" t="s">
        <v>74</v>
      </c>
      <c r="AZ42" t="s">
        <v>74</v>
      </c>
      <c r="BA42" t="s">
        <v>74</v>
      </c>
      <c r="BB42">
        <v>277</v>
      </c>
      <c r="BC42">
        <v>329</v>
      </c>
      <c r="BD42" t="s">
        <v>74</v>
      </c>
      <c r="BE42" t="s">
        <v>1011</v>
      </c>
      <c r="BF42" t="str">
        <f>HYPERLINK("http://dx.doi.org/10.1007/s11257-018-9207-8","http://dx.doi.org/10.1007/s11257-018-9207-8")</f>
        <v>http://dx.doi.org/10.1007/s11257-018-9207-8</v>
      </c>
      <c r="BG42" t="s">
        <v>74</v>
      </c>
      <c r="BH42" t="s">
        <v>74</v>
      </c>
      <c r="BI42">
        <v>53</v>
      </c>
      <c r="BJ42" t="s">
        <v>1012</v>
      </c>
      <c r="BK42" t="s">
        <v>745</v>
      </c>
      <c r="BL42" t="s">
        <v>103</v>
      </c>
      <c r="BM42" t="s">
        <v>1013</v>
      </c>
      <c r="BN42" t="s">
        <v>74</v>
      </c>
      <c r="BO42" t="s">
        <v>1014</v>
      </c>
      <c r="BP42" t="s">
        <v>74</v>
      </c>
      <c r="BQ42" t="s">
        <v>74</v>
      </c>
      <c r="BR42" t="s">
        <v>106</v>
      </c>
      <c r="BS42" t="s">
        <v>1015</v>
      </c>
      <c r="BT42" t="str">
        <f>HYPERLINK("https%3A%2F%2Fwww.webofscience.com%2Fwos%2Fwoscc%2Ffull-record%2FWOS:000444730900003","View Full Record in Web of Science")</f>
        <v>View Full Record in Web of Science</v>
      </c>
    </row>
    <row r="43" spans="1:72" x14ac:dyDescent="0.25">
      <c r="A43" t="s">
        <v>108</v>
      </c>
      <c r="B43" t="s">
        <v>1016</v>
      </c>
      <c r="C43" t="s">
        <v>74</v>
      </c>
      <c r="D43" t="s">
        <v>1017</v>
      </c>
      <c r="E43" t="s">
        <v>74</v>
      </c>
      <c r="F43" t="s">
        <v>1018</v>
      </c>
      <c r="G43" t="s">
        <v>74</v>
      </c>
      <c r="H43" t="s">
        <v>74</v>
      </c>
      <c r="I43" t="s">
        <v>1019</v>
      </c>
      <c r="J43" t="s">
        <v>1020</v>
      </c>
      <c r="K43" t="s">
        <v>1021</v>
      </c>
      <c r="L43" t="s">
        <v>74</v>
      </c>
      <c r="M43" t="s">
        <v>78</v>
      </c>
      <c r="N43" t="s">
        <v>115</v>
      </c>
      <c r="O43" t="s">
        <v>1022</v>
      </c>
      <c r="P43" t="s">
        <v>1023</v>
      </c>
      <c r="Q43" t="s">
        <v>1024</v>
      </c>
      <c r="R43" t="s">
        <v>1025</v>
      </c>
      <c r="S43" t="s">
        <v>74</v>
      </c>
      <c r="T43" t="s">
        <v>1026</v>
      </c>
      <c r="U43" t="s">
        <v>1027</v>
      </c>
      <c r="V43" t="s">
        <v>1028</v>
      </c>
      <c r="W43" t="s">
        <v>1029</v>
      </c>
      <c r="X43" t="s">
        <v>1030</v>
      </c>
      <c r="Y43" t="s">
        <v>1031</v>
      </c>
      <c r="Z43" t="s">
        <v>1032</v>
      </c>
      <c r="AA43" t="s">
        <v>1033</v>
      </c>
      <c r="AB43" t="s">
        <v>1034</v>
      </c>
      <c r="AC43" t="s">
        <v>74</v>
      </c>
      <c r="AD43" t="s">
        <v>74</v>
      </c>
      <c r="AE43" t="s">
        <v>74</v>
      </c>
      <c r="AF43" t="s">
        <v>74</v>
      </c>
      <c r="AG43">
        <v>33</v>
      </c>
      <c r="AH43">
        <v>3</v>
      </c>
      <c r="AI43">
        <v>3</v>
      </c>
      <c r="AJ43">
        <v>0</v>
      </c>
      <c r="AK43">
        <v>20</v>
      </c>
      <c r="AL43" t="s">
        <v>178</v>
      </c>
      <c r="AM43" t="s">
        <v>92</v>
      </c>
      <c r="AN43" t="s">
        <v>1035</v>
      </c>
      <c r="AO43" t="s">
        <v>1036</v>
      </c>
      <c r="AP43" t="s">
        <v>1037</v>
      </c>
      <c r="AQ43" t="s">
        <v>1038</v>
      </c>
      <c r="AR43" t="s">
        <v>1039</v>
      </c>
      <c r="AS43" t="s">
        <v>74</v>
      </c>
      <c r="AT43" t="s">
        <v>74</v>
      </c>
      <c r="AU43">
        <v>2019</v>
      </c>
      <c r="AV43">
        <v>514</v>
      </c>
      <c r="AW43" t="s">
        <v>74</v>
      </c>
      <c r="AX43" t="s">
        <v>74</v>
      </c>
      <c r="AY43" t="s">
        <v>74</v>
      </c>
      <c r="AZ43" t="s">
        <v>74</v>
      </c>
      <c r="BA43" t="s">
        <v>74</v>
      </c>
      <c r="BB43">
        <v>485</v>
      </c>
      <c r="BC43">
        <v>498</v>
      </c>
      <c r="BD43" t="s">
        <v>74</v>
      </c>
      <c r="BE43" t="s">
        <v>1040</v>
      </c>
      <c r="BF43" t="str">
        <f>HYPERLINK("http://dx.doi.org/10.1007/978-981-13-1056-0_49","http://dx.doi.org/10.1007/978-981-13-1056-0_49")</f>
        <v>http://dx.doi.org/10.1007/978-981-13-1056-0_49</v>
      </c>
      <c r="BG43" t="s">
        <v>74</v>
      </c>
      <c r="BH43" t="s">
        <v>74</v>
      </c>
      <c r="BI43">
        <v>14</v>
      </c>
      <c r="BJ43" t="s">
        <v>1041</v>
      </c>
      <c r="BK43" t="s">
        <v>1042</v>
      </c>
      <c r="BL43" t="s">
        <v>1041</v>
      </c>
      <c r="BM43" t="s">
        <v>1043</v>
      </c>
      <c r="BN43" t="s">
        <v>74</v>
      </c>
      <c r="BO43" t="s">
        <v>74</v>
      </c>
      <c r="BP43" t="s">
        <v>74</v>
      </c>
      <c r="BQ43" t="s">
        <v>74</v>
      </c>
      <c r="BR43" t="s">
        <v>106</v>
      </c>
      <c r="BS43" t="s">
        <v>1044</v>
      </c>
      <c r="BT43" t="str">
        <f>HYPERLINK("https%3A%2F%2Fwww.webofscience.com%2Fwos%2Fwoscc%2Ffull-record%2FWOS:000454443400047","View Full Record in Web of Science")</f>
        <v>View Full Record in Web of Science</v>
      </c>
    </row>
    <row r="44" spans="1:72" x14ac:dyDescent="0.25">
      <c r="A44" t="s">
        <v>108</v>
      </c>
      <c r="B44" t="s">
        <v>1045</v>
      </c>
      <c r="C44" t="s">
        <v>74</v>
      </c>
      <c r="D44" t="s">
        <v>74</v>
      </c>
      <c r="E44" t="s">
        <v>291</v>
      </c>
      <c r="F44" t="s">
        <v>1046</v>
      </c>
      <c r="G44" t="s">
        <v>74</v>
      </c>
      <c r="H44" t="s">
        <v>74</v>
      </c>
      <c r="I44" t="s">
        <v>1047</v>
      </c>
      <c r="J44" t="s">
        <v>1048</v>
      </c>
      <c r="K44" t="s">
        <v>74</v>
      </c>
      <c r="L44" t="s">
        <v>74</v>
      </c>
      <c r="M44" t="s">
        <v>78</v>
      </c>
      <c r="N44" t="s">
        <v>115</v>
      </c>
      <c r="O44" t="s">
        <v>1049</v>
      </c>
      <c r="P44" t="s">
        <v>1050</v>
      </c>
      <c r="Q44" t="s">
        <v>1051</v>
      </c>
      <c r="R44" t="s">
        <v>1052</v>
      </c>
      <c r="S44" t="s">
        <v>74</v>
      </c>
      <c r="T44" t="s">
        <v>1053</v>
      </c>
      <c r="U44" t="s">
        <v>74</v>
      </c>
      <c r="V44" t="s">
        <v>1054</v>
      </c>
      <c r="W44" t="s">
        <v>1055</v>
      </c>
      <c r="X44" t="s">
        <v>1056</v>
      </c>
      <c r="Y44" t="s">
        <v>1057</v>
      </c>
      <c r="Z44" t="s">
        <v>1058</v>
      </c>
      <c r="AA44" t="s">
        <v>1059</v>
      </c>
      <c r="AB44" t="s">
        <v>1060</v>
      </c>
      <c r="AC44" t="s">
        <v>1061</v>
      </c>
      <c r="AD44" t="s">
        <v>1062</v>
      </c>
      <c r="AE44" t="s">
        <v>1063</v>
      </c>
      <c r="AF44" t="s">
        <v>74</v>
      </c>
      <c r="AG44">
        <v>55</v>
      </c>
      <c r="AH44">
        <v>9</v>
      </c>
      <c r="AI44">
        <v>10</v>
      </c>
      <c r="AJ44">
        <v>1</v>
      </c>
      <c r="AK44">
        <v>11</v>
      </c>
      <c r="AL44" t="s">
        <v>291</v>
      </c>
      <c r="AM44" t="s">
        <v>92</v>
      </c>
      <c r="AN44" t="s">
        <v>341</v>
      </c>
      <c r="AO44" t="s">
        <v>74</v>
      </c>
      <c r="AP44" t="s">
        <v>74</v>
      </c>
      <c r="AQ44" t="s">
        <v>1064</v>
      </c>
      <c r="AR44" t="s">
        <v>74</v>
      </c>
      <c r="AS44" t="s">
        <v>74</v>
      </c>
      <c r="AT44" t="s">
        <v>74</v>
      </c>
      <c r="AU44">
        <v>2024</v>
      </c>
      <c r="AV44" t="s">
        <v>74</v>
      </c>
      <c r="AW44" t="s">
        <v>74</v>
      </c>
      <c r="AX44" t="s">
        <v>74</v>
      </c>
      <c r="AY44" t="s">
        <v>74</v>
      </c>
      <c r="AZ44" t="s">
        <v>74</v>
      </c>
      <c r="BA44" t="s">
        <v>74</v>
      </c>
      <c r="BB44">
        <v>4455</v>
      </c>
      <c r="BC44">
        <v>4466</v>
      </c>
      <c r="BD44" t="s">
        <v>74</v>
      </c>
      <c r="BE44" t="s">
        <v>1065</v>
      </c>
      <c r="BF44" t="str">
        <f>HYPERLINK("http://dx.doi.org/10.1145/3637528.3671817","http://dx.doi.org/10.1145/3637528.3671817")</f>
        <v>http://dx.doi.org/10.1145/3637528.3671817</v>
      </c>
      <c r="BG44" t="s">
        <v>74</v>
      </c>
      <c r="BH44" t="s">
        <v>74</v>
      </c>
      <c r="BI44">
        <v>12</v>
      </c>
      <c r="BJ44" t="s">
        <v>696</v>
      </c>
      <c r="BK44" t="s">
        <v>203</v>
      </c>
      <c r="BL44" t="s">
        <v>103</v>
      </c>
      <c r="BM44" t="s">
        <v>1066</v>
      </c>
      <c r="BN44" t="s">
        <v>74</v>
      </c>
      <c r="BO44" t="s">
        <v>372</v>
      </c>
      <c r="BP44" t="s">
        <v>74</v>
      </c>
      <c r="BQ44" t="s">
        <v>74</v>
      </c>
      <c r="BR44" t="s">
        <v>106</v>
      </c>
      <c r="BS44" t="s">
        <v>1067</v>
      </c>
      <c r="BT44" t="str">
        <f>HYPERLINK("https%3A%2F%2Fwww.webofscience.com%2Fwos%2Fwoscc%2Ffull-record%2FWOS:001324524204054","View Full Record in Web of Science")</f>
        <v>View Full Record in Web of Science</v>
      </c>
    </row>
    <row r="45" spans="1:72" x14ac:dyDescent="0.25">
      <c r="A45" t="s">
        <v>72</v>
      </c>
      <c r="B45" t="s">
        <v>1068</v>
      </c>
      <c r="C45" t="s">
        <v>74</v>
      </c>
      <c r="D45" t="s">
        <v>74</v>
      </c>
      <c r="E45" t="s">
        <v>74</v>
      </c>
      <c r="F45" t="s">
        <v>1068</v>
      </c>
      <c r="G45" t="s">
        <v>74</v>
      </c>
      <c r="H45" t="s">
        <v>74</v>
      </c>
      <c r="I45" t="s">
        <v>1069</v>
      </c>
      <c r="J45" t="s">
        <v>1070</v>
      </c>
      <c r="K45" t="s">
        <v>74</v>
      </c>
      <c r="L45" t="s">
        <v>74</v>
      </c>
      <c r="M45" t="s">
        <v>78</v>
      </c>
      <c r="N45" t="s">
        <v>79</v>
      </c>
      <c r="O45" t="s">
        <v>74</v>
      </c>
      <c r="P45" t="s">
        <v>74</v>
      </c>
      <c r="Q45" t="s">
        <v>74</v>
      </c>
      <c r="R45" t="s">
        <v>74</v>
      </c>
      <c r="S45" t="s">
        <v>74</v>
      </c>
      <c r="T45" t="s">
        <v>1071</v>
      </c>
      <c r="U45" t="s">
        <v>1072</v>
      </c>
      <c r="V45" t="s">
        <v>1073</v>
      </c>
      <c r="W45" t="s">
        <v>1074</v>
      </c>
      <c r="X45" t="s">
        <v>1075</v>
      </c>
      <c r="Y45" t="s">
        <v>1076</v>
      </c>
      <c r="Z45" t="s">
        <v>74</v>
      </c>
      <c r="AA45" t="s">
        <v>74</v>
      </c>
      <c r="AB45" t="s">
        <v>74</v>
      </c>
      <c r="AC45" t="s">
        <v>74</v>
      </c>
      <c r="AD45" t="s">
        <v>74</v>
      </c>
      <c r="AE45" t="s">
        <v>74</v>
      </c>
      <c r="AF45" t="s">
        <v>74</v>
      </c>
      <c r="AG45">
        <v>55</v>
      </c>
      <c r="AH45">
        <v>122</v>
      </c>
      <c r="AI45">
        <v>171</v>
      </c>
      <c r="AJ45">
        <v>0</v>
      </c>
      <c r="AK45">
        <v>32</v>
      </c>
      <c r="AL45" t="s">
        <v>736</v>
      </c>
      <c r="AM45" t="s">
        <v>737</v>
      </c>
      <c r="AN45" t="s">
        <v>738</v>
      </c>
      <c r="AO45" t="s">
        <v>1077</v>
      </c>
      <c r="AP45" t="s">
        <v>74</v>
      </c>
      <c r="AQ45" t="s">
        <v>74</v>
      </c>
      <c r="AR45" t="s">
        <v>1078</v>
      </c>
      <c r="AS45" t="s">
        <v>1079</v>
      </c>
      <c r="AT45" t="s">
        <v>565</v>
      </c>
      <c r="AU45">
        <v>2002</v>
      </c>
      <c r="AV45">
        <v>12</v>
      </c>
      <c r="AW45">
        <v>4</v>
      </c>
      <c r="AX45" t="s">
        <v>74</v>
      </c>
      <c r="AY45" t="s">
        <v>74</v>
      </c>
      <c r="AZ45" t="s">
        <v>74</v>
      </c>
      <c r="BA45" t="s">
        <v>74</v>
      </c>
      <c r="BB45">
        <v>467</v>
      </c>
      <c r="BC45">
        <v>491</v>
      </c>
      <c r="BD45" t="s">
        <v>1080</v>
      </c>
      <c r="BE45" t="s">
        <v>1081</v>
      </c>
      <c r="BF45" t="str">
        <f>HYPERLINK("http://dx.doi.org/10.1016/S0959-4752(01)00012-3","http://dx.doi.org/10.1016/S0959-4752(01)00012-3")</f>
        <v>http://dx.doi.org/10.1016/S0959-4752(01)00012-3</v>
      </c>
      <c r="BG45" t="s">
        <v>74</v>
      </c>
      <c r="BH45" t="s">
        <v>74</v>
      </c>
      <c r="BI45">
        <v>25</v>
      </c>
      <c r="BJ45" t="s">
        <v>664</v>
      </c>
      <c r="BK45" t="s">
        <v>250</v>
      </c>
      <c r="BL45" t="s">
        <v>665</v>
      </c>
      <c r="BM45" t="s">
        <v>1082</v>
      </c>
      <c r="BN45" t="s">
        <v>74</v>
      </c>
      <c r="BO45" t="s">
        <v>74</v>
      </c>
      <c r="BP45" t="s">
        <v>74</v>
      </c>
      <c r="BQ45" t="s">
        <v>74</v>
      </c>
      <c r="BR45" t="s">
        <v>106</v>
      </c>
      <c r="BS45" t="s">
        <v>1083</v>
      </c>
      <c r="BT45" t="str">
        <f>HYPERLINK("https%3A%2F%2Fwww.webofscience.com%2Fwos%2Fwoscc%2Ffull-record%2FWOS:000177362400006","View Full Record in Web of Science")</f>
        <v>View Full Record in Web of Science</v>
      </c>
    </row>
    <row r="46" spans="1:72" x14ac:dyDescent="0.25">
      <c r="A46" t="s">
        <v>72</v>
      </c>
      <c r="B46" t="s">
        <v>1084</v>
      </c>
      <c r="C46" t="s">
        <v>74</v>
      </c>
      <c r="D46" t="s">
        <v>74</v>
      </c>
      <c r="E46" t="s">
        <v>74</v>
      </c>
      <c r="F46" t="s">
        <v>1085</v>
      </c>
      <c r="G46" t="s">
        <v>74</v>
      </c>
      <c r="H46" t="s">
        <v>74</v>
      </c>
      <c r="I46" t="s">
        <v>1086</v>
      </c>
      <c r="J46" t="s">
        <v>1087</v>
      </c>
      <c r="K46" t="s">
        <v>74</v>
      </c>
      <c r="L46" t="s">
        <v>74</v>
      </c>
      <c r="M46" t="s">
        <v>78</v>
      </c>
      <c r="N46" t="s">
        <v>79</v>
      </c>
      <c r="O46" t="s">
        <v>74</v>
      </c>
      <c r="P46" t="s">
        <v>74</v>
      </c>
      <c r="Q46" t="s">
        <v>74</v>
      </c>
      <c r="R46" t="s">
        <v>74</v>
      </c>
      <c r="S46" t="s">
        <v>74</v>
      </c>
      <c r="T46" t="s">
        <v>1088</v>
      </c>
      <c r="U46" t="s">
        <v>1089</v>
      </c>
      <c r="V46" t="s">
        <v>1090</v>
      </c>
      <c r="W46" t="s">
        <v>1091</v>
      </c>
      <c r="X46" t="s">
        <v>1092</v>
      </c>
      <c r="Y46" t="s">
        <v>1093</v>
      </c>
      <c r="Z46" t="s">
        <v>1094</v>
      </c>
      <c r="AA46" t="s">
        <v>1095</v>
      </c>
      <c r="AB46" t="s">
        <v>1096</v>
      </c>
      <c r="AC46" t="s">
        <v>74</v>
      </c>
      <c r="AD46" t="s">
        <v>74</v>
      </c>
      <c r="AE46" t="s">
        <v>74</v>
      </c>
      <c r="AF46" t="s">
        <v>74</v>
      </c>
      <c r="AG46">
        <v>48</v>
      </c>
      <c r="AH46">
        <v>79</v>
      </c>
      <c r="AI46">
        <v>107</v>
      </c>
      <c r="AJ46">
        <v>4</v>
      </c>
      <c r="AK46">
        <v>104</v>
      </c>
      <c r="AL46" t="s">
        <v>1097</v>
      </c>
      <c r="AM46" t="s">
        <v>1098</v>
      </c>
      <c r="AN46" t="s">
        <v>1099</v>
      </c>
      <c r="AO46" t="s">
        <v>1100</v>
      </c>
      <c r="AP46" t="s">
        <v>1101</v>
      </c>
      <c r="AQ46" t="s">
        <v>74</v>
      </c>
      <c r="AR46" t="s">
        <v>1102</v>
      </c>
      <c r="AS46" t="s">
        <v>1103</v>
      </c>
      <c r="AT46" t="s">
        <v>98</v>
      </c>
      <c r="AU46">
        <v>2021</v>
      </c>
      <c r="AV46">
        <v>8</v>
      </c>
      <c r="AW46">
        <v>4</v>
      </c>
      <c r="AX46" t="s">
        <v>74</v>
      </c>
      <c r="AY46" t="s">
        <v>74</v>
      </c>
      <c r="AZ46" t="s">
        <v>74</v>
      </c>
      <c r="BA46" t="s">
        <v>74</v>
      </c>
      <c r="BB46">
        <v>485</v>
      </c>
      <c r="BC46">
        <v>503</v>
      </c>
      <c r="BD46" t="s">
        <v>74</v>
      </c>
      <c r="BE46" t="s">
        <v>1104</v>
      </c>
      <c r="BF46" t="str">
        <f>HYPERLINK("http://dx.doi.org/10.1007/s40692-021-00188-7","http://dx.doi.org/10.1007/s40692-021-00188-7")</f>
        <v>http://dx.doi.org/10.1007/s40692-021-00188-7</v>
      </c>
      <c r="BG46" t="s">
        <v>74</v>
      </c>
      <c r="BH46" t="s">
        <v>1105</v>
      </c>
      <c r="BI46">
        <v>19</v>
      </c>
      <c r="BJ46" t="s">
        <v>318</v>
      </c>
      <c r="BK46" t="s">
        <v>102</v>
      </c>
      <c r="BL46" t="s">
        <v>318</v>
      </c>
      <c r="BM46" t="s">
        <v>1106</v>
      </c>
      <c r="BN46" t="s">
        <v>74</v>
      </c>
      <c r="BO46" t="s">
        <v>74</v>
      </c>
      <c r="BP46" t="s">
        <v>74</v>
      </c>
      <c r="BQ46" t="s">
        <v>74</v>
      </c>
      <c r="BR46" t="s">
        <v>106</v>
      </c>
      <c r="BS46" t="s">
        <v>1107</v>
      </c>
      <c r="BT46" t="str">
        <f>HYPERLINK("https%3A%2F%2Fwww.webofscience.com%2Fwos%2Fwoscc%2Ffull-record%2FWOS:000643196800001","View Full Record in Web of Science")</f>
        <v>View Full Record in Web of Science</v>
      </c>
    </row>
    <row r="47" spans="1:72" x14ac:dyDescent="0.25">
      <c r="A47" t="s">
        <v>1108</v>
      </c>
      <c r="B47" t="s">
        <v>1109</v>
      </c>
      <c r="C47" t="s">
        <v>1109</v>
      </c>
      <c r="D47" t="s">
        <v>74</v>
      </c>
      <c r="E47" t="s">
        <v>74</v>
      </c>
      <c r="F47" t="s">
        <v>1110</v>
      </c>
      <c r="G47" t="s">
        <v>1109</v>
      </c>
      <c r="H47" t="s">
        <v>74</v>
      </c>
      <c r="I47" t="s">
        <v>1111</v>
      </c>
      <c r="J47" t="s">
        <v>1112</v>
      </c>
      <c r="K47" t="s">
        <v>74</v>
      </c>
      <c r="L47" t="s">
        <v>74</v>
      </c>
      <c r="M47" t="s">
        <v>78</v>
      </c>
      <c r="N47" t="s">
        <v>1113</v>
      </c>
      <c r="O47" t="s">
        <v>74</v>
      </c>
      <c r="P47" t="s">
        <v>74</v>
      </c>
      <c r="Q47" t="s">
        <v>74</v>
      </c>
      <c r="R47" t="s">
        <v>74</v>
      </c>
      <c r="S47" t="s">
        <v>74</v>
      </c>
      <c r="T47" t="s">
        <v>74</v>
      </c>
      <c r="U47" t="s">
        <v>1114</v>
      </c>
      <c r="V47" t="s">
        <v>74</v>
      </c>
      <c r="W47" t="s">
        <v>74</v>
      </c>
      <c r="X47" t="s">
        <v>74</v>
      </c>
      <c r="Y47" t="s">
        <v>74</v>
      </c>
      <c r="Z47" t="s">
        <v>74</v>
      </c>
      <c r="AA47" t="s">
        <v>74</v>
      </c>
      <c r="AB47" t="s">
        <v>74</v>
      </c>
      <c r="AC47" t="s">
        <v>74</v>
      </c>
      <c r="AD47" t="s">
        <v>74</v>
      </c>
      <c r="AE47" t="s">
        <v>74</v>
      </c>
      <c r="AF47" t="s">
        <v>74</v>
      </c>
      <c r="AG47">
        <v>113</v>
      </c>
      <c r="AH47">
        <v>0</v>
      </c>
      <c r="AI47">
        <v>0</v>
      </c>
      <c r="AJ47">
        <v>0</v>
      </c>
      <c r="AK47">
        <v>2</v>
      </c>
      <c r="AL47" t="s">
        <v>1115</v>
      </c>
      <c r="AM47" t="s">
        <v>1116</v>
      </c>
      <c r="AN47" t="s">
        <v>1117</v>
      </c>
      <c r="AO47" t="s">
        <v>74</v>
      </c>
      <c r="AP47" t="s">
        <v>74</v>
      </c>
      <c r="AQ47" t="s">
        <v>1118</v>
      </c>
      <c r="AR47" t="s">
        <v>74</v>
      </c>
      <c r="AS47" t="s">
        <v>74</v>
      </c>
      <c r="AT47" t="s">
        <v>74</v>
      </c>
      <c r="AU47">
        <v>2019</v>
      </c>
      <c r="AV47" t="s">
        <v>74</v>
      </c>
      <c r="AW47" t="s">
        <v>74</v>
      </c>
      <c r="AX47" t="s">
        <v>74</v>
      </c>
      <c r="AY47" t="s">
        <v>74</v>
      </c>
      <c r="AZ47" t="s">
        <v>74</v>
      </c>
      <c r="BA47" t="s">
        <v>74</v>
      </c>
      <c r="BB47">
        <v>301</v>
      </c>
      <c r="BC47">
        <v>344</v>
      </c>
      <c r="BD47" t="s">
        <v>74</v>
      </c>
      <c r="BE47" t="s">
        <v>74</v>
      </c>
      <c r="BF47" t="s">
        <v>74</v>
      </c>
      <c r="BG47" t="s">
        <v>74</v>
      </c>
      <c r="BH47" t="s">
        <v>74</v>
      </c>
      <c r="BI47">
        <v>44</v>
      </c>
      <c r="BJ47" t="s">
        <v>664</v>
      </c>
      <c r="BK47" t="s">
        <v>1119</v>
      </c>
      <c r="BL47" t="s">
        <v>665</v>
      </c>
      <c r="BM47" t="s">
        <v>1120</v>
      </c>
      <c r="BN47" t="s">
        <v>74</v>
      </c>
      <c r="BO47" t="s">
        <v>74</v>
      </c>
      <c r="BP47" t="s">
        <v>74</v>
      </c>
      <c r="BQ47" t="s">
        <v>74</v>
      </c>
      <c r="BR47" t="s">
        <v>106</v>
      </c>
      <c r="BS47" t="s">
        <v>1121</v>
      </c>
      <c r="BT47" t="str">
        <f>HYPERLINK("https%3A%2F%2Fwww.webofscience.com%2Fwos%2Fwoscc%2Ffull-record%2FWOS:000466052200006","View Full Record in Web of Science")</f>
        <v>View Full Record in Web of Science</v>
      </c>
    </row>
    <row r="48" spans="1:72" x14ac:dyDescent="0.25">
      <c r="A48" t="s">
        <v>72</v>
      </c>
      <c r="B48" t="s">
        <v>1122</v>
      </c>
      <c r="C48" t="s">
        <v>74</v>
      </c>
      <c r="D48" t="s">
        <v>74</v>
      </c>
      <c r="E48" t="s">
        <v>74</v>
      </c>
      <c r="F48" t="s">
        <v>1123</v>
      </c>
      <c r="G48" t="s">
        <v>74</v>
      </c>
      <c r="H48" t="s">
        <v>74</v>
      </c>
      <c r="I48" t="s">
        <v>1124</v>
      </c>
      <c r="J48" t="s">
        <v>1125</v>
      </c>
      <c r="K48" t="s">
        <v>74</v>
      </c>
      <c r="L48" t="s">
        <v>74</v>
      </c>
      <c r="M48" t="s">
        <v>78</v>
      </c>
      <c r="N48" t="s">
        <v>79</v>
      </c>
      <c r="O48" t="s">
        <v>74</v>
      </c>
      <c r="P48" t="s">
        <v>74</v>
      </c>
      <c r="Q48" t="s">
        <v>74</v>
      </c>
      <c r="R48" t="s">
        <v>74</v>
      </c>
      <c r="S48" t="s">
        <v>74</v>
      </c>
      <c r="T48" t="s">
        <v>1126</v>
      </c>
      <c r="U48" t="s">
        <v>1127</v>
      </c>
      <c r="V48" t="s">
        <v>1128</v>
      </c>
      <c r="W48" t="s">
        <v>1129</v>
      </c>
      <c r="X48" t="s">
        <v>1130</v>
      </c>
      <c r="Y48" t="s">
        <v>1131</v>
      </c>
      <c r="Z48" t="s">
        <v>1132</v>
      </c>
      <c r="AA48" t="s">
        <v>74</v>
      </c>
      <c r="AB48" t="s">
        <v>1133</v>
      </c>
      <c r="AC48" t="s">
        <v>1134</v>
      </c>
      <c r="AD48" t="s">
        <v>1134</v>
      </c>
      <c r="AE48" t="s">
        <v>1135</v>
      </c>
      <c r="AF48" t="s">
        <v>74</v>
      </c>
      <c r="AG48">
        <v>49</v>
      </c>
      <c r="AH48">
        <v>3</v>
      </c>
      <c r="AI48">
        <v>4</v>
      </c>
      <c r="AJ48">
        <v>0</v>
      </c>
      <c r="AK48">
        <v>47</v>
      </c>
      <c r="AL48" t="s">
        <v>1136</v>
      </c>
      <c r="AM48" t="s">
        <v>1137</v>
      </c>
      <c r="AN48" t="s">
        <v>1138</v>
      </c>
      <c r="AO48" t="s">
        <v>1139</v>
      </c>
      <c r="AP48" t="s">
        <v>1140</v>
      </c>
      <c r="AQ48" t="s">
        <v>74</v>
      </c>
      <c r="AR48" t="s">
        <v>1141</v>
      </c>
      <c r="AS48" t="s">
        <v>1142</v>
      </c>
      <c r="AT48" t="s">
        <v>98</v>
      </c>
      <c r="AU48">
        <v>2018</v>
      </c>
      <c r="AV48">
        <v>56</v>
      </c>
      <c r="AW48">
        <v>7</v>
      </c>
      <c r="AX48" t="s">
        <v>74</v>
      </c>
      <c r="AY48" t="s">
        <v>74</v>
      </c>
      <c r="AZ48" t="s">
        <v>74</v>
      </c>
      <c r="BA48" t="s">
        <v>74</v>
      </c>
      <c r="BB48">
        <v>1056</v>
      </c>
      <c r="BC48">
        <v>1075</v>
      </c>
      <c r="BD48" t="s">
        <v>74</v>
      </c>
      <c r="BE48" t="s">
        <v>1143</v>
      </c>
      <c r="BF48" t="str">
        <f>HYPERLINK("http://dx.doi.org/10.1177/0735633117732961","http://dx.doi.org/10.1177/0735633117732961")</f>
        <v>http://dx.doi.org/10.1177/0735633117732961</v>
      </c>
      <c r="BG48" t="s">
        <v>74</v>
      </c>
      <c r="BH48" t="s">
        <v>74</v>
      </c>
      <c r="BI48">
        <v>20</v>
      </c>
      <c r="BJ48" t="s">
        <v>318</v>
      </c>
      <c r="BK48" t="s">
        <v>250</v>
      </c>
      <c r="BL48" t="s">
        <v>318</v>
      </c>
      <c r="BM48" t="s">
        <v>1144</v>
      </c>
      <c r="BN48" t="s">
        <v>74</v>
      </c>
      <c r="BO48" t="s">
        <v>74</v>
      </c>
      <c r="BP48" t="s">
        <v>74</v>
      </c>
      <c r="BQ48" t="s">
        <v>74</v>
      </c>
      <c r="BR48" t="s">
        <v>106</v>
      </c>
      <c r="BS48" t="s">
        <v>1145</v>
      </c>
      <c r="BT48" t="str">
        <f>HYPERLINK("https%3A%2F%2Fwww.webofscience.com%2Fwos%2Fwoscc%2Ffull-record%2FWOS:000450334000004","View Full Record in Web of Science")</f>
        <v>View Full Record in Web of Science</v>
      </c>
    </row>
    <row r="49" spans="1:72" x14ac:dyDescent="0.25">
      <c r="A49" t="s">
        <v>72</v>
      </c>
      <c r="B49" t="s">
        <v>1146</v>
      </c>
      <c r="C49" t="s">
        <v>74</v>
      </c>
      <c r="D49" t="s">
        <v>74</v>
      </c>
      <c r="E49" t="s">
        <v>74</v>
      </c>
      <c r="F49" t="s">
        <v>1147</v>
      </c>
      <c r="G49" t="s">
        <v>74</v>
      </c>
      <c r="H49" t="s">
        <v>74</v>
      </c>
      <c r="I49" t="s">
        <v>1148</v>
      </c>
      <c r="J49" t="s">
        <v>1149</v>
      </c>
      <c r="K49" t="s">
        <v>74</v>
      </c>
      <c r="L49" t="s">
        <v>74</v>
      </c>
      <c r="M49" t="s">
        <v>78</v>
      </c>
      <c r="N49" t="s">
        <v>79</v>
      </c>
      <c r="O49" t="s">
        <v>74</v>
      </c>
      <c r="P49" t="s">
        <v>74</v>
      </c>
      <c r="Q49" t="s">
        <v>74</v>
      </c>
      <c r="R49" t="s">
        <v>74</v>
      </c>
      <c r="S49" t="s">
        <v>74</v>
      </c>
      <c r="T49" t="s">
        <v>1150</v>
      </c>
      <c r="U49" t="s">
        <v>1151</v>
      </c>
      <c r="V49" t="s">
        <v>1152</v>
      </c>
      <c r="W49" t="s">
        <v>1153</v>
      </c>
      <c r="X49" t="s">
        <v>1154</v>
      </c>
      <c r="Y49" t="s">
        <v>1155</v>
      </c>
      <c r="Z49" t="s">
        <v>1156</v>
      </c>
      <c r="AA49" t="s">
        <v>1157</v>
      </c>
      <c r="AB49" t="s">
        <v>1158</v>
      </c>
      <c r="AC49" t="s">
        <v>74</v>
      </c>
      <c r="AD49" t="s">
        <v>74</v>
      </c>
      <c r="AE49" t="s">
        <v>74</v>
      </c>
      <c r="AF49" t="s">
        <v>74</v>
      </c>
      <c r="AG49">
        <v>32</v>
      </c>
      <c r="AH49">
        <v>27</v>
      </c>
      <c r="AI49">
        <v>41</v>
      </c>
      <c r="AJ49">
        <v>0</v>
      </c>
      <c r="AK49">
        <v>22</v>
      </c>
      <c r="AL49" t="s">
        <v>1159</v>
      </c>
      <c r="AM49" t="s">
        <v>1160</v>
      </c>
      <c r="AN49" t="s">
        <v>1161</v>
      </c>
      <c r="AO49" t="s">
        <v>1162</v>
      </c>
      <c r="AP49" t="s">
        <v>1163</v>
      </c>
      <c r="AQ49" t="s">
        <v>74</v>
      </c>
      <c r="AR49" t="s">
        <v>1164</v>
      </c>
      <c r="AS49" t="s">
        <v>1165</v>
      </c>
      <c r="AT49" t="s">
        <v>1166</v>
      </c>
      <c r="AU49">
        <v>2014</v>
      </c>
      <c r="AV49">
        <v>17</v>
      </c>
      <c r="AW49">
        <v>3</v>
      </c>
      <c r="AX49" t="s">
        <v>74</v>
      </c>
      <c r="AY49" t="s">
        <v>74</v>
      </c>
      <c r="AZ49" t="s">
        <v>74</v>
      </c>
      <c r="BA49" t="s">
        <v>74</v>
      </c>
      <c r="BB49">
        <v>343</v>
      </c>
      <c r="BC49">
        <v>358</v>
      </c>
      <c r="BD49" t="s">
        <v>74</v>
      </c>
      <c r="BE49" t="s">
        <v>74</v>
      </c>
      <c r="BF49" t="s">
        <v>74</v>
      </c>
      <c r="BG49" t="s">
        <v>74</v>
      </c>
      <c r="BH49" t="s">
        <v>74</v>
      </c>
      <c r="BI49">
        <v>16</v>
      </c>
      <c r="BJ49" t="s">
        <v>318</v>
      </c>
      <c r="BK49" t="s">
        <v>250</v>
      </c>
      <c r="BL49" t="s">
        <v>318</v>
      </c>
      <c r="BM49" t="s">
        <v>1167</v>
      </c>
      <c r="BN49" t="s">
        <v>74</v>
      </c>
      <c r="BO49" t="s">
        <v>74</v>
      </c>
      <c r="BP49" t="s">
        <v>74</v>
      </c>
      <c r="BQ49" t="s">
        <v>74</v>
      </c>
      <c r="BR49" t="s">
        <v>106</v>
      </c>
      <c r="BS49" t="s">
        <v>1168</v>
      </c>
      <c r="BT49" t="str">
        <f>HYPERLINK("https%3A%2F%2Fwww.webofscience.com%2Fwos%2Fwoscc%2Ffull-record%2FWOS:000342967800026","View Full Record in Web of Science")</f>
        <v>View Full Record in Web of Science</v>
      </c>
    </row>
    <row r="50" spans="1:72" x14ac:dyDescent="0.25">
      <c r="A50" t="s">
        <v>72</v>
      </c>
      <c r="B50" t="s">
        <v>1169</v>
      </c>
      <c r="C50" t="s">
        <v>74</v>
      </c>
      <c r="D50" t="s">
        <v>74</v>
      </c>
      <c r="E50" t="s">
        <v>74</v>
      </c>
      <c r="F50" t="s">
        <v>1170</v>
      </c>
      <c r="G50" t="s">
        <v>74</v>
      </c>
      <c r="H50" t="s">
        <v>74</v>
      </c>
      <c r="I50" t="s">
        <v>1171</v>
      </c>
      <c r="J50" t="s">
        <v>1172</v>
      </c>
      <c r="K50" t="s">
        <v>74</v>
      </c>
      <c r="L50" t="s">
        <v>74</v>
      </c>
      <c r="M50" t="s">
        <v>78</v>
      </c>
      <c r="N50" t="s">
        <v>79</v>
      </c>
      <c r="O50" t="s">
        <v>74</v>
      </c>
      <c r="P50" t="s">
        <v>74</v>
      </c>
      <c r="Q50" t="s">
        <v>74</v>
      </c>
      <c r="R50" t="s">
        <v>74</v>
      </c>
      <c r="S50" t="s">
        <v>74</v>
      </c>
      <c r="T50" t="s">
        <v>1173</v>
      </c>
      <c r="U50" t="s">
        <v>74</v>
      </c>
      <c r="V50" t="s">
        <v>1174</v>
      </c>
      <c r="W50" t="s">
        <v>1175</v>
      </c>
      <c r="X50" t="s">
        <v>1176</v>
      </c>
      <c r="Y50" t="s">
        <v>1177</v>
      </c>
      <c r="Z50" t="s">
        <v>1178</v>
      </c>
      <c r="AA50" t="s">
        <v>1179</v>
      </c>
      <c r="AB50" t="s">
        <v>1180</v>
      </c>
      <c r="AC50" t="s">
        <v>1181</v>
      </c>
      <c r="AD50" t="s">
        <v>1182</v>
      </c>
      <c r="AE50" t="s">
        <v>1183</v>
      </c>
      <c r="AF50" t="s">
        <v>74</v>
      </c>
      <c r="AG50">
        <v>17</v>
      </c>
      <c r="AH50">
        <v>9</v>
      </c>
      <c r="AI50">
        <v>10</v>
      </c>
      <c r="AJ50">
        <v>0</v>
      </c>
      <c r="AK50">
        <v>15</v>
      </c>
      <c r="AL50" t="s">
        <v>1184</v>
      </c>
      <c r="AM50" t="s">
        <v>1185</v>
      </c>
      <c r="AN50" t="s">
        <v>1186</v>
      </c>
      <c r="AO50" t="s">
        <v>1187</v>
      </c>
      <c r="AP50" t="s">
        <v>74</v>
      </c>
      <c r="AQ50" t="s">
        <v>74</v>
      </c>
      <c r="AR50" t="s">
        <v>1188</v>
      </c>
      <c r="AS50" t="s">
        <v>1189</v>
      </c>
      <c r="AT50" t="s">
        <v>74</v>
      </c>
      <c r="AU50">
        <v>2016</v>
      </c>
      <c r="AV50">
        <v>22</v>
      </c>
      <c r="AW50">
        <v>3</v>
      </c>
      <c r="AX50" t="s">
        <v>74</v>
      </c>
      <c r="AY50" t="s">
        <v>74</v>
      </c>
      <c r="AZ50" t="s">
        <v>74</v>
      </c>
      <c r="BA50" t="s">
        <v>74</v>
      </c>
      <c r="BB50">
        <v>319</v>
      </c>
      <c r="BC50">
        <v>339</v>
      </c>
      <c r="BD50" t="s">
        <v>74</v>
      </c>
      <c r="BE50" t="s">
        <v>74</v>
      </c>
      <c r="BF50" t="s">
        <v>74</v>
      </c>
      <c r="BG50" t="s">
        <v>74</v>
      </c>
      <c r="BH50" t="s">
        <v>74</v>
      </c>
      <c r="BI50">
        <v>21</v>
      </c>
      <c r="BJ50" t="s">
        <v>1190</v>
      </c>
      <c r="BK50" t="s">
        <v>902</v>
      </c>
      <c r="BL50" t="s">
        <v>103</v>
      </c>
      <c r="BM50" t="s">
        <v>1191</v>
      </c>
      <c r="BN50" t="s">
        <v>74</v>
      </c>
      <c r="BO50" t="s">
        <v>74</v>
      </c>
      <c r="BP50" t="s">
        <v>74</v>
      </c>
      <c r="BQ50" t="s">
        <v>74</v>
      </c>
      <c r="BR50" t="s">
        <v>106</v>
      </c>
      <c r="BS50" t="s">
        <v>1192</v>
      </c>
      <c r="BT50" t="str">
        <f>HYPERLINK("https%3A%2F%2Fwww.webofscience.com%2Fwos%2Fwoscc%2Ffull-record%2FWOS:000379853700003","View Full Record in Web of Science")</f>
        <v>View Full Record in Web of Science</v>
      </c>
    </row>
    <row r="51" spans="1:72" x14ac:dyDescent="0.25">
      <c r="A51" t="s">
        <v>108</v>
      </c>
      <c r="B51" t="s">
        <v>1193</v>
      </c>
      <c r="C51" t="s">
        <v>74</v>
      </c>
      <c r="D51" t="s">
        <v>1194</v>
      </c>
      <c r="E51" t="s">
        <v>74</v>
      </c>
      <c r="F51" t="s">
        <v>1195</v>
      </c>
      <c r="G51" t="s">
        <v>74</v>
      </c>
      <c r="H51" t="s">
        <v>74</v>
      </c>
      <c r="I51" t="s">
        <v>1196</v>
      </c>
      <c r="J51" t="s">
        <v>1197</v>
      </c>
      <c r="K51" t="s">
        <v>147</v>
      </c>
      <c r="L51" t="s">
        <v>74</v>
      </c>
      <c r="M51" t="s">
        <v>78</v>
      </c>
      <c r="N51" t="s">
        <v>115</v>
      </c>
      <c r="O51" t="s">
        <v>1198</v>
      </c>
      <c r="P51" t="s">
        <v>1199</v>
      </c>
      <c r="Q51" t="s">
        <v>1200</v>
      </c>
      <c r="R51" t="s">
        <v>74</v>
      </c>
      <c r="S51" t="s">
        <v>74</v>
      </c>
      <c r="T51" t="s">
        <v>1201</v>
      </c>
      <c r="U51" t="s">
        <v>74</v>
      </c>
      <c r="V51" t="s">
        <v>1202</v>
      </c>
      <c r="W51" t="s">
        <v>1203</v>
      </c>
      <c r="X51" t="s">
        <v>1204</v>
      </c>
      <c r="Y51" t="s">
        <v>1205</v>
      </c>
      <c r="Z51" t="s">
        <v>1206</v>
      </c>
      <c r="AA51" t="s">
        <v>74</v>
      </c>
      <c r="AB51" t="s">
        <v>74</v>
      </c>
      <c r="AC51" t="s">
        <v>74</v>
      </c>
      <c r="AD51" t="s">
        <v>74</v>
      </c>
      <c r="AE51" t="s">
        <v>74</v>
      </c>
      <c r="AF51" t="s">
        <v>74</v>
      </c>
      <c r="AG51">
        <v>18</v>
      </c>
      <c r="AH51">
        <v>6</v>
      </c>
      <c r="AI51">
        <v>6</v>
      </c>
      <c r="AJ51">
        <v>0</v>
      </c>
      <c r="AK51">
        <v>10</v>
      </c>
      <c r="AL51" t="s">
        <v>197</v>
      </c>
      <c r="AM51" t="s">
        <v>198</v>
      </c>
      <c r="AN51" t="s">
        <v>199</v>
      </c>
      <c r="AO51" t="s">
        <v>159</v>
      </c>
      <c r="AP51" t="s">
        <v>133</v>
      </c>
      <c r="AQ51" t="s">
        <v>1207</v>
      </c>
      <c r="AR51" t="s">
        <v>161</v>
      </c>
      <c r="AS51" t="s">
        <v>74</v>
      </c>
      <c r="AT51" t="s">
        <v>74</v>
      </c>
      <c r="AU51">
        <v>2015</v>
      </c>
      <c r="AV51">
        <v>9196</v>
      </c>
      <c r="AW51" t="s">
        <v>74</v>
      </c>
      <c r="AX51" t="s">
        <v>74</v>
      </c>
      <c r="AY51" t="s">
        <v>74</v>
      </c>
      <c r="AZ51" t="s">
        <v>74</v>
      </c>
      <c r="BA51" t="s">
        <v>74</v>
      </c>
      <c r="BB51">
        <v>363</v>
      </c>
      <c r="BC51">
        <v>372</v>
      </c>
      <c r="BD51" t="s">
        <v>74</v>
      </c>
      <c r="BE51" t="s">
        <v>1208</v>
      </c>
      <c r="BF51" t="str">
        <f>HYPERLINK("http://dx.doi.org/10.1007/978-3-319-22047-5_29","http://dx.doi.org/10.1007/978-3-319-22047-5_29")</f>
        <v>http://dx.doi.org/10.1007/978-3-319-22047-5_29</v>
      </c>
      <c r="BG51" t="s">
        <v>74</v>
      </c>
      <c r="BH51" t="s">
        <v>74</v>
      </c>
      <c r="BI51">
        <v>10</v>
      </c>
      <c r="BJ51" t="s">
        <v>1209</v>
      </c>
      <c r="BK51" t="s">
        <v>203</v>
      </c>
      <c r="BL51" t="s">
        <v>103</v>
      </c>
      <c r="BM51" t="s">
        <v>1210</v>
      </c>
      <c r="BN51" t="s">
        <v>74</v>
      </c>
      <c r="BO51" t="s">
        <v>74</v>
      </c>
      <c r="BP51" t="s">
        <v>74</v>
      </c>
      <c r="BQ51" t="s">
        <v>74</v>
      </c>
      <c r="BR51" t="s">
        <v>106</v>
      </c>
      <c r="BS51" t="s">
        <v>1211</v>
      </c>
      <c r="BT51" t="str">
        <f>HYPERLINK("https%3A%2F%2Fwww.webofscience.com%2Fwos%2Fwoscc%2Ffull-record%2FWOS:000363949100029","View Full Record in Web of Science")</f>
        <v>View Full Record in Web of Science</v>
      </c>
    </row>
    <row r="52" spans="1:72" x14ac:dyDescent="0.25">
      <c r="A52" t="s">
        <v>108</v>
      </c>
      <c r="B52" t="s">
        <v>1212</v>
      </c>
      <c r="C52" t="s">
        <v>74</v>
      </c>
      <c r="D52" t="s">
        <v>1213</v>
      </c>
      <c r="E52" t="s">
        <v>74</v>
      </c>
      <c r="F52" t="s">
        <v>1214</v>
      </c>
      <c r="G52" t="s">
        <v>74</v>
      </c>
      <c r="H52" t="s">
        <v>74</v>
      </c>
      <c r="I52" t="s">
        <v>1215</v>
      </c>
      <c r="J52" t="s">
        <v>1216</v>
      </c>
      <c r="K52" t="s">
        <v>790</v>
      </c>
      <c r="L52" t="s">
        <v>74</v>
      </c>
      <c r="M52" t="s">
        <v>78</v>
      </c>
      <c r="N52" t="s">
        <v>115</v>
      </c>
      <c r="O52" t="s">
        <v>1217</v>
      </c>
      <c r="P52" t="s">
        <v>1218</v>
      </c>
      <c r="Q52" t="s">
        <v>1219</v>
      </c>
      <c r="R52" t="s">
        <v>1220</v>
      </c>
      <c r="S52" t="s">
        <v>74</v>
      </c>
      <c r="T52" t="s">
        <v>1221</v>
      </c>
      <c r="U52" t="s">
        <v>1222</v>
      </c>
      <c r="V52" t="s">
        <v>1223</v>
      </c>
      <c r="W52" t="s">
        <v>1224</v>
      </c>
      <c r="X52" t="s">
        <v>1225</v>
      </c>
      <c r="Y52" t="s">
        <v>1226</v>
      </c>
      <c r="Z52" t="s">
        <v>1227</v>
      </c>
      <c r="AA52" t="s">
        <v>1228</v>
      </c>
      <c r="AB52" t="s">
        <v>1229</v>
      </c>
      <c r="AC52" t="s">
        <v>1230</v>
      </c>
      <c r="AD52" t="s">
        <v>1231</v>
      </c>
      <c r="AE52" t="s">
        <v>1232</v>
      </c>
      <c r="AF52" t="s">
        <v>74</v>
      </c>
      <c r="AG52">
        <v>15</v>
      </c>
      <c r="AH52">
        <v>3</v>
      </c>
      <c r="AI52">
        <v>3</v>
      </c>
      <c r="AJ52">
        <v>0</v>
      </c>
      <c r="AK52">
        <v>2</v>
      </c>
      <c r="AL52" t="s">
        <v>129</v>
      </c>
      <c r="AM52" t="s">
        <v>130</v>
      </c>
      <c r="AN52" t="s">
        <v>131</v>
      </c>
      <c r="AO52" t="s">
        <v>803</v>
      </c>
      <c r="AP52" t="s">
        <v>1233</v>
      </c>
      <c r="AQ52" t="s">
        <v>1234</v>
      </c>
      <c r="AR52" t="s">
        <v>805</v>
      </c>
      <c r="AS52" t="s">
        <v>74</v>
      </c>
      <c r="AT52" t="s">
        <v>74</v>
      </c>
      <c r="AU52">
        <v>2019</v>
      </c>
      <c r="AV52">
        <v>800</v>
      </c>
      <c r="AW52" t="s">
        <v>74</v>
      </c>
      <c r="AX52" t="s">
        <v>74</v>
      </c>
      <c r="AY52" t="s">
        <v>74</v>
      </c>
      <c r="AZ52" t="s">
        <v>74</v>
      </c>
      <c r="BA52" t="s">
        <v>74</v>
      </c>
      <c r="BB52">
        <v>36</v>
      </c>
      <c r="BC52">
        <v>44</v>
      </c>
      <c r="BD52" t="s">
        <v>74</v>
      </c>
      <c r="BE52" t="s">
        <v>1235</v>
      </c>
      <c r="BF52" t="str">
        <f>HYPERLINK("http://dx.doi.org/10.1007/978-3-319-94649-8_5","http://dx.doi.org/10.1007/978-3-319-94649-8_5")</f>
        <v>http://dx.doi.org/10.1007/978-3-319-94649-8_5</v>
      </c>
      <c r="BG52" t="s">
        <v>74</v>
      </c>
      <c r="BH52" t="s">
        <v>74</v>
      </c>
      <c r="BI52">
        <v>9</v>
      </c>
      <c r="BJ52" t="s">
        <v>1236</v>
      </c>
      <c r="BK52" t="s">
        <v>203</v>
      </c>
      <c r="BL52" t="s">
        <v>103</v>
      </c>
      <c r="BM52" t="s">
        <v>1237</v>
      </c>
      <c r="BN52" t="s">
        <v>74</v>
      </c>
      <c r="BO52" t="s">
        <v>74</v>
      </c>
      <c r="BP52" t="s">
        <v>74</v>
      </c>
      <c r="BQ52" t="s">
        <v>74</v>
      </c>
      <c r="BR52" t="s">
        <v>106</v>
      </c>
      <c r="BS52" t="s">
        <v>1238</v>
      </c>
      <c r="BT52" t="str">
        <f>HYPERLINK("https%3A%2F%2Fwww.webofscience.com%2Fwos%2Fwoscc%2Ffull-record%2FWOS:000558269400005","View Full Record in Web of Science")</f>
        <v>View Full Record in Web of Science</v>
      </c>
    </row>
    <row r="53" spans="1:72" x14ac:dyDescent="0.25">
      <c r="A53" t="s">
        <v>72</v>
      </c>
      <c r="B53" t="s">
        <v>1239</v>
      </c>
      <c r="C53" t="s">
        <v>74</v>
      </c>
      <c r="D53" t="s">
        <v>74</v>
      </c>
      <c r="E53" t="s">
        <v>74</v>
      </c>
      <c r="F53" t="s">
        <v>1240</v>
      </c>
      <c r="G53" t="s">
        <v>74</v>
      </c>
      <c r="H53" t="s">
        <v>74</v>
      </c>
      <c r="I53" t="s">
        <v>1241</v>
      </c>
      <c r="J53" t="s">
        <v>725</v>
      </c>
      <c r="K53" t="s">
        <v>74</v>
      </c>
      <c r="L53" t="s">
        <v>74</v>
      </c>
      <c r="M53" t="s">
        <v>78</v>
      </c>
      <c r="N53" t="s">
        <v>79</v>
      </c>
      <c r="O53" t="s">
        <v>74</v>
      </c>
      <c r="P53" t="s">
        <v>74</v>
      </c>
      <c r="Q53" t="s">
        <v>74</v>
      </c>
      <c r="R53" t="s">
        <v>74</v>
      </c>
      <c r="S53" t="s">
        <v>74</v>
      </c>
      <c r="T53" t="s">
        <v>1242</v>
      </c>
      <c r="U53" t="s">
        <v>1243</v>
      </c>
      <c r="V53" t="s">
        <v>1244</v>
      </c>
      <c r="W53" t="s">
        <v>1245</v>
      </c>
      <c r="X53" t="s">
        <v>1246</v>
      </c>
      <c r="Y53" t="s">
        <v>1247</v>
      </c>
      <c r="Z53" t="s">
        <v>1248</v>
      </c>
      <c r="AA53" t="s">
        <v>1249</v>
      </c>
      <c r="AB53" t="s">
        <v>1250</v>
      </c>
      <c r="AC53" t="s">
        <v>74</v>
      </c>
      <c r="AD53" t="s">
        <v>74</v>
      </c>
      <c r="AE53" t="s">
        <v>74</v>
      </c>
      <c r="AF53" t="s">
        <v>74</v>
      </c>
      <c r="AG53">
        <v>94</v>
      </c>
      <c r="AH53">
        <v>8</v>
      </c>
      <c r="AI53">
        <v>8</v>
      </c>
      <c r="AJ53">
        <v>41</v>
      </c>
      <c r="AK53">
        <v>81</v>
      </c>
      <c r="AL53" t="s">
        <v>736</v>
      </c>
      <c r="AM53" t="s">
        <v>737</v>
      </c>
      <c r="AN53" t="s">
        <v>738</v>
      </c>
      <c r="AO53" t="s">
        <v>739</v>
      </c>
      <c r="AP53" t="s">
        <v>740</v>
      </c>
      <c r="AQ53" t="s">
        <v>74</v>
      </c>
      <c r="AR53" t="s">
        <v>741</v>
      </c>
      <c r="AS53" t="s">
        <v>742</v>
      </c>
      <c r="AT53" t="s">
        <v>1251</v>
      </c>
      <c r="AU53">
        <v>2026</v>
      </c>
      <c r="AV53">
        <v>243</v>
      </c>
      <c r="AW53" t="s">
        <v>74</v>
      </c>
      <c r="AX53" t="s">
        <v>74</v>
      </c>
      <c r="AY53" t="s">
        <v>74</v>
      </c>
      <c r="AZ53" t="s">
        <v>74</v>
      </c>
      <c r="BA53" t="s">
        <v>74</v>
      </c>
      <c r="BB53" t="s">
        <v>74</v>
      </c>
      <c r="BC53" t="s">
        <v>74</v>
      </c>
      <c r="BD53">
        <v>105514</v>
      </c>
      <c r="BE53" t="s">
        <v>1252</v>
      </c>
      <c r="BF53" t="str">
        <f>HYPERLINK("http://dx.doi.org/10.1016/j.compedu.2025.105514","http://dx.doi.org/10.1016/j.compedu.2025.105514")</f>
        <v>http://dx.doi.org/10.1016/j.compedu.2025.105514</v>
      </c>
      <c r="BG53" t="s">
        <v>74</v>
      </c>
      <c r="BH53" t="s">
        <v>1253</v>
      </c>
      <c r="BI53">
        <v>24</v>
      </c>
      <c r="BJ53" t="s">
        <v>744</v>
      </c>
      <c r="BK53" t="s">
        <v>745</v>
      </c>
      <c r="BL53" t="s">
        <v>139</v>
      </c>
      <c r="BM53" t="s">
        <v>1254</v>
      </c>
      <c r="BN53" t="s">
        <v>74</v>
      </c>
      <c r="BO53" t="s">
        <v>105</v>
      </c>
      <c r="BP53" t="s">
        <v>74</v>
      </c>
      <c r="BQ53" t="s">
        <v>74</v>
      </c>
      <c r="BR53" t="s">
        <v>106</v>
      </c>
      <c r="BS53" t="s">
        <v>1255</v>
      </c>
      <c r="BT53" t="str">
        <f>HYPERLINK("https%3A%2F%2Fwww.webofscience.com%2Fwos%2Fwoscc%2Ffull-record%2FWOS:001636682000001","View Full Record in Web of Science")</f>
        <v>View Full Record in Web of Science</v>
      </c>
    </row>
    <row r="54" spans="1:72" x14ac:dyDescent="0.25">
      <c r="A54" t="s">
        <v>72</v>
      </c>
      <c r="B54" t="s">
        <v>1256</v>
      </c>
      <c r="C54" t="s">
        <v>74</v>
      </c>
      <c r="D54" t="s">
        <v>74</v>
      </c>
      <c r="E54" t="s">
        <v>74</v>
      </c>
      <c r="F54" t="s">
        <v>1257</v>
      </c>
      <c r="G54" t="s">
        <v>74</v>
      </c>
      <c r="H54" t="s">
        <v>74</v>
      </c>
      <c r="I54" t="s">
        <v>1258</v>
      </c>
      <c r="J54" t="s">
        <v>1259</v>
      </c>
      <c r="K54" t="s">
        <v>74</v>
      </c>
      <c r="L54" t="s">
        <v>74</v>
      </c>
      <c r="M54" t="s">
        <v>78</v>
      </c>
      <c r="N54" t="s">
        <v>79</v>
      </c>
      <c r="O54" t="s">
        <v>74</v>
      </c>
      <c r="P54" t="s">
        <v>74</v>
      </c>
      <c r="Q54" t="s">
        <v>74</v>
      </c>
      <c r="R54" t="s">
        <v>74</v>
      </c>
      <c r="S54" t="s">
        <v>74</v>
      </c>
      <c r="T54" t="s">
        <v>1260</v>
      </c>
      <c r="U54" t="s">
        <v>1261</v>
      </c>
      <c r="V54" t="s">
        <v>1262</v>
      </c>
      <c r="W54" t="s">
        <v>1263</v>
      </c>
      <c r="X54" t="s">
        <v>1264</v>
      </c>
      <c r="Y54" t="s">
        <v>1265</v>
      </c>
      <c r="Z54" t="s">
        <v>1266</v>
      </c>
      <c r="AA54" t="s">
        <v>1267</v>
      </c>
      <c r="AB54" t="s">
        <v>1268</v>
      </c>
      <c r="AC54" t="s">
        <v>1269</v>
      </c>
      <c r="AD54" t="s">
        <v>1270</v>
      </c>
      <c r="AE54" t="s">
        <v>1271</v>
      </c>
      <c r="AF54" t="s">
        <v>74</v>
      </c>
      <c r="AG54">
        <v>40</v>
      </c>
      <c r="AH54">
        <v>18</v>
      </c>
      <c r="AI54">
        <v>21</v>
      </c>
      <c r="AJ54">
        <v>0</v>
      </c>
      <c r="AK54">
        <v>20</v>
      </c>
      <c r="AL54" t="s">
        <v>1272</v>
      </c>
      <c r="AM54" t="s">
        <v>1273</v>
      </c>
      <c r="AN54" t="s">
        <v>1274</v>
      </c>
      <c r="AO54" t="s">
        <v>74</v>
      </c>
      <c r="AP54" t="s">
        <v>1275</v>
      </c>
      <c r="AQ54" t="s">
        <v>74</v>
      </c>
      <c r="AR54" t="s">
        <v>1276</v>
      </c>
      <c r="AS54" t="s">
        <v>1277</v>
      </c>
      <c r="AT54" t="s">
        <v>1278</v>
      </c>
      <c r="AU54">
        <v>2021</v>
      </c>
      <c r="AV54">
        <v>21</v>
      </c>
      <c r="AW54">
        <v>1</v>
      </c>
      <c r="AX54" t="s">
        <v>74</v>
      </c>
      <c r="AY54" t="s">
        <v>74</v>
      </c>
      <c r="AZ54" t="s">
        <v>74</v>
      </c>
      <c r="BA54" t="s">
        <v>74</v>
      </c>
      <c r="BB54" t="s">
        <v>74</v>
      </c>
      <c r="BC54" t="s">
        <v>74</v>
      </c>
      <c r="BD54">
        <v>199</v>
      </c>
      <c r="BE54" t="s">
        <v>1279</v>
      </c>
      <c r="BF54" t="str">
        <f>HYPERLINK("http://dx.doi.org/10.3390/s21010199","http://dx.doi.org/10.3390/s21010199")</f>
        <v>http://dx.doi.org/10.3390/s21010199</v>
      </c>
      <c r="BG54" t="s">
        <v>74</v>
      </c>
      <c r="BH54" t="s">
        <v>74</v>
      </c>
      <c r="BI54">
        <v>18</v>
      </c>
      <c r="BJ54" t="s">
        <v>1280</v>
      </c>
      <c r="BK54" t="s">
        <v>745</v>
      </c>
      <c r="BL54" t="s">
        <v>1281</v>
      </c>
      <c r="BM54" t="s">
        <v>1282</v>
      </c>
      <c r="BN54" t="s">
        <v>74</v>
      </c>
      <c r="BO54" t="s">
        <v>398</v>
      </c>
      <c r="BP54" t="s">
        <v>74</v>
      </c>
      <c r="BQ54" t="s">
        <v>74</v>
      </c>
      <c r="BR54" t="s">
        <v>106</v>
      </c>
      <c r="BS54" t="s">
        <v>1283</v>
      </c>
      <c r="BT54" t="str">
        <f>HYPERLINK("https%3A%2F%2Fwww.webofscience.com%2Fwos%2Fwoscc%2Ffull-record%2FWOS:000606040700001","View Full Record in Web of Science")</f>
        <v>View Full Record in Web of Science</v>
      </c>
    </row>
    <row r="55" spans="1:72" x14ac:dyDescent="0.25">
      <c r="A55" t="s">
        <v>108</v>
      </c>
      <c r="B55" t="s">
        <v>1284</v>
      </c>
      <c r="C55" t="s">
        <v>74</v>
      </c>
      <c r="D55" t="s">
        <v>1285</v>
      </c>
      <c r="E55" t="s">
        <v>74</v>
      </c>
      <c r="F55" t="s">
        <v>1286</v>
      </c>
      <c r="G55" t="s">
        <v>74</v>
      </c>
      <c r="H55" t="s">
        <v>74</v>
      </c>
      <c r="I55" t="s">
        <v>1287</v>
      </c>
      <c r="J55" t="s">
        <v>1288</v>
      </c>
      <c r="K55" t="s">
        <v>74</v>
      </c>
      <c r="L55" t="s">
        <v>74</v>
      </c>
      <c r="M55" t="s">
        <v>78</v>
      </c>
      <c r="N55" t="s">
        <v>115</v>
      </c>
      <c r="O55" t="s">
        <v>1289</v>
      </c>
      <c r="P55" t="s">
        <v>1290</v>
      </c>
      <c r="Q55" t="s">
        <v>1291</v>
      </c>
      <c r="R55" t="s">
        <v>1292</v>
      </c>
      <c r="S55" t="s">
        <v>74</v>
      </c>
      <c r="T55" t="s">
        <v>1293</v>
      </c>
      <c r="U55" t="s">
        <v>74</v>
      </c>
      <c r="V55" t="s">
        <v>1294</v>
      </c>
      <c r="W55" t="s">
        <v>1295</v>
      </c>
      <c r="X55" t="s">
        <v>1296</v>
      </c>
      <c r="Y55" t="s">
        <v>1297</v>
      </c>
      <c r="Z55" t="s">
        <v>1298</v>
      </c>
      <c r="AA55" t="s">
        <v>74</v>
      </c>
      <c r="AB55" t="s">
        <v>74</v>
      </c>
      <c r="AC55" t="s">
        <v>74</v>
      </c>
      <c r="AD55" t="s">
        <v>74</v>
      </c>
      <c r="AE55" t="s">
        <v>74</v>
      </c>
      <c r="AF55" t="s">
        <v>74</v>
      </c>
      <c r="AG55">
        <v>27</v>
      </c>
      <c r="AH55">
        <v>9</v>
      </c>
      <c r="AI55">
        <v>11</v>
      </c>
      <c r="AJ55">
        <v>0</v>
      </c>
      <c r="AK55">
        <v>2</v>
      </c>
      <c r="AL55" t="s">
        <v>465</v>
      </c>
      <c r="AM55" t="s">
        <v>92</v>
      </c>
      <c r="AN55" t="s">
        <v>480</v>
      </c>
      <c r="AO55" t="s">
        <v>74</v>
      </c>
      <c r="AP55" t="s">
        <v>74</v>
      </c>
      <c r="AQ55" t="s">
        <v>1299</v>
      </c>
      <c r="AR55" t="s">
        <v>74</v>
      </c>
      <c r="AS55" t="s">
        <v>74</v>
      </c>
      <c r="AT55" t="s">
        <v>74</v>
      </c>
      <c r="AU55">
        <v>2015</v>
      </c>
      <c r="AV55" t="s">
        <v>74</v>
      </c>
      <c r="AW55" t="s">
        <v>74</v>
      </c>
      <c r="AX55" t="s">
        <v>74</v>
      </c>
      <c r="AY55" t="s">
        <v>74</v>
      </c>
      <c r="AZ55" t="s">
        <v>74</v>
      </c>
      <c r="BA55" t="s">
        <v>74</v>
      </c>
      <c r="BB55">
        <v>1342</v>
      </c>
      <c r="BC55">
        <v>1347</v>
      </c>
      <c r="BD55" t="s">
        <v>74</v>
      </c>
      <c r="BE55" t="s">
        <v>1300</v>
      </c>
      <c r="BF55" t="str">
        <f>HYPERLINK("http://dx.doi.org/10.1109/ICDMW.2015.208","http://dx.doi.org/10.1109/ICDMW.2015.208")</f>
        <v>http://dx.doi.org/10.1109/ICDMW.2015.208</v>
      </c>
      <c r="BG55" t="s">
        <v>74</v>
      </c>
      <c r="BH55" t="s">
        <v>74</v>
      </c>
      <c r="BI55">
        <v>6</v>
      </c>
      <c r="BJ55" t="s">
        <v>952</v>
      </c>
      <c r="BK55" t="s">
        <v>203</v>
      </c>
      <c r="BL55" t="s">
        <v>953</v>
      </c>
      <c r="BM55" t="s">
        <v>1301</v>
      </c>
      <c r="BN55" t="s">
        <v>74</v>
      </c>
      <c r="BO55" t="s">
        <v>1302</v>
      </c>
      <c r="BP55" t="s">
        <v>74</v>
      </c>
      <c r="BQ55" t="s">
        <v>74</v>
      </c>
      <c r="BR55" t="s">
        <v>106</v>
      </c>
      <c r="BS55" t="s">
        <v>1303</v>
      </c>
      <c r="BT55" t="str">
        <f>HYPERLINK("https%3A%2F%2Fwww.webofscience.com%2Fwos%2Fwoscc%2Ffull-record%2FWOS:000380556700181","View Full Record in Web of Science")</f>
        <v>View Full Record in Web of Science</v>
      </c>
    </row>
    <row r="56" spans="1:72" x14ac:dyDescent="0.25">
      <c r="A56" t="s">
        <v>72</v>
      </c>
      <c r="B56" t="s">
        <v>1304</v>
      </c>
      <c r="C56" t="s">
        <v>74</v>
      </c>
      <c r="D56" t="s">
        <v>74</v>
      </c>
      <c r="E56" t="s">
        <v>74</v>
      </c>
      <c r="F56" t="s">
        <v>1305</v>
      </c>
      <c r="G56" t="s">
        <v>74</v>
      </c>
      <c r="H56" t="s">
        <v>74</v>
      </c>
      <c r="I56" t="s">
        <v>1306</v>
      </c>
      <c r="J56" t="s">
        <v>1307</v>
      </c>
      <c r="K56" t="s">
        <v>74</v>
      </c>
      <c r="L56" t="s">
        <v>74</v>
      </c>
      <c r="M56" t="s">
        <v>78</v>
      </c>
      <c r="N56" t="s">
        <v>79</v>
      </c>
      <c r="O56" t="s">
        <v>74</v>
      </c>
      <c r="P56" t="s">
        <v>74</v>
      </c>
      <c r="Q56" t="s">
        <v>74</v>
      </c>
      <c r="R56" t="s">
        <v>74</v>
      </c>
      <c r="S56" t="s">
        <v>74</v>
      </c>
      <c r="T56" t="s">
        <v>74</v>
      </c>
      <c r="U56" t="s">
        <v>1308</v>
      </c>
      <c r="V56" t="s">
        <v>1309</v>
      </c>
      <c r="W56" t="s">
        <v>1310</v>
      </c>
      <c r="X56" t="s">
        <v>1311</v>
      </c>
      <c r="Y56" t="s">
        <v>1312</v>
      </c>
      <c r="Z56" t="s">
        <v>1313</v>
      </c>
      <c r="AA56" t="s">
        <v>1314</v>
      </c>
      <c r="AB56" t="s">
        <v>1315</v>
      </c>
      <c r="AC56" t="s">
        <v>1316</v>
      </c>
      <c r="AD56" t="s">
        <v>1317</v>
      </c>
      <c r="AE56" t="s">
        <v>1318</v>
      </c>
      <c r="AF56" t="s">
        <v>74</v>
      </c>
      <c r="AG56">
        <v>37</v>
      </c>
      <c r="AH56">
        <v>14</v>
      </c>
      <c r="AI56">
        <v>20</v>
      </c>
      <c r="AJ56">
        <v>0</v>
      </c>
      <c r="AK56">
        <v>14</v>
      </c>
      <c r="AL56" t="s">
        <v>1319</v>
      </c>
      <c r="AM56" t="s">
        <v>1320</v>
      </c>
      <c r="AN56" t="s">
        <v>1321</v>
      </c>
      <c r="AO56" t="s">
        <v>1322</v>
      </c>
      <c r="AP56" t="s">
        <v>1323</v>
      </c>
      <c r="AQ56" t="s">
        <v>74</v>
      </c>
      <c r="AR56" t="s">
        <v>1324</v>
      </c>
      <c r="AS56" t="s">
        <v>1325</v>
      </c>
      <c r="AT56" t="s">
        <v>1326</v>
      </c>
      <c r="AU56">
        <v>2020</v>
      </c>
      <c r="AV56">
        <v>2020</v>
      </c>
      <c r="AW56" t="s">
        <v>74</v>
      </c>
      <c r="AX56" t="s">
        <v>74</v>
      </c>
      <c r="AY56" t="s">
        <v>74</v>
      </c>
      <c r="AZ56" t="s">
        <v>74</v>
      </c>
      <c r="BA56" t="s">
        <v>74</v>
      </c>
      <c r="BB56" t="s">
        <v>74</v>
      </c>
      <c r="BC56" t="s">
        <v>74</v>
      </c>
      <c r="BD56">
        <v>3791541</v>
      </c>
      <c r="BE56" t="s">
        <v>1327</v>
      </c>
      <c r="BF56" t="str">
        <f>HYPERLINK("http://dx.doi.org/10.1155/2020/3791541","http://dx.doi.org/10.1155/2020/3791541")</f>
        <v>http://dx.doi.org/10.1155/2020/3791541</v>
      </c>
      <c r="BG56" t="s">
        <v>74</v>
      </c>
      <c r="BH56" t="s">
        <v>74</v>
      </c>
      <c r="BI56">
        <v>10</v>
      </c>
      <c r="BJ56" t="s">
        <v>1328</v>
      </c>
      <c r="BK56" t="s">
        <v>902</v>
      </c>
      <c r="BL56" t="s">
        <v>1329</v>
      </c>
      <c r="BM56" t="s">
        <v>1330</v>
      </c>
      <c r="BN56">
        <v>32565771</v>
      </c>
      <c r="BO56" t="s">
        <v>1331</v>
      </c>
      <c r="BP56" t="s">
        <v>74</v>
      </c>
      <c r="BQ56" t="s">
        <v>74</v>
      </c>
      <c r="BR56" t="s">
        <v>106</v>
      </c>
      <c r="BS56" t="s">
        <v>1332</v>
      </c>
      <c r="BT56" t="str">
        <f>HYPERLINK("https%3A%2F%2Fwww.webofscience.com%2Fwos%2Fwoscc%2Ffull-record%2FWOS:000542355700001","View Full Record in Web of Science")</f>
        <v>View Full Record in Web of Science</v>
      </c>
    </row>
    <row r="57" spans="1:72" x14ac:dyDescent="0.25">
      <c r="A57" t="s">
        <v>108</v>
      </c>
      <c r="B57" t="s">
        <v>1333</v>
      </c>
      <c r="C57" t="s">
        <v>74</v>
      </c>
      <c r="D57" t="s">
        <v>74</v>
      </c>
      <c r="E57" t="s">
        <v>322</v>
      </c>
      <c r="F57" t="s">
        <v>1334</v>
      </c>
      <c r="G57" t="s">
        <v>74</v>
      </c>
      <c r="H57" t="s">
        <v>74</v>
      </c>
      <c r="I57" t="s">
        <v>1335</v>
      </c>
      <c r="J57" t="s">
        <v>1336</v>
      </c>
      <c r="K57" t="s">
        <v>74</v>
      </c>
      <c r="L57" t="s">
        <v>74</v>
      </c>
      <c r="M57" t="s">
        <v>78</v>
      </c>
      <c r="N57" t="s">
        <v>115</v>
      </c>
      <c r="O57" t="s">
        <v>1337</v>
      </c>
      <c r="P57" t="s">
        <v>1338</v>
      </c>
      <c r="Q57" t="s">
        <v>1339</v>
      </c>
      <c r="R57" t="s">
        <v>1340</v>
      </c>
      <c r="S57" t="s">
        <v>74</v>
      </c>
      <c r="T57" t="s">
        <v>1341</v>
      </c>
      <c r="U57" t="s">
        <v>1342</v>
      </c>
      <c r="V57" t="s">
        <v>1343</v>
      </c>
      <c r="W57" t="s">
        <v>1344</v>
      </c>
      <c r="X57" t="s">
        <v>1345</v>
      </c>
      <c r="Y57" t="s">
        <v>1346</v>
      </c>
      <c r="Z57" t="s">
        <v>1347</v>
      </c>
      <c r="AA57" t="s">
        <v>74</v>
      </c>
      <c r="AB57" t="s">
        <v>1348</v>
      </c>
      <c r="AC57" t="s">
        <v>74</v>
      </c>
      <c r="AD57" t="s">
        <v>74</v>
      </c>
      <c r="AE57" t="s">
        <v>74</v>
      </c>
      <c r="AF57" t="s">
        <v>74</v>
      </c>
      <c r="AG57">
        <v>15</v>
      </c>
      <c r="AH57">
        <v>6</v>
      </c>
      <c r="AI57">
        <v>6</v>
      </c>
      <c r="AJ57">
        <v>0</v>
      </c>
      <c r="AK57">
        <v>1</v>
      </c>
      <c r="AL57" t="s">
        <v>291</v>
      </c>
      <c r="AM57" t="s">
        <v>92</v>
      </c>
      <c r="AN57" t="s">
        <v>292</v>
      </c>
      <c r="AO57" t="s">
        <v>74</v>
      </c>
      <c r="AP57" t="s">
        <v>74</v>
      </c>
      <c r="AQ57" t="s">
        <v>1349</v>
      </c>
      <c r="AR57" t="s">
        <v>74</v>
      </c>
      <c r="AS57" t="s">
        <v>74</v>
      </c>
      <c r="AT57" t="s">
        <v>74</v>
      </c>
      <c r="AU57">
        <v>2019</v>
      </c>
      <c r="AV57" t="s">
        <v>74</v>
      </c>
      <c r="AW57" t="s">
        <v>74</v>
      </c>
      <c r="AX57" t="s">
        <v>74</v>
      </c>
      <c r="AY57" t="s">
        <v>74</v>
      </c>
      <c r="AZ57" t="s">
        <v>74</v>
      </c>
      <c r="BA57" t="s">
        <v>74</v>
      </c>
      <c r="BB57">
        <v>592</v>
      </c>
      <c r="BC57">
        <v>597</v>
      </c>
      <c r="BD57" t="s">
        <v>74</v>
      </c>
      <c r="BE57" t="s">
        <v>1350</v>
      </c>
      <c r="BF57" t="str">
        <f>HYPERLINK("http://dx.doi.org/10.1145/3311927.3325309","http://dx.doi.org/10.1145/3311927.3325309")</f>
        <v>http://dx.doi.org/10.1145/3311927.3325309</v>
      </c>
      <c r="BG57" t="s">
        <v>74</v>
      </c>
      <c r="BH57" t="s">
        <v>74</v>
      </c>
      <c r="BI57">
        <v>6</v>
      </c>
      <c r="BJ57" t="s">
        <v>1351</v>
      </c>
      <c r="BK57" t="s">
        <v>203</v>
      </c>
      <c r="BL57" t="s">
        <v>139</v>
      </c>
      <c r="BM57" t="s">
        <v>1352</v>
      </c>
      <c r="BN57" t="s">
        <v>74</v>
      </c>
      <c r="BO57" t="s">
        <v>74</v>
      </c>
      <c r="BP57" t="s">
        <v>74</v>
      </c>
      <c r="BQ57" t="s">
        <v>74</v>
      </c>
      <c r="BR57" t="s">
        <v>106</v>
      </c>
      <c r="BS57" t="s">
        <v>1353</v>
      </c>
      <c r="BT57" t="str">
        <f>HYPERLINK("https%3A%2F%2Fwww.webofscience.com%2Fwos%2Fwoscc%2Ffull-record%2FWOS:000559055100071","View Full Record in Web of Science")</f>
        <v>View Full Record in Web of Science</v>
      </c>
    </row>
    <row r="58" spans="1:72" x14ac:dyDescent="0.25">
      <c r="A58" t="s">
        <v>72</v>
      </c>
      <c r="B58" t="s">
        <v>1354</v>
      </c>
      <c r="C58" t="s">
        <v>74</v>
      </c>
      <c r="D58" t="s">
        <v>74</v>
      </c>
      <c r="E58" t="s">
        <v>74</v>
      </c>
      <c r="F58" t="s">
        <v>1355</v>
      </c>
      <c r="G58" t="s">
        <v>74</v>
      </c>
      <c r="H58" t="s">
        <v>74</v>
      </c>
      <c r="I58" t="s">
        <v>1356</v>
      </c>
      <c r="J58" t="s">
        <v>1357</v>
      </c>
      <c r="K58" t="s">
        <v>74</v>
      </c>
      <c r="L58" t="s">
        <v>74</v>
      </c>
      <c r="M58" t="s">
        <v>78</v>
      </c>
      <c r="N58" t="s">
        <v>79</v>
      </c>
      <c r="O58" t="s">
        <v>74</v>
      </c>
      <c r="P58" t="s">
        <v>74</v>
      </c>
      <c r="Q58" t="s">
        <v>74</v>
      </c>
      <c r="R58" t="s">
        <v>74</v>
      </c>
      <c r="S58" t="s">
        <v>74</v>
      </c>
      <c r="T58" t="s">
        <v>1358</v>
      </c>
      <c r="U58" t="s">
        <v>74</v>
      </c>
      <c r="V58" t="s">
        <v>1359</v>
      </c>
      <c r="W58" t="s">
        <v>1360</v>
      </c>
      <c r="X58" t="s">
        <v>1361</v>
      </c>
      <c r="Y58" t="s">
        <v>1362</v>
      </c>
      <c r="Z58" t="s">
        <v>1363</v>
      </c>
      <c r="AA58" t="s">
        <v>1364</v>
      </c>
      <c r="AB58" t="s">
        <v>1365</v>
      </c>
      <c r="AC58" t="s">
        <v>1366</v>
      </c>
      <c r="AD58" t="s">
        <v>1367</v>
      </c>
      <c r="AE58" t="s">
        <v>1368</v>
      </c>
      <c r="AF58" t="s">
        <v>74</v>
      </c>
      <c r="AG58">
        <v>37</v>
      </c>
      <c r="AH58">
        <v>5</v>
      </c>
      <c r="AI58">
        <v>6</v>
      </c>
      <c r="AJ58">
        <v>0</v>
      </c>
      <c r="AK58">
        <v>52</v>
      </c>
      <c r="AL58" t="s">
        <v>1369</v>
      </c>
      <c r="AM58" t="s">
        <v>1320</v>
      </c>
      <c r="AN58" t="s">
        <v>1370</v>
      </c>
      <c r="AO58" t="s">
        <v>1371</v>
      </c>
      <c r="AP58" t="s">
        <v>1372</v>
      </c>
      <c r="AQ58" t="s">
        <v>74</v>
      </c>
      <c r="AR58" t="s">
        <v>1373</v>
      </c>
      <c r="AS58" t="s">
        <v>1374</v>
      </c>
      <c r="AT58" t="s">
        <v>1375</v>
      </c>
      <c r="AU58">
        <v>2018</v>
      </c>
      <c r="AV58">
        <v>44</v>
      </c>
      <c r="AW58">
        <v>3</v>
      </c>
      <c r="AX58" t="s">
        <v>74</v>
      </c>
      <c r="AY58" t="s">
        <v>74</v>
      </c>
      <c r="AZ58" t="s">
        <v>74</v>
      </c>
      <c r="BA58" t="s">
        <v>74</v>
      </c>
      <c r="BB58">
        <v>392</v>
      </c>
      <c r="BC58">
        <v>407</v>
      </c>
      <c r="BD58" t="s">
        <v>74</v>
      </c>
      <c r="BE58" t="s">
        <v>1376</v>
      </c>
      <c r="BF58" t="str">
        <f>HYPERLINK("http://dx.doi.org/10.1177/0165551517698305","http://dx.doi.org/10.1177/0165551517698305")</f>
        <v>http://dx.doi.org/10.1177/0165551517698305</v>
      </c>
      <c r="BG58" t="s">
        <v>74</v>
      </c>
      <c r="BH58" t="s">
        <v>74</v>
      </c>
      <c r="BI58">
        <v>16</v>
      </c>
      <c r="BJ58" t="s">
        <v>295</v>
      </c>
      <c r="BK58" t="s">
        <v>745</v>
      </c>
      <c r="BL58" t="s">
        <v>296</v>
      </c>
      <c r="BM58" t="s">
        <v>1377</v>
      </c>
      <c r="BN58" t="s">
        <v>74</v>
      </c>
      <c r="BO58" t="s">
        <v>74</v>
      </c>
      <c r="BP58" t="s">
        <v>74</v>
      </c>
      <c r="BQ58" t="s">
        <v>74</v>
      </c>
      <c r="BR58" t="s">
        <v>106</v>
      </c>
      <c r="BS58" t="s">
        <v>1378</v>
      </c>
      <c r="BT58" t="str">
        <f>HYPERLINK("https%3A%2F%2Fwww.webofscience.com%2Fwos%2Fwoscc%2Ffull-record%2FWOS:000432273600008","View Full Record in Web of Science")</f>
        <v>View Full Record in Web of Science</v>
      </c>
    </row>
    <row r="59" spans="1:72" x14ac:dyDescent="0.25">
      <c r="A59" t="s">
        <v>108</v>
      </c>
      <c r="B59" t="s">
        <v>1379</v>
      </c>
      <c r="C59" t="s">
        <v>74</v>
      </c>
      <c r="D59" t="s">
        <v>74</v>
      </c>
      <c r="E59" t="s">
        <v>273</v>
      </c>
      <c r="F59" t="s">
        <v>1380</v>
      </c>
      <c r="G59" t="s">
        <v>74</v>
      </c>
      <c r="H59" t="s">
        <v>74</v>
      </c>
      <c r="I59" t="s">
        <v>1381</v>
      </c>
      <c r="J59" t="s">
        <v>1382</v>
      </c>
      <c r="K59" t="s">
        <v>74</v>
      </c>
      <c r="L59" t="s">
        <v>74</v>
      </c>
      <c r="M59" t="s">
        <v>78</v>
      </c>
      <c r="N59" t="s">
        <v>115</v>
      </c>
      <c r="O59" t="s">
        <v>1383</v>
      </c>
      <c r="P59" t="s">
        <v>1384</v>
      </c>
      <c r="Q59" t="s">
        <v>1385</v>
      </c>
      <c r="R59" t="s">
        <v>1386</v>
      </c>
      <c r="S59" t="s">
        <v>74</v>
      </c>
      <c r="T59" t="s">
        <v>1387</v>
      </c>
      <c r="U59" t="s">
        <v>74</v>
      </c>
      <c r="V59" t="s">
        <v>1388</v>
      </c>
      <c r="W59" t="s">
        <v>1389</v>
      </c>
      <c r="X59" t="s">
        <v>1390</v>
      </c>
      <c r="Y59" t="s">
        <v>1391</v>
      </c>
      <c r="Z59" t="s">
        <v>1392</v>
      </c>
      <c r="AA59" t="s">
        <v>1393</v>
      </c>
      <c r="AB59" t="s">
        <v>1394</v>
      </c>
      <c r="AC59" t="s">
        <v>1395</v>
      </c>
      <c r="AD59" t="s">
        <v>1395</v>
      </c>
      <c r="AE59" t="s">
        <v>1396</v>
      </c>
      <c r="AF59" t="s">
        <v>74</v>
      </c>
      <c r="AG59">
        <v>21</v>
      </c>
      <c r="AH59">
        <v>3</v>
      </c>
      <c r="AI59">
        <v>4</v>
      </c>
      <c r="AJ59">
        <v>0</v>
      </c>
      <c r="AK59">
        <v>5</v>
      </c>
      <c r="AL59" t="s">
        <v>291</v>
      </c>
      <c r="AM59" t="s">
        <v>92</v>
      </c>
      <c r="AN59" t="s">
        <v>341</v>
      </c>
      <c r="AO59" t="s">
        <v>74</v>
      </c>
      <c r="AP59" t="s">
        <v>74</v>
      </c>
      <c r="AQ59" t="s">
        <v>1397</v>
      </c>
      <c r="AR59" t="s">
        <v>74</v>
      </c>
      <c r="AS59" t="s">
        <v>74</v>
      </c>
      <c r="AT59" t="s">
        <v>74</v>
      </c>
      <c r="AU59">
        <v>2020</v>
      </c>
      <c r="AV59" t="s">
        <v>74</v>
      </c>
      <c r="AW59" t="s">
        <v>74</v>
      </c>
      <c r="AX59" t="s">
        <v>74</v>
      </c>
      <c r="AY59" t="s">
        <v>74</v>
      </c>
      <c r="AZ59" t="s">
        <v>74</v>
      </c>
      <c r="BA59" t="s">
        <v>74</v>
      </c>
      <c r="BB59">
        <v>10</v>
      </c>
      <c r="BC59">
        <v>14</v>
      </c>
      <c r="BD59" t="s">
        <v>74</v>
      </c>
      <c r="BE59" t="s">
        <v>1398</v>
      </c>
      <c r="BF59" t="str">
        <f>HYPERLINK("http://dx.doi.org/10.1145/3380688.3380707","http://dx.doi.org/10.1145/3380688.3380707")</f>
        <v>http://dx.doi.org/10.1145/3380688.3380707</v>
      </c>
      <c r="BG59" t="s">
        <v>74</v>
      </c>
      <c r="BH59" t="s">
        <v>74</v>
      </c>
      <c r="BI59">
        <v>5</v>
      </c>
      <c r="BJ59" t="s">
        <v>1399</v>
      </c>
      <c r="BK59" t="s">
        <v>203</v>
      </c>
      <c r="BL59" t="s">
        <v>103</v>
      </c>
      <c r="BM59" t="s">
        <v>1400</v>
      </c>
      <c r="BN59" t="s">
        <v>74</v>
      </c>
      <c r="BO59" t="s">
        <v>74</v>
      </c>
      <c r="BP59" t="s">
        <v>74</v>
      </c>
      <c r="BQ59" t="s">
        <v>74</v>
      </c>
      <c r="BR59" t="s">
        <v>106</v>
      </c>
      <c r="BS59" t="s">
        <v>1401</v>
      </c>
      <c r="BT59" t="str">
        <f>HYPERLINK("https%3A%2F%2Fwww.webofscience.com%2Fwos%2Fwoscc%2Ffull-record%2FWOS:000632789300003","View Full Record in Web of Science")</f>
        <v>View Full Record in Web of Science</v>
      </c>
    </row>
    <row r="60" spans="1:72" x14ac:dyDescent="0.25">
      <c r="A60" t="s">
        <v>72</v>
      </c>
      <c r="B60" t="s">
        <v>785</v>
      </c>
      <c r="C60" t="s">
        <v>74</v>
      </c>
      <c r="D60" t="s">
        <v>74</v>
      </c>
      <c r="E60" t="s">
        <v>74</v>
      </c>
      <c r="F60" t="s">
        <v>787</v>
      </c>
      <c r="G60" t="s">
        <v>74</v>
      </c>
      <c r="H60" t="s">
        <v>74</v>
      </c>
      <c r="I60" t="s">
        <v>1402</v>
      </c>
      <c r="J60" t="s">
        <v>1403</v>
      </c>
      <c r="K60" t="s">
        <v>74</v>
      </c>
      <c r="L60" t="s">
        <v>74</v>
      </c>
      <c r="M60" t="s">
        <v>78</v>
      </c>
      <c r="N60" t="s">
        <v>79</v>
      </c>
      <c r="O60" t="s">
        <v>74</v>
      </c>
      <c r="P60" t="s">
        <v>74</v>
      </c>
      <c r="Q60" t="s">
        <v>74</v>
      </c>
      <c r="R60" t="s">
        <v>74</v>
      </c>
      <c r="S60" t="s">
        <v>74</v>
      </c>
      <c r="T60" t="s">
        <v>1404</v>
      </c>
      <c r="U60" t="s">
        <v>1405</v>
      </c>
      <c r="V60" t="s">
        <v>1406</v>
      </c>
      <c r="W60" t="s">
        <v>797</v>
      </c>
      <c r="X60" t="s">
        <v>1407</v>
      </c>
      <c r="Y60" t="s">
        <v>799</v>
      </c>
      <c r="Z60" t="s">
        <v>800</v>
      </c>
      <c r="AA60" t="s">
        <v>1408</v>
      </c>
      <c r="AB60" t="s">
        <v>1409</v>
      </c>
      <c r="AC60" t="s">
        <v>74</v>
      </c>
      <c r="AD60" t="s">
        <v>74</v>
      </c>
      <c r="AE60" t="s">
        <v>74</v>
      </c>
      <c r="AF60" t="s">
        <v>74</v>
      </c>
      <c r="AG60">
        <v>55</v>
      </c>
      <c r="AH60">
        <v>9</v>
      </c>
      <c r="AI60">
        <v>10</v>
      </c>
      <c r="AJ60">
        <v>0</v>
      </c>
      <c r="AK60">
        <v>6</v>
      </c>
      <c r="AL60" t="s">
        <v>1410</v>
      </c>
      <c r="AM60" t="s">
        <v>1411</v>
      </c>
      <c r="AN60" t="s">
        <v>1412</v>
      </c>
      <c r="AO60" t="s">
        <v>1413</v>
      </c>
      <c r="AP60" t="s">
        <v>74</v>
      </c>
      <c r="AQ60" t="s">
        <v>74</v>
      </c>
      <c r="AR60" t="s">
        <v>1414</v>
      </c>
      <c r="AS60" t="s">
        <v>1415</v>
      </c>
      <c r="AT60" t="s">
        <v>74</v>
      </c>
      <c r="AU60">
        <v>2015</v>
      </c>
      <c r="AV60">
        <v>4</v>
      </c>
      <c r="AW60">
        <v>1</v>
      </c>
      <c r="AX60" t="s">
        <v>74</v>
      </c>
      <c r="AY60" t="s">
        <v>74</v>
      </c>
      <c r="AZ60" t="s">
        <v>74</v>
      </c>
      <c r="BA60" t="s">
        <v>74</v>
      </c>
      <c r="BB60">
        <v>90</v>
      </c>
      <c r="BC60">
        <v>106</v>
      </c>
      <c r="BD60" t="s">
        <v>74</v>
      </c>
      <c r="BE60" t="s">
        <v>74</v>
      </c>
      <c r="BF60" t="s">
        <v>74</v>
      </c>
      <c r="BG60" t="s">
        <v>74</v>
      </c>
      <c r="BH60" t="s">
        <v>74</v>
      </c>
      <c r="BI60">
        <v>17</v>
      </c>
      <c r="BJ60" t="s">
        <v>807</v>
      </c>
      <c r="BK60" t="s">
        <v>102</v>
      </c>
      <c r="BL60" t="s">
        <v>103</v>
      </c>
      <c r="BM60" t="s">
        <v>1416</v>
      </c>
      <c r="BN60" t="s">
        <v>74</v>
      </c>
      <c r="BO60" t="s">
        <v>74</v>
      </c>
      <c r="BP60" t="s">
        <v>74</v>
      </c>
      <c r="BQ60" t="s">
        <v>74</v>
      </c>
      <c r="BR60" t="s">
        <v>106</v>
      </c>
      <c r="BS60" t="s">
        <v>1417</v>
      </c>
      <c r="BT60" t="str">
        <f>HYPERLINK("https%3A%2F%2Fwww.webofscience.com%2Fwos%2Fwoscc%2Ffull-record%2FWOS:000422598000007","View Full Record in Web of Science")</f>
        <v>View Full Record in Web of Science</v>
      </c>
    </row>
    <row r="61" spans="1:72" x14ac:dyDescent="0.25">
      <c r="A61" t="s">
        <v>72</v>
      </c>
      <c r="B61" t="s">
        <v>1418</v>
      </c>
      <c r="C61" t="s">
        <v>74</v>
      </c>
      <c r="D61" t="s">
        <v>74</v>
      </c>
      <c r="E61" t="s">
        <v>74</v>
      </c>
      <c r="F61" t="s">
        <v>1419</v>
      </c>
      <c r="G61" t="s">
        <v>74</v>
      </c>
      <c r="H61" t="s">
        <v>74</v>
      </c>
      <c r="I61" t="s">
        <v>1420</v>
      </c>
      <c r="J61" t="s">
        <v>1421</v>
      </c>
      <c r="K61" t="s">
        <v>74</v>
      </c>
      <c r="L61" t="s">
        <v>74</v>
      </c>
      <c r="M61" t="s">
        <v>78</v>
      </c>
      <c r="N61" t="s">
        <v>79</v>
      </c>
      <c r="O61" t="s">
        <v>74</v>
      </c>
      <c r="P61" t="s">
        <v>74</v>
      </c>
      <c r="Q61" t="s">
        <v>74</v>
      </c>
      <c r="R61" t="s">
        <v>74</v>
      </c>
      <c r="S61" t="s">
        <v>74</v>
      </c>
      <c r="T61" t="s">
        <v>1422</v>
      </c>
      <c r="U61" t="s">
        <v>74</v>
      </c>
      <c r="V61" t="s">
        <v>1423</v>
      </c>
      <c r="W61" t="s">
        <v>1424</v>
      </c>
      <c r="X61" t="s">
        <v>1425</v>
      </c>
      <c r="Y61" t="s">
        <v>1426</v>
      </c>
      <c r="Z61" t="s">
        <v>1427</v>
      </c>
      <c r="AA61" t="s">
        <v>1428</v>
      </c>
      <c r="AB61" t="s">
        <v>1429</v>
      </c>
      <c r="AC61" t="s">
        <v>1430</v>
      </c>
      <c r="AD61" t="s">
        <v>1431</v>
      </c>
      <c r="AE61" t="s">
        <v>1432</v>
      </c>
      <c r="AF61" t="s">
        <v>74</v>
      </c>
      <c r="AG61">
        <v>58</v>
      </c>
      <c r="AH61">
        <v>2</v>
      </c>
      <c r="AI61">
        <v>2</v>
      </c>
      <c r="AJ61">
        <v>1</v>
      </c>
      <c r="AK61">
        <v>1</v>
      </c>
      <c r="AL61" t="s">
        <v>1272</v>
      </c>
      <c r="AM61" t="s">
        <v>1273</v>
      </c>
      <c r="AN61" t="s">
        <v>1274</v>
      </c>
      <c r="AO61" t="s">
        <v>74</v>
      </c>
      <c r="AP61" t="s">
        <v>1433</v>
      </c>
      <c r="AQ61" t="s">
        <v>74</v>
      </c>
      <c r="AR61" t="s">
        <v>1421</v>
      </c>
      <c r="AS61" t="s">
        <v>1434</v>
      </c>
      <c r="AT61" t="s">
        <v>1435</v>
      </c>
      <c r="AU61">
        <v>2025</v>
      </c>
      <c r="AV61">
        <v>16</v>
      </c>
      <c r="AW61">
        <v>12</v>
      </c>
      <c r="AX61" t="s">
        <v>74</v>
      </c>
      <c r="AY61" t="s">
        <v>74</v>
      </c>
      <c r="AZ61" t="s">
        <v>74</v>
      </c>
      <c r="BA61" t="s">
        <v>74</v>
      </c>
      <c r="BB61" t="s">
        <v>74</v>
      </c>
      <c r="BC61" t="s">
        <v>74</v>
      </c>
      <c r="BD61">
        <v>1061</v>
      </c>
      <c r="BE61" t="s">
        <v>1436</v>
      </c>
      <c r="BF61" t="str">
        <f>HYPERLINK("http://dx.doi.org/10.3390/info16121061","http://dx.doi.org/10.3390/info16121061")</f>
        <v>http://dx.doi.org/10.3390/info16121061</v>
      </c>
      <c r="BG61" t="s">
        <v>74</v>
      </c>
      <c r="BH61" t="s">
        <v>74</v>
      </c>
      <c r="BI61">
        <v>21</v>
      </c>
      <c r="BJ61" t="s">
        <v>852</v>
      </c>
      <c r="BK61" t="s">
        <v>102</v>
      </c>
      <c r="BL61" t="s">
        <v>103</v>
      </c>
      <c r="BM61" t="s">
        <v>1437</v>
      </c>
      <c r="BN61" t="s">
        <v>74</v>
      </c>
      <c r="BO61" t="s">
        <v>398</v>
      </c>
      <c r="BP61" t="s">
        <v>74</v>
      </c>
      <c r="BQ61" t="s">
        <v>74</v>
      </c>
      <c r="BR61" t="s">
        <v>106</v>
      </c>
      <c r="BS61" t="s">
        <v>1438</v>
      </c>
      <c r="BT61" t="str">
        <f>HYPERLINK("https%3A%2F%2Fwww.webofscience.com%2Fwos%2Fwoscc%2Ffull-record%2FWOS:001646666500001","View Full Record in Web of Science")</f>
        <v>View Full Record in Web of Science</v>
      </c>
    </row>
    <row r="62" spans="1:72" x14ac:dyDescent="0.25">
      <c r="A62" t="s">
        <v>72</v>
      </c>
      <c r="B62" t="s">
        <v>1439</v>
      </c>
      <c r="C62" t="s">
        <v>74</v>
      </c>
      <c r="D62" t="s">
        <v>74</v>
      </c>
      <c r="E62" t="s">
        <v>74</v>
      </c>
      <c r="F62" t="s">
        <v>1440</v>
      </c>
      <c r="G62" t="s">
        <v>74</v>
      </c>
      <c r="H62" t="s">
        <v>74</v>
      </c>
      <c r="I62" t="s">
        <v>1441</v>
      </c>
      <c r="J62" t="s">
        <v>1442</v>
      </c>
      <c r="K62" t="s">
        <v>74</v>
      </c>
      <c r="L62" t="s">
        <v>74</v>
      </c>
      <c r="M62" t="s">
        <v>78</v>
      </c>
      <c r="N62" t="s">
        <v>79</v>
      </c>
      <c r="O62" t="s">
        <v>74</v>
      </c>
      <c r="P62" t="s">
        <v>74</v>
      </c>
      <c r="Q62" t="s">
        <v>74</v>
      </c>
      <c r="R62" t="s">
        <v>74</v>
      </c>
      <c r="S62" t="s">
        <v>74</v>
      </c>
      <c r="T62" t="s">
        <v>1443</v>
      </c>
      <c r="U62" t="s">
        <v>1444</v>
      </c>
      <c r="V62" t="s">
        <v>1445</v>
      </c>
      <c r="W62" t="s">
        <v>1446</v>
      </c>
      <c r="X62" t="s">
        <v>1447</v>
      </c>
      <c r="Y62" t="s">
        <v>1448</v>
      </c>
      <c r="Z62" t="s">
        <v>1449</v>
      </c>
      <c r="AA62" t="s">
        <v>74</v>
      </c>
      <c r="AB62" t="s">
        <v>74</v>
      </c>
      <c r="AC62" t="s">
        <v>1450</v>
      </c>
      <c r="AD62" t="s">
        <v>1451</v>
      </c>
      <c r="AE62" t="s">
        <v>1452</v>
      </c>
      <c r="AF62" t="s">
        <v>74</v>
      </c>
      <c r="AG62">
        <v>29</v>
      </c>
      <c r="AH62">
        <v>15</v>
      </c>
      <c r="AI62">
        <v>16</v>
      </c>
      <c r="AJ62">
        <v>0</v>
      </c>
      <c r="AK62">
        <v>24</v>
      </c>
      <c r="AL62" t="s">
        <v>631</v>
      </c>
      <c r="AM62" t="s">
        <v>632</v>
      </c>
      <c r="AN62" t="s">
        <v>633</v>
      </c>
      <c r="AO62" t="s">
        <v>1453</v>
      </c>
      <c r="AP62" t="s">
        <v>1454</v>
      </c>
      <c r="AQ62" t="s">
        <v>74</v>
      </c>
      <c r="AR62" t="s">
        <v>1455</v>
      </c>
      <c r="AS62" t="s">
        <v>1456</v>
      </c>
      <c r="AT62" t="s">
        <v>1457</v>
      </c>
      <c r="AU62">
        <v>2016</v>
      </c>
      <c r="AV62">
        <v>28</v>
      </c>
      <c r="AW62">
        <v>14</v>
      </c>
      <c r="AX62" t="s">
        <v>74</v>
      </c>
      <c r="AY62" t="s">
        <v>74</v>
      </c>
      <c r="AZ62" t="s">
        <v>74</v>
      </c>
      <c r="BA62" t="s">
        <v>74</v>
      </c>
      <c r="BB62">
        <v>3895</v>
      </c>
      <c r="BC62">
        <v>3909</v>
      </c>
      <c r="BD62" t="s">
        <v>74</v>
      </c>
      <c r="BE62" t="s">
        <v>1458</v>
      </c>
      <c r="BF62" t="str">
        <f>HYPERLINK("http://dx.doi.org/10.1002/cpe.3572","http://dx.doi.org/10.1002/cpe.3572")</f>
        <v>http://dx.doi.org/10.1002/cpe.3572</v>
      </c>
      <c r="BG62" t="s">
        <v>74</v>
      </c>
      <c r="BH62" t="s">
        <v>74</v>
      </c>
      <c r="BI62">
        <v>15</v>
      </c>
      <c r="BJ62" t="s">
        <v>1190</v>
      </c>
      <c r="BK62" t="s">
        <v>902</v>
      </c>
      <c r="BL62" t="s">
        <v>103</v>
      </c>
      <c r="BM62" t="s">
        <v>1459</v>
      </c>
      <c r="BN62" t="s">
        <v>74</v>
      </c>
      <c r="BO62" t="s">
        <v>74</v>
      </c>
      <c r="BP62" t="s">
        <v>74</v>
      </c>
      <c r="BQ62" t="s">
        <v>74</v>
      </c>
      <c r="BR62" t="s">
        <v>106</v>
      </c>
      <c r="BS62" t="s">
        <v>1460</v>
      </c>
      <c r="BT62" t="str">
        <f>HYPERLINK("https%3A%2F%2Fwww.webofscience.com%2Fwos%2Fwoscc%2Ffull-record%2FWOS:000385857000013","View Full Record in Web of Science")</f>
        <v>View Full Record in Web of Science</v>
      </c>
    </row>
    <row r="63" spans="1:72" x14ac:dyDescent="0.25">
      <c r="A63" t="s">
        <v>72</v>
      </c>
      <c r="B63" t="s">
        <v>1461</v>
      </c>
      <c r="C63" t="s">
        <v>74</v>
      </c>
      <c r="D63" t="s">
        <v>74</v>
      </c>
      <c r="E63" t="s">
        <v>74</v>
      </c>
      <c r="F63" t="s">
        <v>1462</v>
      </c>
      <c r="G63" t="s">
        <v>74</v>
      </c>
      <c r="H63" t="s">
        <v>74</v>
      </c>
      <c r="I63" t="s">
        <v>1463</v>
      </c>
      <c r="J63" t="s">
        <v>1464</v>
      </c>
      <c r="K63" t="s">
        <v>74</v>
      </c>
      <c r="L63" t="s">
        <v>74</v>
      </c>
      <c r="M63" t="s">
        <v>78</v>
      </c>
      <c r="N63" t="s">
        <v>79</v>
      </c>
      <c r="O63" t="s">
        <v>74</v>
      </c>
      <c r="P63" t="s">
        <v>74</v>
      </c>
      <c r="Q63" t="s">
        <v>74</v>
      </c>
      <c r="R63" t="s">
        <v>74</v>
      </c>
      <c r="S63" t="s">
        <v>74</v>
      </c>
      <c r="T63" t="s">
        <v>1465</v>
      </c>
      <c r="U63" t="s">
        <v>74</v>
      </c>
      <c r="V63" t="s">
        <v>1466</v>
      </c>
      <c r="W63" t="s">
        <v>1467</v>
      </c>
      <c r="X63" t="s">
        <v>1468</v>
      </c>
      <c r="Y63" t="s">
        <v>1469</v>
      </c>
      <c r="Z63" t="s">
        <v>1470</v>
      </c>
      <c r="AA63" t="s">
        <v>1471</v>
      </c>
      <c r="AB63" t="s">
        <v>74</v>
      </c>
      <c r="AC63" t="s">
        <v>74</v>
      </c>
      <c r="AD63" t="s">
        <v>74</v>
      </c>
      <c r="AE63" t="s">
        <v>74</v>
      </c>
      <c r="AF63" t="s">
        <v>74</v>
      </c>
      <c r="AG63">
        <v>62</v>
      </c>
      <c r="AH63">
        <v>14</v>
      </c>
      <c r="AI63">
        <v>15</v>
      </c>
      <c r="AJ63">
        <v>0</v>
      </c>
      <c r="AK63">
        <v>24</v>
      </c>
      <c r="AL63" t="s">
        <v>178</v>
      </c>
      <c r="AM63" t="s">
        <v>1005</v>
      </c>
      <c r="AN63" t="s">
        <v>1006</v>
      </c>
      <c r="AO63" t="s">
        <v>1472</v>
      </c>
      <c r="AP63" t="s">
        <v>1473</v>
      </c>
      <c r="AQ63" t="s">
        <v>74</v>
      </c>
      <c r="AR63" t="s">
        <v>1474</v>
      </c>
      <c r="AS63" t="s">
        <v>1475</v>
      </c>
      <c r="AT63" t="s">
        <v>1251</v>
      </c>
      <c r="AU63">
        <v>2019</v>
      </c>
      <c r="AV63">
        <v>22</v>
      </c>
      <c r="AW63" t="s">
        <v>1476</v>
      </c>
      <c r="AX63" t="s">
        <v>74</v>
      </c>
      <c r="AY63" t="s">
        <v>74</v>
      </c>
      <c r="AZ63" t="s">
        <v>247</v>
      </c>
      <c r="BA63" t="s">
        <v>74</v>
      </c>
      <c r="BB63">
        <v>93</v>
      </c>
      <c r="BC63">
        <v>128</v>
      </c>
      <c r="BD63" t="s">
        <v>74</v>
      </c>
      <c r="BE63" t="s">
        <v>1477</v>
      </c>
      <c r="BF63" t="str">
        <f>HYPERLINK("http://dx.doi.org/10.1007/s10791-018-9337-y","http://dx.doi.org/10.1007/s10791-018-9337-y")</f>
        <v>http://dx.doi.org/10.1007/s10791-018-9337-y</v>
      </c>
      <c r="BG63" t="s">
        <v>74</v>
      </c>
      <c r="BH63" t="s">
        <v>74</v>
      </c>
      <c r="BI63">
        <v>36</v>
      </c>
      <c r="BJ63" t="s">
        <v>852</v>
      </c>
      <c r="BK63" t="s">
        <v>902</v>
      </c>
      <c r="BL63" t="s">
        <v>103</v>
      </c>
      <c r="BM63" t="s">
        <v>1478</v>
      </c>
      <c r="BN63" t="s">
        <v>74</v>
      </c>
      <c r="BO63" t="s">
        <v>74</v>
      </c>
      <c r="BP63" t="s">
        <v>74</v>
      </c>
      <c r="BQ63" t="s">
        <v>74</v>
      </c>
      <c r="BR63" t="s">
        <v>106</v>
      </c>
      <c r="BS63" t="s">
        <v>1479</v>
      </c>
      <c r="BT63" t="str">
        <f>HYPERLINK("https%3A%2F%2Fwww.webofscience.com%2Fwos%2Fwoscc%2Ffull-record%2FWOS:000460588600005","View Full Record in Web of Science")</f>
        <v>View Full Record in Web of Science</v>
      </c>
    </row>
    <row r="64" spans="1:72" x14ac:dyDescent="0.25">
      <c r="A64" t="s">
        <v>108</v>
      </c>
      <c r="B64" t="s">
        <v>1480</v>
      </c>
      <c r="C64" t="s">
        <v>74</v>
      </c>
      <c r="D64" t="s">
        <v>1481</v>
      </c>
      <c r="E64" t="s">
        <v>74</v>
      </c>
      <c r="F64" t="s">
        <v>1482</v>
      </c>
      <c r="G64" t="s">
        <v>74</v>
      </c>
      <c r="H64" t="s">
        <v>74</v>
      </c>
      <c r="I64" t="s">
        <v>1483</v>
      </c>
      <c r="J64" t="s">
        <v>1484</v>
      </c>
      <c r="K64" t="s">
        <v>1485</v>
      </c>
      <c r="L64" t="s">
        <v>74</v>
      </c>
      <c r="M64" t="s">
        <v>78</v>
      </c>
      <c r="N64" t="s">
        <v>115</v>
      </c>
      <c r="O64" t="s">
        <v>1486</v>
      </c>
      <c r="P64" t="s">
        <v>1487</v>
      </c>
      <c r="Q64" t="s">
        <v>1488</v>
      </c>
      <c r="R64" t="s">
        <v>1489</v>
      </c>
      <c r="S64" t="s">
        <v>74</v>
      </c>
      <c r="T64" t="s">
        <v>1490</v>
      </c>
      <c r="U64" t="s">
        <v>74</v>
      </c>
      <c r="V64" t="s">
        <v>1491</v>
      </c>
      <c r="W64" t="s">
        <v>1492</v>
      </c>
      <c r="X64" t="s">
        <v>1493</v>
      </c>
      <c r="Y64" t="s">
        <v>1494</v>
      </c>
      <c r="Z64" t="s">
        <v>1495</v>
      </c>
      <c r="AA64" t="s">
        <v>74</v>
      </c>
      <c r="AB64" t="s">
        <v>74</v>
      </c>
      <c r="AC64" t="s">
        <v>74</v>
      </c>
      <c r="AD64" t="s">
        <v>74</v>
      </c>
      <c r="AE64" t="s">
        <v>74</v>
      </c>
      <c r="AF64" t="s">
        <v>74</v>
      </c>
      <c r="AG64">
        <v>10</v>
      </c>
      <c r="AH64">
        <v>0</v>
      </c>
      <c r="AI64">
        <v>0</v>
      </c>
      <c r="AJ64">
        <v>0</v>
      </c>
      <c r="AK64">
        <v>3</v>
      </c>
      <c r="AL64" t="s">
        <v>129</v>
      </c>
      <c r="AM64" t="s">
        <v>130</v>
      </c>
      <c r="AN64" t="s">
        <v>131</v>
      </c>
      <c r="AO64" t="s">
        <v>1496</v>
      </c>
      <c r="AP64" t="s">
        <v>1497</v>
      </c>
      <c r="AQ64" t="s">
        <v>1498</v>
      </c>
      <c r="AR64" t="s">
        <v>1499</v>
      </c>
      <c r="AS64" t="s">
        <v>74</v>
      </c>
      <c r="AT64" t="s">
        <v>74</v>
      </c>
      <c r="AU64">
        <v>2023</v>
      </c>
      <c r="AV64">
        <v>468</v>
      </c>
      <c r="AW64" t="s">
        <v>74</v>
      </c>
      <c r="AX64" t="s">
        <v>74</v>
      </c>
      <c r="AY64" t="s">
        <v>74</v>
      </c>
      <c r="AZ64" t="s">
        <v>74</v>
      </c>
      <c r="BA64" t="s">
        <v>74</v>
      </c>
      <c r="BB64">
        <v>205</v>
      </c>
      <c r="BC64">
        <v>216</v>
      </c>
      <c r="BD64" t="s">
        <v>74</v>
      </c>
      <c r="BE64" t="s">
        <v>1500</v>
      </c>
      <c r="BF64" t="str">
        <f>HYPERLINK("http://dx.doi.org/10.1007/978-3-031-28787-9_16","http://dx.doi.org/10.1007/978-3-031-28787-9_16")</f>
        <v>http://dx.doi.org/10.1007/978-3-031-28787-9_16</v>
      </c>
      <c r="BG64" t="s">
        <v>74</v>
      </c>
      <c r="BH64" t="s">
        <v>74</v>
      </c>
      <c r="BI64">
        <v>12</v>
      </c>
      <c r="BJ64" t="s">
        <v>1501</v>
      </c>
      <c r="BK64" t="s">
        <v>203</v>
      </c>
      <c r="BL64" t="s">
        <v>103</v>
      </c>
      <c r="BM64" t="s">
        <v>1502</v>
      </c>
      <c r="BN64" t="s">
        <v>74</v>
      </c>
      <c r="BO64" t="s">
        <v>74</v>
      </c>
      <c r="BP64" t="s">
        <v>74</v>
      </c>
      <c r="BQ64" t="s">
        <v>74</v>
      </c>
      <c r="BR64" t="s">
        <v>106</v>
      </c>
      <c r="BS64" t="s">
        <v>1503</v>
      </c>
      <c r="BT64" t="str">
        <f>HYPERLINK("https%3A%2F%2Fwww.webofscience.com%2Fwos%2Fwoscc%2Ffull-record%2FWOS:001004080200016","View Full Record in Web of Science")</f>
        <v>View Full Record in Web of Science</v>
      </c>
    </row>
    <row r="65" spans="1:72" x14ac:dyDescent="0.25">
      <c r="A65" t="s">
        <v>108</v>
      </c>
      <c r="B65" t="s">
        <v>1504</v>
      </c>
      <c r="C65" t="s">
        <v>74</v>
      </c>
      <c r="D65" t="s">
        <v>1505</v>
      </c>
      <c r="E65" t="s">
        <v>74</v>
      </c>
      <c r="F65" t="s">
        <v>1506</v>
      </c>
      <c r="G65" t="s">
        <v>74</v>
      </c>
      <c r="H65" t="s">
        <v>74</v>
      </c>
      <c r="I65" t="s">
        <v>1507</v>
      </c>
      <c r="J65" t="s">
        <v>1508</v>
      </c>
      <c r="K65" t="s">
        <v>1509</v>
      </c>
      <c r="L65" t="s">
        <v>74</v>
      </c>
      <c r="M65" t="s">
        <v>78</v>
      </c>
      <c r="N65" t="s">
        <v>115</v>
      </c>
      <c r="O65" t="s">
        <v>1510</v>
      </c>
      <c r="P65" t="s">
        <v>1511</v>
      </c>
      <c r="Q65" t="s">
        <v>1512</v>
      </c>
      <c r="R65" t="s">
        <v>74</v>
      </c>
      <c r="S65" t="s">
        <v>74</v>
      </c>
      <c r="T65" t="s">
        <v>74</v>
      </c>
      <c r="U65" t="s">
        <v>74</v>
      </c>
      <c r="V65" t="s">
        <v>1513</v>
      </c>
      <c r="W65" t="s">
        <v>1514</v>
      </c>
      <c r="X65" t="s">
        <v>74</v>
      </c>
      <c r="Y65" t="s">
        <v>1515</v>
      </c>
      <c r="Z65" t="s">
        <v>1516</v>
      </c>
      <c r="AA65" t="s">
        <v>74</v>
      </c>
      <c r="AB65" t="s">
        <v>1517</v>
      </c>
      <c r="AC65" t="s">
        <v>74</v>
      </c>
      <c r="AD65" t="s">
        <v>74</v>
      </c>
      <c r="AE65" t="s">
        <v>74</v>
      </c>
      <c r="AF65" t="s">
        <v>74</v>
      </c>
      <c r="AG65">
        <v>23</v>
      </c>
      <c r="AH65">
        <v>1</v>
      </c>
      <c r="AI65">
        <v>6</v>
      </c>
      <c r="AJ65">
        <v>0</v>
      </c>
      <c r="AK65">
        <v>6</v>
      </c>
      <c r="AL65" t="s">
        <v>1518</v>
      </c>
      <c r="AM65" t="s">
        <v>1519</v>
      </c>
      <c r="AN65" t="s">
        <v>1520</v>
      </c>
      <c r="AO65" t="s">
        <v>1521</v>
      </c>
      <c r="AP65" t="s">
        <v>1522</v>
      </c>
      <c r="AQ65" t="s">
        <v>74</v>
      </c>
      <c r="AR65" t="s">
        <v>1523</v>
      </c>
      <c r="AS65" t="s">
        <v>74</v>
      </c>
      <c r="AT65" t="s">
        <v>74</v>
      </c>
      <c r="AU65">
        <v>2021</v>
      </c>
      <c r="AV65">
        <v>1832</v>
      </c>
      <c r="AW65" t="s">
        <v>74</v>
      </c>
      <c r="AX65" t="s">
        <v>74</v>
      </c>
      <c r="AY65" t="s">
        <v>74</v>
      </c>
      <c r="AZ65" t="s">
        <v>74</v>
      </c>
      <c r="BA65" t="s">
        <v>74</v>
      </c>
      <c r="BB65" t="s">
        <v>74</v>
      </c>
      <c r="BC65" t="s">
        <v>74</v>
      </c>
      <c r="BD65">
        <v>12056</v>
      </c>
      <c r="BE65" t="s">
        <v>1524</v>
      </c>
      <c r="BF65" t="str">
        <f>HYPERLINK("http://dx.doi.org/10.1088/1742-6596/1832/1/012056","http://dx.doi.org/10.1088/1742-6596/1832/1/012056")</f>
        <v>http://dx.doi.org/10.1088/1742-6596/1832/1/012056</v>
      </c>
      <c r="BG65" t="s">
        <v>74</v>
      </c>
      <c r="BH65" t="s">
        <v>74</v>
      </c>
      <c r="BI65">
        <v>10</v>
      </c>
      <c r="BJ65" t="s">
        <v>1525</v>
      </c>
      <c r="BK65" t="s">
        <v>203</v>
      </c>
      <c r="BL65" t="s">
        <v>1526</v>
      </c>
      <c r="BM65" t="s">
        <v>1527</v>
      </c>
      <c r="BN65" t="s">
        <v>74</v>
      </c>
      <c r="BO65" t="s">
        <v>372</v>
      </c>
      <c r="BP65" t="s">
        <v>74</v>
      </c>
      <c r="BQ65" t="s">
        <v>74</v>
      </c>
      <c r="BR65" t="s">
        <v>106</v>
      </c>
      <c r="BS65" t="s">
        <v>1528</v>
      </c>
      <c r="BT65" t="str">
        <f>HYPERLINK("https%3A%2F%2Fwww.webofscience.com%2Fwos%2Fwoscc%2Ffull-record%2FWOS:000684374700056","View Full Record in Web of Science")</f>
        <v>View Full Record in Web of Science</v>
      </c>
    </row>
    <row r="66" spans="1:72" x14ac:dyDescent="0.25">
      <c r="A66" t="s">
        <v>72</v>
      </c>
      <c r="B66" t="s">
        <v>1529</v>
      </c>
      <c r="C66" t="s">
        <v>74</v>
      </c>
      <c r="D66" t="s">
        <v>74</v>
      </c>
      <c r="E66" t="s">
        <v>74</v>
      </c>
      <c r="F66" t="s">
        <v>1530</v>
      </c>
      <c r="G66" t="s">
        <v>74</v>
      </c>
      <c r="H66" t="s">
        <v>74</v>
      </c>
      <c r="I66" t="s">
        <v>1531</v>
      </c>
      <c r="J66" t="s">
        <v>1532</v>
      </c>
      <c r="K66" t="s">
        <v>74</v>
      </c>
      <c r="L66" t="s">
        <v>74</v>
      </c>
      <c r="M66" t="s">
        <v>78</v>
      </c>
      <c r="N66" t="s">
        <v>79</v>
      </c>
      <c r="O66" t="s">
        <v>74</v>
      </c>
      <c r="P66" t="s">
        <v>74</v>
      </c>
      <c r="Q66" t="s">
        <v>74</v>
      </c>
      <c r="R66" t="s">
        <v>74</v>
      </c>
      <c r="S66" t="s">
        <v>74</v>
      </c>
      <c r="T66" t="s">
        <v>1533</v>
      </c>
      <c r="U66" t="s">
        <v>74</v>
      </c>
      <c r="V66" t="s">
        <v>1534</v>
      </c>
      <c r="W66" t="s">
        <v>1535</v>
      </c>
      <c r="X66" t="s">
        <v>1536</v>
      </c>
      <c r="Y66" t="s">
        <v>1537</v>
      </c>
      <c r="Z66" t="s">
        <v>1538</v>
      </c>
      <c r="AA66" t="s">
        <v>1539</v>
      </c>
      <c r="AB66" t="s">
        <v>1540</v>
      </c>
      <c r="AC66" t="s">
        <v>74</v>
      </c>
      <c r="AD66" t="s">
        <v>74</v>
      </c>
      <c r="AE66" t="s">
        <v>74</v>
      </c>
      <c r="AF66" t="s">
        <v>74</v>
      </c>
      <c r="AG66">
        <v>46</v>
      </c>
      <c r="AH66">
        <v>22</v>
      </c>
      <c r="AI66">
        <v>22</v>
      </c>
      <c r="AJ66">
        <v>0</v>
      </c>
      <c r="AK66">
        <v>22</v>
      </c>
      <c r="AL66" t="s">
        <v>895</v>
      </c>
      <c r="AM66" t="s">
        <v>896</v>
      </c>
      <c r="AN66" t="s">
        <v>897</v>
      </c>
      <c r="AO66" t="s">
        <v>1541</v>
      </c>
      <c r="AP66" t="s">
        <v>74</v>
      </c>
      <c r="AQ66" t="s">
        <v>74</v>
      </c>
      <c r="AR66" t="s">
        <v>1542</v>
      </c>
      <c r="AS66" t="s">
        <v>1543</v>
      </c>
      <c r="AT66" t="s">
        <v>1375</v>
      </c>
      <c r="AU66">
        <v>2022</v>
      </c>
      <c r="AV66">
        <v>9</v>
      </c>
      <c r="AW66">
        <v>3</v>
      </c>
      <c r="AX66" t="s">
        <v>74</v>
      </c>
      <c r="AY66" t="s">
        <v>74</v>
      </c>
      <c r="AZ66" t="s">
        <v>74</v>
      </c>
      <c r="BA66" t="s">
        <v>74</v>
      </c>
      <c r="BB66">
        <v>867</v>
      </c>
      <c r="BC66">
        <v>878</v>
      </c>
      <c r="BD66" t="s">
        <v>74</v>
      </c>
      <c r="BE66" t="s">
        <v>1544</v>
      </c>
      <c r="BF66" t="str">
        <f>HYPERLINK("http://dx.doi.org/10.1109/TCSS.2021.3108794","http://dx.doi.org/10.1109/TCSS.2021.3108794")</f>
        <v>http://dx.doi.org/10.1109/TCSS.2021.3108794</v>
      </c>
      <c r="BG66" t="s">
        <v>74</v>
      </c>
      <c r="BH66" t="s">
        <v>1545</v>
      </c>
      <c r="BI66">
        <v>12</v>
      </c>
      <c r="BJ66" t="s">
        <v>1546</v>
      </c>
      <c r="BK66" t="s">
        <v>902</v>
      </c>
      <c r="BL66" t="s">
        <v>103</v>
      </c>
      <c r="BM66" t="s">
        <v>1547</v>
      </c>
      <c r="BN66" t="s">
        <v>74</v>
      </c>
      <c r="BO66" t="s">
        <v>74</v>
      </c>
      <c r="BP66" t="s">
        <v>74</v>
      </c>
      <c r="BQ66" t="s">
        <v>74</v>
      </c>
      <c r="BR66" t="s">
        <v>106</v>
      </c>
      <c r="BS66" t="s">
        <v>1548</v>
      </c>
      <c r="BT66" t="str">
        <f>HYPERLINK("https%3A%2F%2Fwww.webofscience.com%2Fwos%2Fwoscc%2Ffull-record%2FWOS:000732326600001","View Full Record in Web of Science")</f>
        <v>View Full Record in Web of Science</v>
      </c>
    </row>
    <row r="67" spans="1:72" x14ac:dyDescent="0.25">
      <c r="A67" t="s">
        <v>72</v>
      </c>
      <c r="B67" t="s">
        <v>1549</v>
      </c>
      <c r="C67" t="s">
        <v>74</v>
      </c>
      <c r="D67" t="s">
        <v>74</v>
      </c>
      <c r="E67" t="s">
        <v>74</v>
      </c>
      <c r="F67" t="s">
        <v>1550</v>
      </c>
      <c r="G67" t="s">
        <v>74</v>
      </c>
      <c r="H67" t="s">
        <v>74</v>
      </c>
      <c r="I67" t="s">
        <v>1551</v>
      </c>
      <c r="J67" t="s">
        <v>1552</v>
      </c>
      <c r="K67" t="s">
        <v>74</v>
      </c>
      <c r="L67" t="s">
        <v>74</v>
      </c>
      <c r="M67" t="s">
        <v>78</v>
      </c>
      <c r="N67" t="s">
        <v>79</v>
      </c>
      <c r="O67" t="s">
        <v>74</v>
      </c>
      <c r="P67" t="s">
        <v>74</v>
      </c>
      <c r="Q67" t="s">
        <v>74</v>
      </c>
      <c r="R67" t="s">
        <v>74</v>
      </c>
      <c r="S67" t="s">
        <v>74</v>
      </c>
      <c r="T67" t="s">
        <v>74</v>
      </c>
      <c r="U67" t="s">
        <v>1553</v>
      </c>
      <c r="V67" t="s">
        <v>1554</v>
      </c>
      <c r="W67" t="s">
        <v>1555</v>
      </c>
      <c r="X67" t="s">
        <v>1556</v>
      </c>
      <c r="Y67" t="s">
        <v>1557</v>
      </c>
      <c r="Z67" t="s">
        <v>74</v>
      </c>
      <c r="AA67" t="s">
        <v>1558</v>
      </c>
      <c r="AB67" t="s">
        <v>1559</v>
      </c>
      <c r="AC67" t="s">
        <v>74</v>
      </c>
      <c r="AD67" t="s">
        <v>74</v>
      </c>
      <c r="AE67" t="s">
        <v>74</v>
      </c>
      <c r="AF67" t="s">
        <v>74</v>
      </c>
      <c r="AG67">
        <v>28</v>
      </c>
      <c r="AH67">
        <v>76</v>
      </c>
      <c r="AI67">
        <v>146</v>
      </c>
      <c r="AJ67">
        <v>0</v>
      </c>
      <c r="AK67">
        <v>19</v>
      </c>
      <c r="AL67" t="s">
        <v>1560</v>
      </c>
      <c r="AM67" t="s">
        <v>1561</v>
      </c>
      <c r="AN67" t="s">
        <v>1562</v>
      </c>
      <c r="AO67" t="s">
        <v>1563</v>
      </c>
      <c r="AP67" t="s">
        <v>74</v>
      </c>
      <c r="AQ67" t="s">
        <v>74</v>
      </c>
      <c r="AR67" t="s">
        <v>1564</v>
      </c>
      <c r="AS67" t="s">
        <v>1565</v>
      </c>
      <c r="AT67" t="s">
        <v>74</v>
      </c>
      <c r="AU67">
        <v>2017</v>
      </c>
      <c r="AV67">
        <v>8</v>
      </c>
      <c r="AW67">
        <v>2</v>
      </c>
      <c r="AX67" t="s">
        <v>74</v>
      </c>
      <c r="AY67" t="s">
        <v>74</v>
      </c>
      <c r="AZ67" t="s">
        <v>74</v>
      </c>
      <c r="BA67" t="s">
        <v>74</v>
      </c>
      <c r="BB67">
        <v>55</v>
      </c>
      <c r="BC67">
        <v>66</v>
      </c>
      <c r="BD67" t="s">
        <v>74</v>
      </c>
      <c r="BE67" t="s">
        <v>1566</v>
      </c>
      <c r="BF67" t="str">
        <f>HYPERLINK("http://dx.doi.org/10.5204/ssj.v8i2.379","http://dx.doi.org/10.5204/ssj.v8i2.379")</f>
        <v>http://dx.doi.org/10.5204/ssj.v8i2.379</v>
      </c>
      <c r="BG67" t="s">
        <v>74</v>
      </c>
      <c r="BH67" t="s">
        <v>74</v>
      </c>
      <c r="BI67">
        <v>12</v>
      </c>
      <c r="BJ67" t="s">
        <v>318</v>
      </c>
      <c r="BK67" t="s">
        <v>102</v>
      </c>
      <c r="BL67" t="s">
        <v>318</v>
      </c>
      <c r="BM67" t="s">
        <v>1567</v>
      </c>
      <c r="BN67" t="s">
        <v>74</v>
      </c>
      <c r="BO67" t="s">
        <v>398</v>
      </c>
      <c r="BP67" t="s">
        <v>74</v>
      </c>
      <c r="BQ67" t="s">
        <v>74</v>
      </c>
      <c r="BR67" t="s">
        <v>106</v>
      </c>
      <c r="BS67" t="s">
        <v>1568</v>
      </c>
      <c r="BT67" t="str">
        <f>HYPERLINK("https%3A%2F%2Fwww.webofscience.com%2Fwos%2Fwoscc%2Ffull-record%2FWOS:000406666200007","View Full Record in Web of Science")</f>
        <v>View Full Record in Web of Science</v>
      </c>
    </row>
    <row r="68" spans="1:72" x14ac:dyDescent="0.25">
      <c r="A68" t="s">
        <v>72</v>
      </c>
      <c r="B68" t="s">
        <v>1569</v>
      </c>
      <c r="C68" t="s">
        <v>74</v>
      </c>
      <c r="D68" t="s">
        <v>74</v>
      </c>
      <c r="E68" t="s">
        <v>74</v>
      </c>
      <c r="F68" t="s">
        <v>1570</v>
      </c>
      <c r="G68" t="s">
        <v>74</v>
      </c>
      <c r="H68" t="s">
        <v>74</v>
      </c>
      <c r="I68" t="s">
        <v>1571</v>
      </c>
      <c r="J68" t="s">
        <v>1572</v>
      </c>
      <c r="K68" t="s">
        <v>74</v>
      </c>
      <c r="L68" t="s">
        <v>74</v>
      </c>
      <c r="M68" t="s">
        <v>78</v>
      </c>
      <c r="N68" t="s">
        <v>79</v>
      </c>
      <c r="O68" t="s">
        <v>74</v>
      </c>
      <c r="P68" t="s">
        <v>74</v>
      </c>
      <c r="Q68" t="s">
        <v>74</v>
      </c>
      <c r="R68" t="s">
        <v>74</v>
      </c>
      <c r="S68" t="s">
        <v>74</v>
      </c>
      <c r="T68" t="s">
        <v>1573</v>
      </c>
      <c r="U68" t="s">
        <v>74</v>
      </c>
      <c r="V68" t="s">
        <v>1574</v>
      </c>
      <c r="W68" t="s">
        <v>1575</v>
      </c>
      <c r="X68" t="s">
        <v>1576</v>
      </c>
      <c r="Y68" t="s">
        <v>1577</v>
      </c>
      <c r="Z68" t="s">
        <v>1578</v>
      </c>
      <c r="AA68" t="s">
        <v>1579</v>
      </c>
      <c r="AB68" t="s">
        <v>1580</v>
      </c>
      <c r="AC68" t="s">
        <v>1581</v>
      </c>
      <c r="AD68" t="s">
        <v>1582</v>
      </c>
      <c r="AE68" t="s">
        <v>1583</v>
      </c>
      <c r="AF68" t="s">
        <v>74</v>
      </c>
      <c r="AG68">
        <v>17</v>
      </c>
      <c r="AH68">
        <v>1</v>
      </c>
      <c r="AI68">
        <v>1</v>
      </c>
      <c r="AJ68">
        <v>1</v>
      </c>
      <c r="AK68">
        <v>34</v>
      </c>
      <c r="AL68" t="s">
        <v>362</v>
      </c>
      <c r="AM68" t="s">
        <v>363</v>
      </c>
      <c r="AN68" t="s">
        <v>364</v>
      </c>
      <c r="AO68" t="s">
        <v>1584</v>
      </c>
      <c r="AP68" t="s">
        <v>1585</v>
      </c>
      <c r="AQ68" t="s">
        <v>74</v>
      </c>
      <c r="AR68" t="s">
        <v>1586</v>
      </c>
      <c r="AS68" t="s">
        <v>1587</v>
      </c>
      <c r="AT68" t="s">
        <v>1588</v>
      </c>
      <c r="AU68">
        <v>2020</v>
      </c>
      <c r="AV68">
        <v>41</v>
      </c>
      <c r="AW68" t="s">
        <v>74</v>
      </c>
      <c r="AX68" t="s">
        <v>74</v>
      </c>
      <c r="AY68" t="s">
        <v>74</v>
      </c>
      <c r="AZ68" t="s">
        <v>74</v>
      </c>
      <c r="BA68" t="s">
        <v>74</v>
      </c>
      <c r="BB68" t="s">
        <v>74</v>
      </c>
      <c r="BC68" t="s">
        <v>74</v>
      </c>
      <c r="BD68">
        <v>100962</v>
      </c>
      <c r="BE68" t="s">
        <v>1589</v>
      </c>
      <c r="BF68" t="str">
        <f>HYPERLINK("http://dx.doi.org/10.1016/j.elerap.2020.100962","http://dx.doi.org/10.1016/j.elerap.2020.100962")</f>
        <v>http://dx.doi.org/10.1016/j.elerap.2020.100962</v>
      </c>
      <c r="BG68" t="s">
        <v>74</v>
      </c>
      <c r="BH68" t="s">
        <v>74</v>
      </c>
      <c r="BI68">
        <v>3</v>
      </c>
      <c r="BJ68" t="s">
        <v>1590</v>
      </c>
      <c r="BK68" t="s">
        <v>745</v>
      </c>
      <c r="BL68" t="s">
        <v>1591</v>
      </c>
      <c r="BM68" t="s">
        <v>1592</v>
      </c>
      <c r="BN68" t="s">
        <v>74</v>
      </c>
      <c r="BO68" t="s">
        <v>74</v>
      </c>
      <c r="BP68" t="s">
        <v>74</v>
      </c>
      <c r="BQ68" t="s">
        <v>74</v>
      </c>
      <c r="BR68" t="s">
        <v>106</v>
      </c>
      <c r="BS68" t="s">
        <v>1593</v>
      </c>
      <c r="BT68" t="str">
        <f>HYPERLINK("https%3A%2F%2Fwww.webofscience.com%2Fwos%2Fwoscc%2Ffull-record%2FWOS:000554459000009","View Full Record in Web of Science")</f>
        <v>View Full Record in Web of Science</v>
      </c>
    </row>
    <row r="69" spans="1:72" x14ac:dyDescent="0.25">
      <c r="A69" t="s">
        <v>72</v>
      </c>
      <c r="B69" t="s">
        <v>1594</v>
      </c>
      <c r="C69" t="s">
        <v>74</v>
      </c>
      <c r="D69" t="s">
        <v>74</v>
      </c>
      <c r="E69" t="s">
        <v>74</v>
      </c>
      <c r="F69" t="s">
        <v>1595</v>
      </c>
      <c r="G69" t="s">
        <v>74</v>
      </c>
      <c r="H69" t="s">
        <v>74</v>
      </c>
      <c r="I69" t="s">
        <v>1596</v>
      </c>
      <c r="J69" t="s">
        <v>1597</v>
      </c>
      <c r="K69" t="s">
        <v>74</v>
      </c>
      <c r="L69" t="s">
        <v>74</v>
      </c>
      <c r="M69" t="s">
        <v>78</v>
      </c>
      <c r="N69" t="s">
        <v>79</v>
      </c>
      <c r="O69" t="s">
        <v>74</v>
      </c>
      <c r="P69" t="s">
        <v>74</v>
      </c>
      <c r="Q69" t="s">
        <v>74</v>
      </c>
      <c r="R69" t="s">
        <v>74</v>
      </c>
      <c r="S69" t="s">
        <v>74</v>
      </c>
      <c r="T69" t="s">
        <v>1598</v>
      </c>
      <c r="U69" t="s">
        <v>1599</v>
      </c>
      <c r="V69" t="s">
        <v>1600</v>
      </c>
      <c r="W69" t="s">
        <v>1601</v>
      </c>
      <c r="X69" t="s">
        <v>1602</v>
      </c>
      <c r="Y69" t="s">
        <v>1603</v>
      </c>
      <c r="Z69" t="s">
        <v>1604</v>
      </c>
      <c r="AA69" t="s">
        <v>1605</v>
      </c>
      <c r="AB69" t="s">
        <v>74</v>
      </c>
      <c r="AC69" t="s">
        <v>74</v>
      </c>
      <c r="AD69" t="s">
        <v>74</v>
      </c>
      <c r="AE69" t="s">
        <v>74</v>
      </c>
      <c r="AF69" t="s">
        <v>74</v>
      </c>
      <c r="AG69">
        <v>55</v>
      </c>
      <c r="AH69">
        <v>20</v>
      </c>
      <c r="AI69">
        <v>23</v>
      </c>
      <c r="AJ69">
        <v>2</v>
      </c>
      <c r="AK69">
        <v>58</v>
      </c>
      <c r="AL69" t="s">
        <v>362</v>
      </c>
      <c r="AM69" t="s">
        <v>363</v>
      </c>
      <c r="AN69" t="s">
        <v>364</v>
      </c>
      <c r="AO69" t="s">
        <v>1606</v>
      </c>
      <c r="AP69" t="s">
        <v>1607</v>
      </c>
      <c r="AQ69" t="s">
        <v>74</v>
      </c>
      <c r="AR69" t="s">
        <v>1608</v>
      </c>
      <c r="AS69" t="s">
        <v>1609</v>
      </c>
      <c r="AT69" t="s">
        <v>1251</v>
      </c>
      <c r="AU69">
        <v>2021</v>
      </c>
      <c r="AV69">
        <v>87</v>
      </c>
      <c r="AW69" t="s">
        <v>74</v>
      </c>
      <c r="AX69" t="s">
        <v>74</v>
      </c>
      <c r="AY69" t="s">
        <v>74</v>
      </c>
      <c r="AZ69" t="s">
        <v>74</v>
      </c>
      <c r="BA69" t="s">
        <v>74</v>
      </c>
      <c r="BB69" t="s">
        <v>74</v>
      </c>
      <c r="BC69" t="s">
        <v>74</v>
      </c>
      <c r="BD69">
        <v>101982</v>
      </c>
      <c r="BE69" t="s">
        <v>1610</v>
      </c>
      <c r="BF69" t="str">
        <f>HYPERLINK("http://dx.doi.org/10.1016/j.lindif.2021.101982","http://dx.doi.org/10.1016/j.lindif.2021.101982")</f>
        <v>http://dx.doi.org/10.1016/j.lindif.2021.101982</v>
      </c>
      <c r="BG69" t="s">
        <v>74</v>
      </c>
      <c r="BH69" t="s">
        <v>1611</v>
      </c>
      <c r="BI69">
        <v>13</v>
      </c>
      <c r="BJ69" t="s">
        <v>249</v>
      </c>
      <c r="BK69" t="s">
        <v>250</v>
      </c>
      <c r="BL69" t="s">
        <v>251</v>
      </c>
      <c r="BM69" t="s">
        <v>1612</v>
      </c>
      <c r="BN69" t="s">
        <v>74</v>
      </c>
      <c r="BO69" t="s">
        <v>1331</v>
      </c>
      <c r="BP69" t="s">
        <v>74</v>
      </c>
      <c r="BQ69" t="s">
        <v>74</v>
      </c>
      <c r="BR69" t="s">
        <v>106</v>
      </c>
      <c r="BS69" t="s">
        <v>1613</v>
      </c>
      <c r="BT69" t="str">
        <f>HYPERLINK("https%3A%2F%2Fwww.webofscience.com%2Fwos%2Fwoscc%2Ffull-record%2FWOS:000639875600005","View Full Record in Web of Science")</f>
        <v>View Full Record in Web of Science</v>
      </c>
    </row>
    <row r="70" spans="1:72" x14ac:dyDescent="0.25">
      <c r="A70" t="s">
        <v>108</v>
      </c>
      <c r="B70" t="s">
        <v>1614</v>
      </c>
      <c r="C70" t="s">
        <v>74</v>
      </c>
      <c r="D70" t="s">
        <v>1615</v>
      </c>
      <c r="E70" t="s">
        <v>74</v>
      </c>
      <c r="F70" t="s">
        <v>1616</v>
      </c>
      <c r="G70" t="s">
        <v>74</v>
      </c>
      <c r="H70" t="s">
        <v>74</v>
      </c>
      <c r="I70" t="s">
        <v>1617</v>
      </c>
      <c r="J70" t="s">
        <v>1618</v>
      </c>
      <c r="K70" t="s">
        <v>147</v>
      </c>
      <c r="L70" t="s">
        <v>74</v>
      </c>
      <c r="M70" t="s">
        <v>78</v>
      </c>
      <c r="N70" t="s">
        <v>115</v>
      </c>
      <c r="O70" t="s">
        <v>1619</v>
      </c>
      <c r="P70" t="s">
        <v>1620</v>
      </c>
      <c r="Q70" t="s">
        <v>1621</v>
      </c>
      <c r="R70" t="s">
        <v>1622</v>
      </c>
      <c r="S70" t="s">
        <v>74</v>
      </c>
      <c r="T70" t="s">
        <v>74</v>
      </c>
      <c r="U70" t="s">
        <v>74</v>
      </c>
      <c r="V70" t="s">
        <v>1623</v>
      </c>
      <c r="W70" t="s">
        <v>1624</v>
      </c>
      <c r="X70" t="s">
        <v>680</v>
      </c>
      <c r="Y70" t="s">
        <v>1625</v>
      </c>
      <c r="Z70" t="s">
        <v>1626</v>
      </c>
      <c r="AA70" t="s">
        <v>74</v>
      </c>
      <c r="AB70" t="s">
        <v>683</v>
      </c>
      <c r="AC70" t="s">
        <v>74</v>
      </c>
      <c r="AD70" t="s">
        <v>74</v>
      </c>
      <c r="AE70" t="s">
        <v>74</v>
      </c>
      <c r="AF70" t="s">
        <v>74</v>
      </c>
      <c r="AG70">
        <v>18</v>
      </c>
      <c r="AH70">
        <v>5</v>
      </c>
      <c r="AI70">
        <v>6</v>
      </c>
      <c r="AJ70">
        <v>0</v>
      </c>
      <c r="AK70">
        <v>1</v>
      </c>
      <c r="AL70" t="s">
        <v>197</v>
      </c>
      <c r="AM70" t="s">
        <v>198</v>
      </c>
      <c r="AN70" t="s">
        <v>199</v>
      </c>
      <c r="AO70" t="s">
        <v>159</v>
      </c>
      <c r="AP70" t="s">
        <v>74</v>
      </c>
      <c r="AQ70" t="s">
        <v>1627</v>
      </c>
      <c r="AR70" t="s">
        <v>161</v>
      </c>
      <c r="AS70" t="s">
        <v>74</v>
      </c>
      <c r="AT70" t="s">
        <v>74</v>
      </c>
      <c r="AU70">
        <v>2009</v>
      </c>
      <c r="AV70">
        <v>5871</v>
      </c>
      <c r="AW70" t="s">
        <v>74</v>
      </c>
      <c r="AX70" t="s">
        <v>74</v>
      </c>
      <c r="AY70" t="s">
        <v>74</v>
      </c>
      <c r="AZ70" t="s">
        <v>74</v>
      </c>
      <c r="BA70" t="s">
        <v>74</v>
      </c>
      <c r="BB70">
        <v>1238</v>
      </c>
      <c r="BC70">
        <v>1245</v>
      </c>
      <c r="BD70" t="s">
        <v>74</v>
      </c>
      <c r="BE70" t="s">
        <v>74</v>
      </c>
      <c r="BF70" t="s">
        <v>74</v>
      </c>
      <c r="BG70" t="s">
        <v>74</v>
      </c>
      <c r="BH70" t="s">
        <v>74</v>
      </c>
      <c r="BI70">
        <v>8</v>
      </c>
      <c r="BJ70" t="s">
        <v>696</v>
      </c>
      <c r="BK70" t="s">
        <v>203</v>
      </c>
      <c r="BL70" t="s">
        <v>103</v>
      </c>
      <c r="BM70" t="s">
        <v>1628</v>
      </c>
      <c r="BN70" t="s">
        <v>74</v>
      </c>
      <c r="BO70" t="s">
        <v>74</v>
      </c>
      <c r="BP70" t="s">
        <v>74</v>
      </c>
      <c r="BQ70" t="s">
        <v>74</v>
      </c>
      <c r="BR70" t="s">
        <v>106</v>
      </c>
      <c r="BS70" t="s">
        <v>1629</v>
      </c>
      <c r="BT70" t="str">
        <f>HYPERLINK("https%3A%2F%2Fwww.webofscience.com%2Fwos%2Fwoscc%2Ffull-record%2FWOS:000279907700031","View Full Record in Web of Science")</f>
        <v>View Full Record in Web of Science</v>
      </c>
    </row>
    <row r="71" spans="1:72" x14ac:dyDescent="0.25">
      <c r="A71" t="s">
        <v>72</v>
      </c>
      <c r="B71" t="s">
        <v>1630</v>
      </c>
      <c r="C71" t="s">
        <v>74</v>
      </c>
      <c r="D71" t="s">
        <v>74</v>
      </c>
      <c r="E71" t="s">
        <v>74</v>
      </c>
      <c r="F71" t="s">
        <v>1631</v>
      </c>
      <c r="G71" t="s">
        <v>74</v>
      </c>
      <c r="H71" t="s">
        <v>74</v>
      </c>
      <c r="I71" t="s">
        <v>1632</v>
      </c>
      <c r="J71" t="s">
        <v>1633</v>
      </c>
      <c r="K71" t="s">
        <v>74</v>
      </c>
      <c r="L71" t="s">
        <v>74</v>
      </c>
      <c r="M71" t="s">
        <v>78</v>
      </c>
      <c r="N71" t="s">
        <v>79</v>
      </c>
      <c r="O71" t="s">
        <v>74</v>
      </c>
      <c r="P71" t="s">
        <v>74</v>
      </c>
      <c r="Q71" t="s">
        <v>74</v>
      </c>
      <c r="R71" t="s">
        <v>74</v>
      </c>
      <c r="S71" t="s">
        <v>74</v>
      </c>
      <c r="T71" t="s">
        <v>1634</v>
      </c>
      <c r="U71" t="s">
        <v>74</v>
      </c>
      <c r="V71" t="s">
        <v>1635</v>
      </c>
      <c r="W71" t="s">
        <v>1636</v>
      </c>
      <c r="X71" t="s">
        <v>1637</v>
      </c>
      <c r="Y71" t="s">
        <v>1638</v>
      </c>
      <c r="Z71" t="s">
        <v>1639</v>
      </c>
      <c r="AA71" t="s">
        <v>74</v>
      </c>
      <c r="AB71" t="s">
        <v>74</v>
      </c>
      <c r="AC71" t="s">
        <v>1640</v>
      </c>
      <c r="AD71" t="s">
        <v>1640</v>
      </c>
      <c r="AE71" t="s">
        <v>1641</v>
      </c>
      <c r="AF71" t="s">
        <v>74</v>
      </c>
      <c r="AG71">
        <v>20</v>
      </c>
      <c r="AH71">
        <v>0</v>
      </c>
      <c r="AI71">
        <v>0</v>
      </c>
      <c r="AJ71">
        <v>5</v>
      </c>
      <c r="AK71">
        <v>5</v>
      </c>
      <c r="AL71" t="s">
        <v>91</v>
      </c>
      <c r="AM71" t="s">
        <v>92</v>
      </c>
      <c r="AN71" t="s">
        <v>93</v>
      </c>
      <c r="AO71" t="s">
        <v>1642</v>
      </c>
      <c r="AP71" t="s">
        <v>1643</v>
      </c>
      <c r="AQ71" t="s">
        <v>74</v>
      </c>
      <c r="AR71" t="s">
        <v>1644</v>
      </c>
      <c r="AS71" t="s">
        <v>1645</v>
      </c>
      <c r="AT71" t="s">
        <v>1166</v>
      </c>
      <c r="AU71">
        <v>2026</v>
      </c>
      <c r="AV71">
        <v>33</v>
      </c>
      <c r="AW71">
        <v>7</v>
      </c>
      <c r="AX71" t="s">
        <v>74</v>
      </c>
      <c r="AY71" t="s">
        <v>74</v>
      </c>
      <c r="AZ71" t="s">
        <v>74</v>
      </c>
      <c r="BA71" t="s">
        <v>74</v>
      </c>
      <c r="BB71">
        <v>2779</v>
      </c>
      <c r="BC71">
        <v>2789</v>
      </c>
      <c r="BD71" t="s">
        <v>74</v>
      </c>
      <c r="BE71" t="s">
        <v>1646</v>
      </c>
      <c r="BF71" t="str">
        <f>HYPERLINK("http://dx.doi.org/10.1016/j.acra.2026.03.026","http://dx.doi.org/10.1016/j.acra.2026.03.026")</f>
        <v>http://dx.doi.org/10.1016/j.acra.2026.03.026</v>
      </c>
      <c r="BG71" t="s">
        <v>74</v>
      </c>
      <c r="BH71" t="s">
        <v>74</v>
      </c>
      <c r="BI71">
        <v>11</v>
      </c>
      <c r="BJ71" t="s">
        <v>1647</v>
      </c>
      <c r="BK71" t="s">
        <v>902</v>
      </c>
      <c r="BL71" t="s">
        <v>1647</v>
      </c>
      <c r="BM71" t="s">
        <v>1648</v>
      </c>
      <c r="BN71">
        <v>41936502</v>
      </c>
      <c r="BO71" t="s">
        <v>74</v>
      </c>
      <c r="BP71" t="s">
        <v>74</v>
      </c>
      <c r="BQ71" t="s">
        <v>74</v>
      </c>
      <c r="BR71" t="s">
        <v>106</v>
      </c>
      <c r="BS71" t="s">
        <v>1649</v>
      </c>
      <c r="BT71" t="str">
        <f>HYPERLINK("https%3A%2F%2Fwww.webofscience.com%2Fwos%2Fwoscc%2Ffull-record%2FWOS:001789528800001","View Full Record in Web of Science")</f>
        <v>View Full Record in Web of Science</v>
      </c>
    </row>
    <row r="72" spans="1:72" x14ac:dyDescent="0.25">
      <c r="A72" t="s">
        <v>108</v>
      </c>
      <c r="B72" t="s">
        <v>1650</v>
      </c>
      <c r="C72" t="s">
        <v>74</v>
      </c>
      <c r="D72" t="s">
        <v>1651</v>
      </c>
      <c r="E72" t="s">
        <v>74</v>
      </c>
      <c r="F72" t="s">
        <v>1652</v>
      </c>
      <c r="G72" t="s">
        <v>74</v>
      </c>
      <c r="H72" t="s">
        <v>74</v>
      </c>
      <c r="I72" t="s">
        <v>1653</v>
      </c>
      <c r="J72" t="s">
        <v>1654</v>
      </c>
      <c r="K72" t="s">
        <v>1655</v>
      </c>
      <c r="L72" t="s">
        <v>74</v>
      </c>
      <c r="M72" t="s">
        <v>78</v>
      </c>
      <c r="N72" t="s">
        <v>115</v>
      </c>
      <c r="O72" t="s">
        <v>1656</v>
      </c>
      <c r="P72" t="s">
        <v>1657</v>
      </c>
      <c r="Q72" t="s">
        <v>1658</v>
      </c>
      <c r="R72" t="s">
        <v>74</v>
      </c>
      <c r="S72" t="s">
        <v>74</v>
      </c>
      <c r="T72" t="s">
        <v>1659</v>
      </c>
      <c r="U72" t="s">
        <v>74</v>
      </c>
      <c r="V72" t="s">
        <v>1660</v>
      </c>
      <c r="W72" t="s">
        <v>1661</v>
      </c>
      <c r="X72" t="s">
        <v>1662</v>
      </c>
      <c r="Y72" t="s">
        <v>1663</v>
      </c>
      <c r="Z72" t="s">
        <v>74</v>
      </c>
      <c r="AA72" t="s">
        <v>1664</v>
      </c>
      <c r="AB72" t="s">
        <v>74</v>
      </c>
      <c r="AC72" t="s">
        <v>1665</v>
      </c>
      <c r="AD72" t="s">
        <v>1666</v>
      </c>
      <c r="AE72" t="s">
        <v>1667</v>
      </c>
      <c r="AF72" t="s">
        <v>74</v>
      </c>
      <c r="AG72">
        <v>9</v>
      </c>
      <c r="AH72">
        <v>0</v>
      </c>
      <c r="AI72">
        <v>0</v>
      </c>
      <c r="AJ72">
        <v>0</v>
      </c>
      <c r="AK72">
        <v>4</v>
      </c>
      <c r="AL72" t="s">
        <v>1668</v>
      </c>
      <c r="AM72" t="s">
        <v>1669</v>
      </c>
      <c r="AN72" t="s">
        <v>1670</v>
      </c>
      <c r="AO72" t="s">
        <v>1671</v>
      </c>
      <c r="AP72" t="s">
        <v>74</v>
      </c>
      <c r="AQ72" t="s">
        <v>1672</v>
      </c>
      <c r="AR72" t="s">
        <v>1673</v>
      </c>
      <c r="AS72" t="s">
        <v>74</v>
      </c>
      <c r="AT72" t="s">
        <v>74</v>
      </c>
      <c r="AU72">
        <v>2018</v>
      </c>
      <c r="AV72" t="s">
        <v>74</v>
      </c>
      <c r="AW72" t="s">
        <v>74</v>
      </c>
      <c r="AX72" t="s">
        <v>74</v>
      </c>
      <c r="AY72" t="s">
        <v>74</v>
      </c>
      <c r="AZ72" t="s">
        <v>74</v>
      </c>
      <c r="BA72" t="s">
        <v>74</v>
      </c>
      <c r="BB72">
        <v>6525</v>
      </c>
      <c r="BC72">
        <v>6531</v>
      </c>
      <c r="BD72" t="s">
        <v>74</v>
      </c>
      <c r="BE72" t="s">
        <v>74</v>
      </c>
      <c r="BF72" t="s">
        <v>74</v>
      </c>
      <c r="BG72" t="s">
        <v>74</v>
      </c>
      <c r="BH72" t="s">
        <v>74</v>
      </c>
      <c r="BI72">
        <v>7</v>
      </c>
      <c r="BJ72" t="s">
        <v>318</v>
      </c>
      <c r="BK72" t="s">
        <v>1042</v>
      </c>
      <c r="BL72" t="s">
        <v>318</v>
      </c>
      <c r="BM72" t="s">
        <v>1674</v>
      </c>
      <c r="BN72" t="s">
        <v>74</v>
      </c>
      <c r="BO72" t="s">
        <v>74</v>
      </c>
      <c r="BP72" t="s">
        <v>74</v>
      </c>
      <c r="BQ72" t="s">
        <v>74</v>
      </c>
      <c r="BR72" t="s">
        <v>106</v>
      </c>
      <c r="BS72" t="s">
        <v>1675</v>
      </c>
      <c r="BT72" t="str">
        <f>HYPERLINK("https%3A%2F%2Fwww.webofscience.com%2Fwos%2Fwoscc%2Ffull-record%2FWOS:000568991701121","View Full Record in Web of Science")</f>
        <v>View Full Record in Web of Science</v>
      </c>
    </row>
    <row r="73" spans="1:72" x14ac:dyDescent="0.25">
      <c r="A73" t="s">
        <v>72</v>
      </c>
      <c r="B73" t="s">
        <v>1676</v>
      </c>
      <c r="C73" t="s">
        <v>74</v>
      </c>
      <c r="D73" t="s">
        <v>74</v>
      </c>
      <c r="E73" t="s">
        <v>74</v>
      </c>
      <c r="F73" t="s">
        <v>1677</v>
      </c>
      <c r="G73" t="s">
        <v>74</v>
      </c>
      <c r="H73" t="s">
        <v>74</v>
      </c>
      <c r="I73" t="s">
        <v>1678</v>
      </c>
      <c r="J73" t="s">
        <v>1679</v>
      </c>
      <c r="K73" t="s">
        <v>74</v>
      </c>
      <c r="L73" t="s">
        <v>74</v>
      </c>
      <c r="M73" t="s">
        <v>78</v>
      </c>
      <c r="N73" t="s">
        <v>79</v>
      </c>
      <c r="O73" t="s">
        <v>74</v>
      </c>
      <c r="P73" t="s">
        <v>74</v>
      </c>
      <c r="Q73" t="s">
        <v>74</v>
      </c>
      <c r="R73" t="s">
        <v>74</v>
      </c>
      <c r="S73" t="s">
        <v>74</v>
      </c>
      <c r="T73" t="s">
        <v>1680</v>
      </c>
      <c r="U73" t="s">
        <v>74</v>
      </c>
      <c r="V73" t="s">
        <v>1681</v>
      </c>
      <c r="W73" t="s">
        <v>1682</v>
      </c>
      <c r="X73" t="s">
        <v>1683</v>
      </c>
      <c r="Y73" t="s">
        <v>1684</v>
      </c>
      <c r="Z73" t="s">
        <v>1685</v>
      </c>
      <c r="AA73" t="s">
        <v>1686</v>
      </c>
      <c r="AB73" t="s">
        <v>1687</v>
      </c>
      <c r="AC73" t="s">
        <v>1688</v>
      </c>
      <c r="AD73" t="s">
        <v>1689</v>
      </c>
      <c r="AE73" t="s">
        <v>1690</v>
      </c>
      <c r="AF73" t="s">
        <v>74</v>
      </c>
      <c r="AG73">
        <v>22</v>
      </c>
      <c r="AH73">
        <v>1</v>
      </c>
      <c r="AI73">
        <v>1</v>
      </c>
      <c r="AJ73">
        <v>0</v>
      </c>
      <c r="AK73">
        <v>3</v>
      </c>
      <c r="AL73" t="s">
        <v>1136</v>
      </c>
      <c r="AM73" t="s">
        <v>1137</v>
      </c>
      <c r="AN73" t="s">
        <v>1138</v>
      </c>
      <c r="AO73" t="s">
        <v>1691</v>
      </c>
      <c r="AP73" t="s">
        <v>1692</v>
      </c>
      <c r="AQ73" t="s">
        <v>74</v>
      </c>
      <c r="AR73" t="s">
        <v>1693</v>
      </c>
      <c r="AS73" t="s">
        <v>1694</v>
      </c>
      <c r="AT73" t="s">
        <v>74</v>
      </c>
      <c r="AU73">
        <v>2015</v>
      </c>
      <c r="AV73">
        <v>9</v>
      </c>
      <c r="AW73">
        <v>2</v>
      </c>
      <c r="AX73" t="s">
        <v>74</v>
      </c>
      <c r="AY73" t="s">
        <v>74</v>
      </c>
      <c r="AZ73" t="s">
        <v>74</v>
      </c>
      <c r="BA73" t="s">
        <v>74</v>
      </c>
      <c r="BB73">
        <v>209</v>
      </c>
      <c r="BC73">
        <v>219</v>
      </c>
      <c r="BD73" t="s">
        <v>74</v>
      </c>
      <c r="BE73" t="s">
        <v>1695</v>
      </c>
      <c r="BF73" t="str">
        <f>HYPERLINK("http://dx.doi.org/10.3233/IA-150089","http://dx.doi.org/10.3233/IA-150089")</f>
        <v>http://dx.doi.org/10.3233/IA-150089</v>
      </c>
      <c r="BG73" t="s">
        <v>74</v>
      </c>
      <c r="BH73" t="s">
        <v>74</v>
      </c>
      <c r="BI73">
        <v>11</v>
      </c>
      <c r="BJ73" t="s">
        <v>807</v>
      </c>
      <c r="BK73" t="s">
        <v>102</v>
      </c>
      <c r="BL73" t="s">
        <v>103</v>
      </c>
      <c r="BM73" t="s">
        <v>1696</v>
      </c>
      <c r="BN73" t="s">
        <v>74</v>
      </c>
      <c r="BO73" t="s">
        <v>1014</v>
      </c>
      <c r="BP73" t="s">
        <v>74</v>
      </c>
      <c r="BQ73" t="s">
        <v>74</v>
      </c>
      <c r="BR73" t="s">
        <v>106</v>
      </c>
      <c r="BS73" t="s">
        <v>1697</v>
      </c>
      <c r="BT73" t="str">
        <f>HYPERLINK("https%3A%2F%2Fwww.webofscience.com%2Fwos%2Fwoscc%2Ffull-record%2FWOS:000374635400009","View Full Record in Web of Science")</f>
        <v>View Full Record in Web of Science</v>
      </c>
    </row>
    <row r="74" spans="1:72" x14ac:dyDescent="0.25">
      <c r="A74" t="s">
        <v>108</v>
      </c>
      <c r="B74" t="s">
        <v>1698</v>
      </c>
      <c r="C74" t="s">
        <v>74</v>
      </c>
      <c r="D74" t="s">
        <v>1699</v>
      </c>
      <c r="E74" t="s">
        <v>74</v>
      </c>
      <c r="F74" t="s">
        <v>1700</v>
      </c>
      <c r="G74" t="s">
        <v>74</v>
      </c>
      <c r="H74" t="s">
        <v>74</v>
      </c>
      <c r="I74" t="s">
        <v>1701</v>
      </c>
      <c r="J74" t="s">
        <v>1702</v>
      </c>
      <c r="K74" t="s">
        <v>114</v>
      </c>
      <c r="L74" t="s">
        <v>74</v>
      </c>
      <c r="M74" t="s">
        <v>78</v>
      </c>
      <c r="N74" t="s">
        <v>115</v>
      </c>
      <c r="O74" t="s">
        <v>1703</v>
      </c>
      <c r="P74" t="s">
        <v>1704</v>
      </c>
      <c r="Q74" t="s">
        <v>1705</v>
      </c>
      <c r="R74" t="s">
        <v>74</v>
      </c>
      <c r="S74" t="s">
        <v>1706</v>
      </c>
      <c r="T74" t="s">
        <v>1707</v>
      </c>
      <c r="U74" t="s">
        <v>74</v>
      </c>
      <c r="V74" t="s">
        <v>1708</v>
      </c>
      <c r="W74" t="s">
        <v>1709</v>
      </c>
      <c r="X74" t="s">
        <v>1447</v>
      </c>
      <c r="Y74" t="s">
        <v>1710</v>
      </c>
      <c r="Z74" t="s">
        <v>1711</v>
      </c>
      <c r="AA74" t="s">
        <v>74</v>
      </c>
      <c r="AB74" t="s">
        <v>74</v>
      </c>
      <c r="AC74" t="s">
        <v>74</v>
      </c>
      <c r="AD74" t="s">
        <v>74</v>
      </c>
      <c r="AE74" t="s">
        <v>74</v>
      </c>
      <c r="AF74" t="s">
        <v>74</v>
      </c>
      <c r="AG74">
        <v>15</v>
      </c>
      <c r="AH74">
        <v>0</v>
      </c>
      <c r="AI74">
        <v>0</v>
      </c>
      <c r="AJ74">
        <v>0</v>
      </c>
      <c r="AK74">
        <v>8</v>
      </c>
      <c r="AL74" t="s">
        <v>197</v>
      </c>
      <c r="AM74" t="s">
        <v>198</v>
      </c>
      <c r="AN74" t="s">
        <v>199</v>
      </c>
      <c r="AO74" t="s">
        <v>159</v>
      </c>
      <c r="AP74" t="s">
        <v>133</v>
      </c>
      <c r="AQ74" t="s">
        <v>1712</v>
      </c>
      <c r="AR74" t="s">
        <v>135</v>
      </c>
      <c r="AS74" t="s">
        <v>74</v>
      </c>
      <c r="AT74" t="s">
        <v>74</v>
      </c>
      <c r="AU74">
        <v>2015</v>
      </c>
      <c r="AV74">
        <v>9426</v>
      </c>
      <c r="AW74" t="s">
        <v>74</v>
      </c>
      <c r="AX74" t="s">
        <v>74</v>
      </c>
      <c r="AY74" t="s">
        <v>74</v>
      </c>
      <c r="AZ74" t="s">
        <v>74</v>
      </c>
      <c r="BA74" t="s">
        <v>74</v>
      </c>
      <c r="BB74">
        <v>376</v>
      </c>
      <c r="BC74">
        <v>384</v>
      </c>
      <c r="BD74" t="s">
        <v>74</v>
      </c>
      <c r="BE74" t="s">
        <v>1713</v>
      </c>
      <c r="BF74" t="str">
        <f>HYPERLINK("http://dx.doi.org/10.1007/978-3-319-26181-2_35","http://dx.doi.org/10.1007/978-3-319-26181-2_35")</f>
        <v>http://dx.doi.org/10.1007/978-3-319-26181-2_35</v>
      </c>
      <c r="BG74" t="s">
        <v>74</v>
      </c>
      <c r="BH74" t="s">
        <v>74</v>
      </c>
      <c r="BI74">
        <v>9</v>
      </c>
      <c r="BJ74" t="s">
        <v>1714</v>
      </c>
      <c r="BK74" t="s">
        <v>203</v>
      </c>
      <c r="BL74" t="s">
        <v>1715</v>
      </c>
      <c r="BM74" t="s">
        <v>1716</v>
      </c>
      <c r="BN74" t="s">
        <v>74</v>
      </c>
      <c r="BO74" t="s">
        <v>74</v>
      </c>
      <c r="BP74" t="s">
        <v>74</v>
      </c>
      <c r="BQ74" t="s">
        <v>74</v>
      </c>
      <c r="BR74" t="s">
        <v>106</v>
      </c>
      <c r="BS74" t="s">
        <v>1717</v>
      </c>
      <c r="BT74" t="str">
        <f>HYPERLINK("https%3A%2F%2Fwww.webofscience.com%2Fwos%2Fwoscc%2Ffull-record%2FWOS:000367784700036","View Full Record in Web of Science")</f>
        <v>View Full Record in Web of Science</v>
      </c>
    </row>
    <row r="75" spans="1:72" x14ac:dyDescent="0.25">
      <c r="A75" t="s">
        <v>72</v>
      </c>
      <c r="B75" t="s">
        <v>1718</v>
      </c>
      <c r="C75" t="s">
        <v>74</v>
      </c>
      <c r="D75" t="s">
        <v>74</v>
      </c>
      <c r="E75" t="s">
        <v>74</v>
      </c>
      <c r="F75" t="s">
        <v>1719</v>
      </c>
      <c r="G75" t="s">
        <v>74</v>
      </c>
      <c r="H75" t="s">
        <v>74</v>
      </c>
      <c r="I75" t="s">
        <v>1720</v>
      </c>
      <c r="J75" t="s">
        <v>1721</v>
      </c>
      <c r="K75" t="s">
        <v>74</v>
      </c>
      <c r="L75" t="s">
        <v>74</v>
      </c>
      <c r="M75" t="s">
        <v>78</v>
      </c>
      <c r="N75" t="s">
        <v>79</v>
      </c>
      <c r="O75" t="s">
        <v>74</v>
      </c>
      <c r="P75" t="s">
        <v>74</v>
      </c>
      <c r="Q75" t="s">
        <v>74</v>
      </c>
      <c r="R75" t="s">
        <v>74</v>
      </c>
      <c r="S75" t="s">
        <v>74</v>
      </c>
      <c r="T75" t="s">
        <v>1722</v>
      </c>
      <c r="U75" t="s">
        <v>1723</v>
      </c>
      <c r="V75" t="s">
        <v>1724</v>
      </c>
      <c r="W75" t="s">
        <v>1725</v>
      </c>
      <c r="X75" t="s">
        <v>1726</v>
      </c>
      <c r="Y75" t="s">
        <v>1727</v>
      </c>
      <c r="Z75" t="s">
        <v>1728</v>
      </c>
      <c r="AA75" t="s">
        <v>1729</v>
      </c>
      <c r="AB75" t="s">
        <v>1730</v>
      </c>
      <c r="AC75" t="s">
        <v>74</v>
      </c>
      <c r="AD75" t="s">
        <v>74</v>
      </c>
      <c r="AE75" t="s">
        <v>74</v>
      </c>
      <c r="AF75" t="s">
        <v>74</v>
      </c>
      <c r="AG75">
        <v>29</v>
      </c>
      <c r="AH75">
        <v>39</v>
      </c>
      <c r="AI75">
        <v>44</v>
      </c>
      <c r="AJ75">
        <v>0</v>
      </c>
      <c r="AK75">
        <v>40</v>
      </c>
      <c r="AL75" t="s">
        <v>362</v>
      </c>
      <c r="AM75" t="s">
        <v>363</v>
      </c>
      <c r="AN75" t="s">
        <v>364</v>
      </c>
      <c r="AO75" t="s">
        <v>1731</v>
      </c>
      <c r="AP75" t="s">
        <v>1732</v>
      </c>
      <c r="AQ75" t="s">
        <v>74</v>
      </c>
      <c r="AR75" t="s">
        <v>1733</v>
      </c>
      <c r="AS75" t="s">
        <v>1734</v>
      </c>
      <c r="AT75" t="s">
        <v>1166</v>
      </c>
      <c r="AU75">
        <v>2016</v>
      </c>
      <c r="AV75">
        <v>124</v>
      </c>
      <c r="AW75" t="s">
        <v>74</v>
      </c>
      <c r="AX75" t="s">
        <v>74</v>
      </c>
      <c r="AY75" t="s">
        <v>74</v>
      </c>
      <c r="AZ75" t="s">
        <v>247</v>
      </c>
      <c r="BA75" t="s">
        <v>74</v>
      </c>
      <c r="BB75">
        <v>45</v>
      </c>
      <c r="BC75">
        <v>53</v>
      </c>
      <c r="BD75" t="s">
        <v>74</v>
      </c>
      <c r="BE75" t="s">
        <v>1735</v>
      </c>
      <c r="BF75" t="str">
        <f>HYPERLINK("http://dx.doi.org/10.1016/j.sigpro.2015.10.032","http://dx.doi.org/10.1016/j.sigpro.2015.10.032")</f>
        <v>http://dx.doi.org/10.1016/j.sigpro.2015.10.032</v>
      </c>
      <c r="BG75" t="s">
        <v>74</v>
      </c>
      <c r="BH75" t="s">
        <v>74</v>
      </c>
      <c r="BI75">
        <v>9</v>
      </c>
      <c r="BJ75" t="s">
        <v>1736</v>
      </c>
      <c r="BK75" t="s">
        <v>902</v>
      </c>
      <c r="BL75" t="s">
        <v>1737</v>
      </c>
      <c r="BM75" t="s">
        <v>1738</v>
      </c>
      <c r="BN75" t="s">
        <v>74</v>
      </c>
      <c r="BO75" t="s">
        <v>74</v>
      </c>
      <c r="BP75" t="s">
        <v>74</v>
      </c>
      <c r="BQ75" t="s">
        <v>74</v>
      </c>
      <c r="BR75" t="s">
        <v>106</v>
      </c>
      <c r="BS75" t="s">
        <v>1739</v>
      </c>
      <c r="BT75" t="str">
        <f>HYPERLINK("https%3A%2F%2Fwww.webofscience.com%2Fwos%2Fwoscc%2Ffull-record%2FWOS:000373538100006","View Full Record in Web of Science")</f>
        <v>View Full Record in Web of Science</v>
      </c>
    </row>
    <row r="76" spans="1:72" x14ac:dyDescent="0.25">
      <c r="A76" t="s">
        <v>108</v>
      </c>
      <c r="B76" t="s">
        <v>1740</v>
      </c>
      <c r="C76" t="s">
        <v>74</v>
      </c>
      <c r="D76" t="s">
        <v>74</v>
      </c>
      <c r="E76" t="s">
        <v>465</v>
      </c>
      <c r="F76" t="s">
        <v>1741</v>
      </c>
      <c r="G76" t="s">
        <v>74</v>
      </c>
      <c r="H76" t="s">
        <v>74</v>
      </c>
      <c r="I76" t="s">
        <v>1742</v>
      </c>
      <c r="J76" t="s">
        <v>1743</v>
      </c>
      <c r="K76" t="s">
        <v>1744</v>
      </c>
      <c r="L76" t="s">
        <v>74</v>
      </c>
      <c r="M76" t="s">
        <v>78</v>
      </c>
      <c r="N76" t="s">
        <v>115</v>
      </c>
      <c r="O76" t="s">
        <v>1745</v>
      </c>
      <c r="P76" t="s">
        <v>1746</v>
      </c>
      <c r="Q76" t="s">
        <v>1747</v>
      </c>
      <c r="R76" t="s">
        <v>1748</v>
      </c>
      <c r="S76" t="s">
        <v>74</v>
      </c>
      <c r="T76" t="s">
        <v>74</v>
      </c>
      <c r="U76" t="s">
        <v>1749</v>
      </c>
      <c r="V76" t="s">
        <v>1750</v>
      </c>
      <c r="W76" t="s">
        <v>1751</v>
      </c>
      <c r="X76" t="s">
        <v>1752</v>
      </c>
      <c r="Y76" t="s">
        <v>1753</v>
      </c>
      <c r="Z76" t="s">
        <v>1754</v>
      </c>
      <c r="AA76" t="s">
        <v>1755</v>
      </c>
      <c r="AB76" t="s">
        <v>1756</v>
      </c>
      <c r="AC76" t="s">
        <v>74</v>
      </c>
      <c r="AD76" t="s">
        <v>74</v>
      </c>
      <c r="AE76" t="s">
        <v>74</v>
      </c>
      <c r="AF76" t="s">
        <v>74</v>
      </c>
      <c r="AG76">
        <v>32</v>
      </c>
      <c r="AH76">
        <v>3</v>
      </c>
      <c r="AI76">
        <v>4</v>
      </c>
      <c r="AJ76">
        <v>0</v>
      </c>
      <c r="AK76">
        <v>4</v>
      </c>
      <c r="AL76" t="s">
        <v>465</v>
      </c>
      <c r="AM76" t="s">
        <v>92</v>
      </c>
      <c r="AN76" t="s">
        <v>480</v>
      </c>
      <c r="AO76" t="s">
        <v>1757</v>
      </c>
      <c r="AP76" t="s">
        <v>74</v>
      </c>
      <c r="AQ76" t="s">
        <v>1758</v>
      </c>
      <c r="AR76" t="s">
        <v>1759</v>
      </c>
      <c r="AS76" t="s">
        <v>74</v>
      </c>
      <c r="AT76" t="s">
        <v>74</v>
      </c>
      <c r="AU76">
        <v>2019</v>
      </c>
      <c r="AV76" t="s">
        <v>74</v>
      </c>
      <c r="AW76" t="s">
        <v>74</v>
      </c>
      <c r="AX76" t="s">
        <v>74</v>
      </c>
      <c r="AY76" t="s">
        <v>74</v>
      </c>
      <c r="AZ76" t="s">
        <v>74</v>
      </c>
      <c r="BA76" t="s">
        <v>74</v>
      </c>
      <c r="BB76">
        <v>239</v>
      </c>
      <c r="BC76">
        <v>246</v>
      </c>
      <c r="BD76" t="s">
        <v>74</v>
      </c>
      <c r="BE76" t="s">
        <v>1760</v>
      </c>
      <c r="BF76" t="str">
        <f>HYPERLINK("http://dx.doi.org/10.1109/ICSC.2019.00052","http://dx.doi.org/10.1109/ICSC.2019.00052")</f>
        <v>http://dx.doi.org/10.1109/ICSC.2019.00052</v>
      </c>
      <c r="BG76" t="s">
        <v>74</v>
      </c>
      <c r="BH76" t="s">
        <v>74</v>
      </c>
      <c r="BI76">
        <v>8</v>
      </c>
      <c r="BJ76" t="s">
        <v>807</v>
      </c>
      <c r="BK76" t="s">
        <v>203</v>
      </c>
      <c r="BL76" t="s">
        <v>103</v>
      </c>
      <c r="BM76" t="s">
        <v>1761</v>
      </c>
      <c r="BN76" t="s">
        <v>74</v>
      </c>
      <c r="BO76" t="s">
        <v>74</v>
      </c>
      <c r="BP76" t="s">
        <v>74</v>
      </c>
      <c r="BQ76" t="s">
        <v>74</v>
      </c>
      <c r="BR76" t="s">
        <v>106</v>
      </c>
      <c r="BS76" t="s">
        <v>1762</v>
      </c>
      <c r="BT76" t="str">
        <f>HYPERLINK("https%3A%2F%2Fwww.webofscience.com%2Fwos%2Fwoscc%2Ffull-record%2FWOS:000467270600043","View Full Record in Web of Science")</f>
        <v>View Full Record in Web of Science</v>
      </c>
    </row>
    <row r="77" spans="1:72" x14ac:dyDescent="0.25">
      <c r="A77" t="s">
        <v>108</v>
      </c>
      <c r="B77" t="s">
        <v>990</v>
      </c>
      <c r="C77" t="s">
        <v>74</v>
      </c>
      <c r="D77" t="s">
        <v>74</v>
      </c>
      <c r="E77" t="s">
        <v>322</v>
      </c>
      <c r="F77" t="s">
        <v>991</v>
      </c>
      <c r="G77" t="s">
        <v>74</v>
      </c>
      <c r="H77" t="s">
        <v>74</v>
      </c>
      <c r="I77" t="s">
        <v>1763</v>
      </c>
      <c r="J77" t="s">
        <v>1764</v>
      </c>
      <c r="K77" t="s">
        <v>74</v>
      </c>
      <c r="L77" t="s">
        <v>74</v>
      </c>
      <c r="M77" t="s">
        <v>78</v>
      </c>
      <c r="N77" t="s">
        <v>115</v>
      </c>
      <c r="O77" t="s">
        <v>1765</v>
      </c>
      <c r="P77" t="s">
        <v>1766</v>
      </c>
      <c r="Q77" t="s">
        <v>1767</v>
      </c>
      <c r="R77" t="s">
        <v>1768</v>
      </c>
      <c r="S77" t="s">
        <v>74</v>
      </c>
      <c r="T77" t="s">
        <v>1769</v>
      </c>
      <c r="U77" t="s">
        <v>74</v>
      </c>
      <c r="V77" t="s">
        <v>1770</v>
      </c>
      <c r="W77" t="s">
        <v>1771</v>
      </c>
      <c r="X77" t="s">
        <v>997</v>
      </c>
      <c r="Y77" t="s">
        <v>1772</v>
      </c>
      <c r="Z77" t="s">
        <v>1773</v>
      </c>
      <c r="AA77" t="s">
        <v>1774</v>
      </c>
      <c r="AB77" t="s">
        <v>1775</v>
      </c>
      <c r="AC77" t="s">
        <v>1002</v>
      </c>
      <c r="AD77" t="s">
        <v>1003</v>
      </c>
      <c r="AE77" t="s">
        <v>1776</v>
      </c>
      <c r="AF77" t="s">
        <v>74</v>
      </c>
      <c r="AG77">
        <v>31</v>
      </c>
      <c r="AH77">
        <v>8</v>
      </c>
      <c r="AI77">
        <v>9</v>
      </c>
      <c r="AJ77">
        <v>0</v>
      </c>
      <c r="AK77">
        <v>2</v>
      </c>
      <c r="AL77" t="s">
        <v>291</v>
      </c>
      <c r="AM77" t="s">
        <v>92</v>
      </c>
      <c r="AN77" t="s">
        <v>292</v>
      </c>
      <c r="AO77" t="s">
        <v>74</v>
      </c>
      <c r="AP77" t="s">
        <v>74</v>
      </c>
      <c r="AQ77" t="s">
        <v>1777</v>
      </c>
      <c r="AR77" t="s">
        <v>74</v>
      </c>
      <c r="AS77" t="s">
        <v>74</v>
      </c>
      <c r="AT77" t="s">
        <v>74</v>
      </c>
      <c r="AU77">
        <v>2017</v>
      </c>
      <c r="AV77" t="s">
        <v>74</v>
      </c>
      <c r="AW77" t="s">
        <v>74</v>
      </c>
      <c r="AX77" t="s">
        <v>74</v>
      </c>
      <c r="AY77" t="s">
        <v>74</v>
      </c>
      <c r="AZ77" t="s">
        <v>74</v>
      </c>
      <c r="BA77" t="s">
        <v>74</v>
      </c>
      <c r="BB77">
        <v>155</v>
      </c>
      <c r="BC77">
        <v>164</v>
      </c>
      <c r="BD77" t="s">
        <v>74</v>
      </c>
      <c r="BE77" t="s">
        <v>1778</v>
      </c>
      <c r="BF77" t="str">
        <f>HYPERLINK("http://dx.doi.org/10.1145/3078714.3078730","http://dx.doi.org/10.1145/3078714.3078730")</f>
        <v>http://dx.doi.org/10.1145/3078714.3078730</v>
      </c>
      <c r="BG77" t="s">
        <v>74</v>
      </c>
      <c r="BH77" t="s">
        <v>74</v>
      </c>
      <c r="BI77">
        <v>10</v>
      </c>
      <c r="BJ77" t="s">
        <v>925</v>
      </c>
      <c r="BK77" t="s">
        <v>203</v>
      </c>
      <c r="BL77" t="s">
        <v>103</v>
      </c>
      <c r="BM77" t="s">
        <v>1779</v>
      </c>
      <c r="BN77" t="s">
        <v>74</v>
      </c>
      <c r="BO77" t="s">
        <v>74</v>
      </c>
      <c r="BP77" t="s">
        <v>74</v>
      </c>
      <c r="BQ77" t="s">
        <v>74</v>
      </c>
      <c r="BR77" t="s">
        <v>106</v>
      </c>
      <c r="BS77" t="s">
        <v>1780</v>
      </c>
      <c r="BT77" t="str">
        <f>HYPERLINK("https%3A%2F%2Fwww.webofscience.com%2Fwos%2Fwoscc%2Ffull-record%2FWOS:000491264200018","View Full Record in Web of Science")</f>
        <v>View Full Record in Web of Science</v>
      </c>
    </row>
    <row r="78" spans="1:72" x14ac:dyDescent="0.25">
      <c r="A78" t="s">
        <v>108</v>
      </c>
      <c r="B78" t="s">
        <v>1781</v>
      </c>
      <c r="C78" t="s">
        <v>74</v>
      </c>
      <c r="D78" t="s">
        <v>74</v>
      </c>
      <c r="E78" t="s">
        <v>465</v>
      </c>
      <c r="F78" t="s">
        <v>1782</v>
      </c>
      <c r="G78" t="s">
        <v>74</v>
      </c>
      <c r="H78" t="s">
        <v>74</v>
      </c>
      <c r="I78" t="s">
        <v>1783</v>
      </c>
      <c r="J78" t="s">
        <v>1784</v>
      </c>
      <c r="K78" t="s">
        <v>74</v>
      </c>
      <c r="L78" t="s">
        <v>74</v>
      </c>
      <c r="M78" t="s">
        <v>78</v>
      </c>
      <c r="N78" t="s">
        <v>115</v>
      </c>
      <c r="O78" t="s">
        <v>1785</v>
      </c>
      <c r="P78" t="s">
        <v>1786</v>
      </c>
      <c r="Q78" t="s">
        <v>1787</v>
      </c>
      <c r="R78" t="s">
        <v>74</v>
      </c>
      <c r="S78" t="s">
        <v>1788</v>
      </c>
      <c r="T78" t="s">
        <v>1789</v>
      </c>
      <c r="U78" t="s">
        <v>1790</v>
      </c>
      <c r="V78" t="s">
        <v>1791</v>
      </c>
      <c r="W78" t="s">
        <v>1792</v>
      </c>
      <c r="X78" t="s">
        <v>1793</v>
      </c>
      <c r="Y78" t="s">
        <v>1794</v>
      </c>
      <c r="Z78" t="s">
        <v>74</v>
      </c>
      <c r="AA78" t="s">
        <v>74</v>
      </c>
      <c r="AB78" t="s">
        <v>74</v>
      </c>
      <c r="AC78" t="s">
        <v>74</v>
      </c>
      <c r="AD78" t="s">
        <v>74</v>
      </c>
      <c r="AE78" t="s">
        <v>74</v>
      </c>
      <c r="AF78" t="s">
        <v>74</v>
      </c>
      <c r="AG78">
        <v>11</v>
      </c>
      <c r="AH78">
        <v>0</v>
      </c>
      <c r="AI78">
        <v>0</v>
      </c>
      <c r="AJ78">
        <v>0</v>
      </c>
      <c r="AK78">
        <v>2</v>
      </c>
      <c r="AL78" t="s">
        <v>465</v>
      </c>
      <c r="AM78" t="s">
        <v>92</v>
      </c>
      <c r="AN78" t="s">
        <v>480</v>
      </c>
      <c r="AO78" t="s">
        <v>74</v>
      </c>
      <c r="AP78" t="s">
        <v>74</v>
      </c>
      <c r="AQ78" t="s">
        <v>1795</v>
      </c>
      <c r="AR78" t="s">
        <v>74</v>
      </c>
      <c r="AS78" t="s">
        <v>74</v>
      </c>
      <c r="AT78" t="s">
        <v>74</v>
      </c>
      <c r="AU78">
        <v>2014</v>
      </c>
      <c r="AV78" t="s">
        <v>74</v>
      </c>
      <c r="AW78" t="s">
        <v>74</v>
      </c>
      <c r="AX78" t="s">
        <v>74</v>
      </c>
      <c r="AY78" t="s">
        <v>74</v>
      </c>
      <c r="AZ78" t="s">
        <v>74</v>
      </c>
      <c r="BA78" t="s">
        <v>74</v>
      </c>
      <c r="BB78" t="s">
        <v>74</v>
      </c>
      <c r="BC78" t="s">
        <v>74</v>
      </c>
      <c r="BD78" t="s">
        <v>74</v>
      </c>
      <c r="BE78" t="s">
        <v>74</v>
      </c>
      <c r="BF78" t="s">
        <v>74</v>
      </c>
      <c r="BG78" t="s">
        <v>74</v>
      </c>
      <c r="BH78" t="s">
        <v>74</v>
      </c>
      <c r="BI78">
        <v>6</v>
      </c>
      <c r="BJ78" t="s">
        <v>1796</v>
      </c>
      <c r="BK78" t="s">
        <v>203</v>
      </c>
      <c r="BL78" t="s">
        <v>953</v>
      </c>
      <c r="BM78" t="s">
        <v>1797</v>
      </c>
      <c r="BN78" t="s">
        <v>74</v>
      </c>
      <c r="BO78" t="s">
        <v>74</v>
      </c>
      <c r="BP78" t="s">
        <v>74</v>
      </c>
      <c r="BQ78" t="s">
        <v>74</v>
      </c>
      <c r="BR78" t="s">
        <v>106</v>
      </c>
      <c r="BS78" t="s">
        <v>1798</v>
      </c>
      <c r="BT78" t="str">
        <f>HYPERLINK("https%3A%2F%2Fwww.webofscience.com%2Fwos%2Fwoscc%2Ffull-record%2FWOS:000346137900180","View Full Record in Web of Science")</f>
        <v>View Full Record in Web of Science</v>
      </c>
    </row>
    <row r="79" spans="1:72" x14ac:dyDescent="0.25">
      <c r="A79" t="s">
        <v>108</v>
      </c>
      <c r="B79" t="s">
        <v>1799</v>
      </c>
      <c r="C79" t="s">
        <v>74</v>
      </c>
      <c r="D79" t="s">
        <v>1800</v>
      </c>
      <c r="E79" t="s">
        <v>74</v>
      </c>
      <c r="F79" t="s">
        <v>1801</v>
      </c>
      <c r="G79" t="s">
        <v>74</v>
      </c>
      <c r="H79" t="s">
        <v>74</v>
      </c>
      <c r="I79" t="s">
        <v>1802</v>
      </c>
      <c r="J79" t="s">
        <v>1803</v>
      </c>
      <c r="K79" t="s">
        <v>74</v>
      </c>
      <c r="L79" t="s">
        <v>74</v>
      </c>
      <c r="M79" t="s">
        <v>78</v>
      </c>
      <c r="N79" t="s">
        <v>115</v>
      </c>
      <c r="O79" t="s">
        <v>1804</v>
      </c>
      <c r="P79" t="s">
        <v>1805</v>
      </c>
      <c r="Q79" t="s">
        <v>1488</v>
      </c>
      <c r="R79" t="s">
        <v>1806</v>
      </c>
      <c r="S79" t="s">
        <v>74</v>
      </c>
      <c r="T79" t="s">
        <v>1807</v>
      </c>
      <c r="U79" t="s">
        <v>74</v>
      </c>
      <c r="V79" t="s">
        <v>1808</v>
      </c>
      <c r="W79" t="s">
        <v>1809</v>
      </c>
      <c r="X79" t="s">
        <v>1810</v>
      </c>
      <c r="Y79" t="s">
        <v>1811</v>
      </c>
      <c r="Z79" t="s">
        <v>1812</v>
      </c>
      <c r="AA79" t="s">
        <v>74</v>
      </c>
      <c r="AB79" t="s">
        <v>74</v>
      </c>
      <c r="AC79" t="s">
        <v>74</v>
      </c>
      <c r="AD79" t="s">
        <v>74</v>
      </c>
      <c r="AE79" t="s">
        <v>74</v>
      </c>
      <c r="AF79" t="s">
        <v>74</v>
      </c>
      <c r="AG79">
        <v>3</v>
      </c>
      <c r="AH79">
        <v>0</v>
      </c>
      <c r="AI79">
        <v>0</v>
      </c>
      <c r="AJ79">
        <v>0</v>
      </c>
      <c r="AK79">
        <v>1</v>
      </c>
      <c r="AL79" t="s">
        <v>1813</v>
      </c>
      <c r="AM79" t="s">
        <v>1814</v>
      </c>
      <c r="AN79" t="s">
        <v>1815</v>
      </c>
      <c r="AO79" t="s">
        <v>74</v>
      </c>
      <c r="AP79" t="s">
        <v>74</v>
      </c>
      <c r="AQ79" t="s">
        <v>1816</v>
      </c>
      <c r="AR79" t="s">
        <v>74</v>
      </c>
      <c r="AS79" t="s">
        <v>74</v>
      </c>
      <c r="AT79" t="s">
        <v>74</v>
      </c>
      <c r="AU79">
        <v>2016</v>
      </c>
      <c r="AV79" t="s">
        <v>74</v>
      </c>
      <c r="AW79" t="s">
        <v>74</v>
      </c>
      <c r="AX79" t="s">
        <v>74</v>
      </c>
      <c r="AY79" t="s">
        <v>74</v>
      </c>
      <c r="AZ79" t="s">
        <v>74</v>
      </c>
      <c r="BA79" t="s">
        <v>74</v>
      </c>
      <c r="BB79">
        <v>1118</v>
      </c>
      <c r="BC79">
        <v>1123</v>
      </c>
      <c r="BD79" t="s">
        <v>74</v>
      </c>
      <c r="BE79" t="s">
        <v>74</v>
      </c>
      <c r="BF79" t="s">
        <v>74</v>
      </c>
      <c r="BG79" t="s">
        <v>74</v>
      </c>
      <c r="BH79" t="s">
        <v>74</v>
      </c>
      <c r="BI79">
        <v>6</v>
      </c>
      <c r="BJ79" t="s">
        <v>1817</v>
      </c>
      <c r="BK79" t="s">
        <v>203</v>
      </c>
      <c r="BL79" t="s">
        <v>1737</v>
      </c>
      <c r="BM79" t="s">
        <v>1818</v>
      </c>
      <c r="BN79" t="s">
        <v>74</v>
      </c>
      <c r="BO79" t="s">
        <v>74</v>
      </c>
      <c r="BP79" t="s">
        <v>74</v>
      </c>
      <c r="BQ79" t="s">
        <v>74</v>
      </c>
      <c r="BR79" t="s">
        <v>106</v>
      </c>
      <c r="BS79" t="s">
        <v>1819</v>
      </c>
      <c r="BT79" t="str">
        <f>HYPERLINK("https%3A%2F%2Fwww.webofscience.com%2Fwos%2Fwoscc%2Ffull-record%2FWOS:000435481800136","View Full Record in Web of Science")</f>
        <v>View Full Record in Web of Science</v>
      </c>
    </row>
    <row r="80" spans="1:72" x14ac:dyDescent="0.25">
      <c r="A80" t="s">
        <v>72</v>
      </c>
      <c r="B80" t="s">
        <v>1820</v>
      </c>
      <c r="C80" t="s">
        <v>74</v>
      </c>
      <c r="D80" t="s">
        <v>74</v>
      </c>
      <c r="E80" t="s">
        <v>74</v>
      </c>
      <c r="F80" t="s">
        <v>1821</v>
      </c>
      <c r="G80" t="s">
        <v>74</v>
      </c>
      <c r="H80" t="s">
        <v>74</v>
      </c>
      <c r="I80" t="s">
        <v>1822</v>
      </c>
      <c r="J80" t="s">
        <v>1823</v>
      </c>
      <c r="K80" t="s">
        <v>74</v>
      </c>
      <c r="L80" t="s">
        <v>74</v>
      </c>
      <c r="M80" t="s">
        <v>78</v>
      </c>
      <c r="N80" t="s">
        <v>79</v>
      </c>
      <c r="O80" t="s">
        <v>74</v>
      </c>
      <c r="P80" t="s">
        <v>74</v>
      </c>
      <c r="Q80" t="s">
        <v>74</v>
      </c>
      <c r="R80" t="s">
        <v>74</v>
      </c>
      <c r="S80" t="s">
        <v>74</v>
      </c>
      <c r="T80" t="s">
        <v>1824</v>
      </c>
      <c r="U80" t="s">
        <v>1825</v>
      </c>
      <c r="V80" t="s">
        <v>1826</v>
      </c>
      <c r="W80" t="s">
        <v>1827</v>
      </c>
      <c r="X80" t="s">
        <v>1828</v>
      </c>
      <c r="Y80" t="s">
        <v>1829</v>
      </c>
      <c r="Z80" t="s">
        <v>1830</v>
      </c>
      <c r="AA80" t="s">
        <v>74</v>
      </c>
      <c r="AB80" t="s">
        <v>1831</v>
      </c>
      <c r="AC80" t="s">
        <v>74</v>
      </c>
      <c r="AD80" t="s">
        <v>74</v>
      </c>
      <c r="AE80" t="s">
        <v>74</v>
      </c>
      <c r="AF80" t="s">
        <v>74</v>
      </c>
      <c r="AG80">
        <v>68</v>
      </c>
      <c r="AH80">
        <v>27</v>
      </c>
      <c r="AI80">
        <v>48</v>
      </c>
      <c r="AJ80">
        <v>0</v>
      </c>
      <c r="AK80">
        <v>54</v>
      </c>
      <c r="AL80" t="s">
        <v>1832</v>
      </c>
      <c r="AM80" t="s">
        <v>92</v>
      </c>
      <c r="AN80" t="s">
        <v>222</v>
      </c>
      <c r="AO80" t="s">
        <v>1833</v>
      </c>
      <c r="AP80" t="s">
        <v>1834</v>
      </c>
      <c r="AQ80" t="s">
        <v>74</v>
      </c>
      <c r="AR80" t="s">
        <v>1835</v>
      </c>
      <c r="AS80" t="s">
        <v>1836</v>
      </c>
      <c r="AT80" t="s">
        <v>509</v>
      </c>
      <c r="AU80">
        <v>2010</v>
      </c>
      <c r="AV80">
        <v>34</v>
      </c>
      <c r="AW80">
        <v>3</v>
      </c>
      <c r="AX80" t="s">
        <v>74</v>
      </c>
      <c r="AY80" t="s">
        <v>74</v>
      </c>
      <c r="AZ80" t="s">
        <v>74</v>
      </c>
      <c r="BA80" t="s">
        <v>74</v>
      </c>
      <c r="BB80">
        <v>293</v>
      </c>
      <c r="BC80">
        <v>305</v>
      </c>
      <c r="BD80" t="s">
        <v>74</v>
      </c>
      <c r="BE80" t="s">
        <v>1837</v>
      </c>
      <c r="BF80" t="str">
        <f>HYPERLINK("http://dx.doi.org/10.1007/s11031-010-9178-5","http://dx.doi.org/10.1007/s11031-010-9178-5")</f>
        <v>http://dx.doi.org/10.1007/s11031-010-9178-5</v>
      </c>
      <c r="BG80" t="s">
        <v>74</v>
      </c>
      <c r="BH80" t="s">
        <v>74</v>
      </c>
      <c r="BI80">
        <v>13</v>
      </c>
      <c r="BJ80" t="s">
        <v>1838</v>
      </c>
      <c r="BK80" t="s">
        <v>250</v>
      </c>
      <c r="BL80" t="s">
        <v>251</v>
      </c>
      <c r="BM80" t="s">
        <v>1839</v>
      </c>
      <c r="BN80" t="s">
        <v>74</v>
      </c>
      <c r="BO80" t="s">
        <v>74</v>
      </c>
      <c r="BP80" t="s">
        <v>74</v>
      </c>
      <c r="BQ80" t="s">
        <v>74</v>
      </c>
      <c r="BR80" t="s">
        <v>106</v>
      </c>
      <c r="BS80" t="s">
        <v>1840</v>
      </c>
      <c r="BT80" t="str">
        <f>HYPERLINK("https%3A%2F%2Fwww.webofscience.com%2Fwos%2Fwoscc%2Ffull-record%2FWOS:000281167000008","View Full Record in Web of Science")</f>
        <v>View Full Record in Web of Science</v>
      </c>
    </row>
    <row r="81" spans="1:72" x14ac:dyDescent="0.25">
      <c r="A81" t="s">
        <v>108</v>
      </c>
      <c r="B81" t="s">
        <v>1841</v>
      </c>
      <c r="C81" t="s">
        <v>74</v>
      </c>
      <c r="D81" t="s">
        <v>74</v>
      </c>
      <c r="E81" t="s">
        <v>273</v>
      </c>
      <c r="F81" t="s">
        <v>1842</v>
      </c>
      <c r="G81" t="s">
        <v>74</v>
      </c>
      <c r="H81" t="s">
        <v>74</v>
      </c>
      <c r="I81" t="s">
        <v>1843</v>
      </c>
      <c r="J81" t="s">
        <v>1844</v>
      </c>
      <c r="K81" t="s">
        <v>74</v>
      </c>
      <c r="L81" t="s">
        <v>74</v>
      </c>
      <c r="M81" t="s">
        <v>78</v>
      </c>
      <c r="N81" t="s">
        <v>115</v>
      </c>
      <c r="O81" t="s">
        <v>1845</v>
      </c>
      <c r="P81" t="s">
        <v>1846</v>
      </c>
      <c r="Q81" t="s">
        <v>1847</v>
      </c>
      <c r="R81" t="s">
        <v>1848</v>
      </c>
      <c r="S81" t="s">
        <v>74</v>
      </c>
      <c r="T81" t="s">
        <v>1849</v>
      </c>
      <c r="U81" t="s">
        <v>74</v>
      </c>
      <c r="V81" t="s">
        <v>1850</v>
      </c>
      <c r="W81" t="s">
        <v>1851</v>
      </c>
      <c r="X81" t="s">
        <v>1852</v>
      </c>
      <c r="Y81" t="s">
        <v>1853</v>
      </c>
      <c r="Z81" t="s">
        <v>1854</v>
      </c>
      <c r="AA81" t="s">
        <v>74</v>
      </c>
      <c r="AB81" t="s">
        <v>74</v>
      </c>
      <c r="AC81" t="s">
        <v>74</v>
      </c>
      <c r="AD81" t="s">
        <v>74</v>
      </c>
      <c r="AE81" t="s">
        <v>74</v>
      </c>
      <c r="AF81" t="s">
        <v>74</v>
      </c>
      <c r="AG81">
        <v>0</v>
      </c>
      <c r="AH81">
        <v>1</v>
      </c>
      <c r="AI81">
        <v>1</v>
      </c>
      <c r="AJ81">
        <v>0</v>
      </c>
      <c r="AK81">
        <v>4</v>
      </c>
      <c r="AL81" t="s">
        <v>291</v>
      </c>
      <c r="AM81" t="s">
        <v>92</v>
      </c>
      <c r="AN81" t="s">
        <v>292</v>
      </c>
      <c r="AO81" t="s">
        <v>74</v>
      </c>
      <c r="AP81" t="s">
        <v>74</v>
      </c>
      <c r="AQ81" t="s">
        <v>1855</v>
      </c>
      <c r="AR81" t="s">
        <v>74</v>
      </c>
      <c r="AS81" t="s">
        <v>74</v>
      </c>
      <c r="AT81" t="s">
        <v>74</v>
      </c>
      <c r="AU81">
        <v>2016</v>
      </c>
      <c r="AV81" t="s">
        <v>74</v>
      </c>
      <c r="AW81" t="s">
        <v>74</v>
      </c>
      <c r="AX81" t="s">
        <v>74</v>
      </c>
      <c r="AY81" t="s">
        <v>74</v>
      </c>
      <c r="AZ81" t="s">
        <v>74</v>
      </c>
      <c r="BA81" t="s">
        <v>74</v>
      </c>
      <c r="BB81">
        <v>409</v>
      </c>
      <c r="BC81">
        <v>409</v>
      </c>
      <c r="BD81" t="s">
        <v>74</v>
      </c>
      <c r="BE81" t="s">
        <v>1856</v>
      </c>
      <c r="BF81" t="str">
        <f>HYPERLINK("http://dx.doi.org/10.1145/2939672.2945368","http://dx.doi.org/10.1145/2939672.2945368")</f>
        <v>http://dx.doi.org/10.1145/2939672.2945368</v>
      </c>
      <c r="BG81" t="s">
        <v>74</v>
      </c>
      <c r="BH81" t="s">
        <v>74</v>
      </c>
      <c r="BI81">
        <v>1</v>
      </c>
      <c r="BJ81" t="s">
        <v>461</v>
      </c>
      <c r="BK81" t="s">
        <v>203</v>
      </c>
      <c r="BL81" t="s">
        <v>103</v>
      </c>
      <c r="BM81" t="s">
        <v>1857</v>
      </c>
      <c r="BN81" t="s">
        <v>74</v>
      </c>
      <c r="BO81" t="s">
        <v>74</v>
      </c>
      <c r="BP81" t="s">
        <v>74</v>
      </c>
      <c r="BQ81" t="s">
        <v>74</v>
      </c>
      <c r="BR81" t="s">
        <v>106</v>
      </c>
      <c r="BS81" t="s">
        <v>1858</v>
      </c>
      <c r="BT81" t="str">
        <f>HYPERLINK("https%3A%2F%2Fwww.webofscience.com%2Fwos%2Fwoscc%2Ffull-record%2FWOS:000485529800050","View Full Record in Web of Science")</f>
        <v>View Full Record in Web of Science</v>
      </c>
    </row>
    <row r="82" spans="1:72" x14ac:dyDescent="0.25">
      <c r="A82" t="s">
        <v>108</v>
      </c>
      <c r="B82" t="s">
        <v>990</v>
      </c>
      <c r="C82" t="s">
        <v>74</v>
      </c>
      <c r="D82" t="s">
        <v>1859</v>
      </c>
      <c r="E82" t="s">
        <v>74</v>
      </c>
      <c r="F82" t="s">
        <v>991</v>
      </c>
      <c r="G82" t="s">
        <v>74</v>
      </c>
      <c r="H82" t="s">
        <v>74</v>
      </c>
      <c r="I82" t="s">
        <v>1860</v>
      </c>
      <c r="J82" t="s">
        <v>1861</v>
      </c>
      <c r="K82" t="s">
        <v>147</v>
      </c>
      <c r="L82" t="s">
        <v>74</v>
      </c>
      <c r="M82" t="s">
        <v>78</v>
      </c>
      <c r="N82" t="s">
        <v>115</v>
      </c>
      <c r="O82" t="s">
        <v>1862</v>
      </c>
      <c r="P82" t="s">
        <v>1863</v>
      </c>
      <c r="Q82" t="s">
        <v>1864</v>
      </c>
      <c r="R82" t="s">
        <v>1865</v>
      </c>
      <c r="S82" t="s">
        <v>74</v>
      </c>
      <c r="T82" t="s">
        <v>74</v>
      </c>
      <c r="U82" t="s">
        <v>74</v>
      </c>
      <c r="V82" t="s">
        <v>1866</v>
      </c>
      <c r="W82" t="s">
        <v>1867</v>
      </c>
      <c r="X82" t="s">
        <v>997</v>
      </c>
      <c r="Y82" t="s">
        <v>1868</v>
      </c>
      <c r="Z82" t="s">
        <v>1773</v>
      </c>
      <c r="AA82" t="s">
        <v>1000</v>
      </c>
      <c r="AB82" t="s">
        <v>1001</v>
      </c>
      <c r="AC82" t="s">
        <v>1002</v>
      </c>
      <c r="AD82" t="s">
        <v>1003</v>
      </c>
      <c r="AE82" t="s">
        <v>1776</v>
      </c>
      <c r="AF82" t="s">
        <v>74</v>
      </c>
      <c r="AG82">
        <v>17</v>
      </c>
      <c r="AH82">
        <v>16</v>
      </c>
      <c r="AI82">
        <v>18</v>
      </c>
      <c r="AJ82">
        <v>0</v>
      </c>
      <c r="AK82">
        <v>1</v>
      </c>
      <c r="AL82" t="s">
        <v>129</v>
      </c>
      <c r="AM82" t="s">
        <v>130</v>
      </c>
      <c r="AN82" t="s">
        <v>131</v>
      </c>
      <c r="AO82" t="s">
        <v>159</v>
      </c>
      <c r="AP82" t="s">
        <v>133</v>
      </c>
      <c r="AQ82" t="s">
        <v>1869</v>
      </c>
      <c r="AR82" t="s">
        <v>161</v>
      </c>
      <c r="AS82" t="s">
        <v>74</v>
      </c>
      <c r="AT82" t="s">
        <v>74</v>
      </c>
      <c r="AU82">
        <v>2017</v>
      </c>
      <c r="AV82">
        <v>10193</v>
      </c>
      <c r="AW82" t="s">
        <v>74</v>
      </c>
      <c r="AX82" t="s">
        <v>74</v>
      </c>
      <c r="AY82" t="s">
        <v>74</v>
      </c>
      <c r="AZ82" t="s">
        <v>74</v>
      </c>
      <c r="BA82" t="s">
        <v>74</v>
      </c>
      <c r="BB82">
        <v>122</v>
      </c>
      <c r="BC82">
        <v>133</v>
      </c>
      <c r="BD82" t="s">
        <v>74</v>
      </c>
      <c r="BE82" t="s">
        <v>1870</v>
      </c>
      <c r="BF82" t="str">
        <f>HYPERLINK("http://dx.doi.org/10.1007/978-3-319-56608-5_10","http://dx.doi.org/10.1007/978-3-319-56608-5_10")</f>
        <v>http://dx.doi.org/10.1007/978-3-319-56608-5_10</v>
      </c>
      <c r="BG82" t="s">
        <v>74</v>
      </c>
      <c r="BH82" t="s">
        <v>74</v>
      </c>
      <c r="BI82">
        <v>12</v>
      </c>
      <c r="BJ82" t="s">
        <v>696</v>
      </c>
      <c r="BK82" t="s">
        <v>203</v>
      </c>
      <c r="BL82" t="s">
        <v>103</v>
      </c>
      <c r="BM82" t="s">
        <v>1871</v>
      </c>
      <c r="BN82" t="s">
        <v>74</v>
      </c>
      <c r="BO82" t="s">
        <v>74</v>
      </c>
      <c r="BP82" t="s">
        <v>74</v>
      </c>
      <c r="BQ82" t="s">
        <v>74</v>
      </c>
      <c r="BR82" t="s">
        <v>106</v>
      </c>
      <c r="BS82" t="s">
        <v>1872</v>
      </c>
      <c r="BT82" t="str">
        <f>HYPERLINK("https%3A%2F%2Fwww.webofscience.com%2Fwos%2Fwoscc%2Ffull-record%2FWOS:000426152000010","View Full Record in Web of Science")</f>
        <v>View Full Record in Web of Science</v>
      </c>
    </row>
    <row r="83" spans="1:72" x14ac:dyDescent="0.25">
      <c r="A83" t="s">
        <v>108</v>
      </c>
      <c r="B83" t="s">
        <v>1873</v>
      </c>
      <c r="C83" t="s">
        <v>74</v>
      </c>
      <c r="D83" t="s">
        <v>1874</v>
      </c>
      <c r="E83" t="s">
        <v>74</v>
      </c>
      <c r="F83" t="s">
        <v>1875</v>
      </c>
      <c r="G83" t="s">
        <v>74</v>
      </c>
      <c r="H83" t="s">
        <v>74</v>
      </c>
      <c r="I83" t="s">
        <v>1876</v>
      </c>
      <c r="J83" t="s">
        <v>1877</v>
      </c>
      <c r="K83" t="s">
        <v>147</v>
      </c>
      <c r="L83" t="s">
        <v>74</v>
      </c>
      <c r="M83" t="s">
        <v>78</v>
      </c>
      <c r="N83" t="s">
        <v>115</v>
      </c>
      <c r="O83" t="s">
        <v>1878</v>
      </c>
      <c r="P83" t="s">
        <v>1879</v>
      </c>
      <c r="Q83" t="s">
        <v>1880</v>
      </c>
      <c r="R83" t="s">
        <v>1881</v>
      </c>
      <c r="S83" t="s">
        <v>74</v>
      </c>
      <c r="T83" t="s">
        <v>1882</v>
      </c>
      <c r="U83" t="s">
        <v>74</v>
      </c>
      <c r="V83" t="s">
        <v>1883</v>
      </c>
      <c r="W83" t="s">
        <v>1884</v>
      </c>
      <c r="X83" t="s">
        <v>74</v>
      </c>
      <c r="Y83" t="s">
        <v>1885</v>
      </c>
      <c r="Z83" t="s">
        <v>1886</v>
      </c>
      <c r="AA83" t="s">
        <v>74</v>
      </c>
      <c r="AB83" t="s">
        <v>1887</v>
      </c>
      <c r="AC83" t="s">
        <v>74</v>
      </c>
      <c r="AD83" t="s">
        <v>74</v>
      </c>
      <c r="AE83" t="s">
        <v>74</v>
      </c>
      <c r="AF83" t="s">
        <v>74</v>
      </c>
      <c r="AG83">
        <v>14</v>
      </c>
      <c r="AH83">
        <v>2</v>
      </c>
      <c r="AI83">
        <v>2</v>
      </c>
      <c r="AJ83">
        <v>0</v>
      </c>
      <c r="AK83">
        <v>4</v>
      </c>
      <c r="AL83" t="s">
        <v>197</v>
      </c>
      <c r="AM83" t="s">
        <v>198</v>
      </c>
      <c r="AN83" t="s">
        <v>199</v>
      </c>
      <c r="AO83" t="s">
        <v>159</v>
      </c>
      <c r="AP83" t="s">
        <v>133</v>
      </c>
      <c r="AQ83" t="s">
        <v>1888</v>
      </c>
      <c r="AR83" t="s">
        <v>161</v>
      </c>
      <c r="AS83" t="s">
        <v>74</v>
      </c>
      <c r="AT83" t="s">
        <v>74</v>
      </c>
      <c r="AU83">
        <v>2013</v>
      </c>
      <c r="AV83">
        <v>8109</v>
      </c>
      <c r="AW83" t="s">
        <v>74</v>
      </c>
      <c r="AX83" t="s">
        <v>74</v>
      </c>
      <c r="AY83" t="s">
        <v>74</v>
      </c>
      <c r="AZ83" t="s">
        <v>74</v>
      </c>
      <c r="BA83" t="s">
        <v>74</v>
      </c>
      <c r="BB83">
        <v>168</v>
      </c>
      <c r="BC83">
        <v>177</v>
      </c>
      <c r="BD83" t="s">
        <v>74</v>
      </c>
      <c r="BE83" t="s">
        <v>74</v>
      </c>
      <c r="BF83" t="s">
        <v>74</v>
      </c>
      <c r="BG83" t="s">
        <v>74</v>
      </c>
      <c r="BH83" t="s">
        <v>74</v>
      </c>
      <c r="BI83">
        <v>10</v>
      </c>
      <c r="BJ83" t="s">
        <v>1399</v>
      </c>
      <c r="BK83" t="s">
        <v>203</v>
      </c>
      <c r="BL83" t="s">
        <v>103</v>
      </c>
      <c r="BM83" t="s">
        <v>1889</v>
      </c>
      <c r="BN83" t="s">
        <v>74</v>
      </c>
      <c r="BO83" t="s">
        <v>346</v>
      </c>
      <c r="BP83" t="s">
        <v>74</v>
      </c>
      <c r="BQ83" t="s">
        <v>74</v>
      </c>
      <c r="BR83" t="s">
        <v>106</v>
      </c>
      <c r="BS83" t="s">
        <v>1890</v>
      </c>
      <c r="BT83" t="str">
        <f>HYPERLINK("https%3A%2F%2Fwww.webofscience.com%2Fwos%2Fwoscc%2Ffull-record%2FWOS:000340401800018","View Full Record in Web of Science")</f>
        <v>View Full Record in Web of Science</v>
      </c>
    </row>
    <row r="84" spans="1:72" x14ac:dyDescent="0.25">
      <c r="A84" t="s">
        <v>108</v>
      </c>
      <c r="B84" t="s">
        <v>1891</v>
      </c>
      <c r="C84" t="s">
        <v>74</v>
      </c>
      <c r="D84" t="s">
        <v>1892</v>
      </c>
      <c r="E84" t="s">
        <v>74</v>
      </c>
      <c r="F84" t="s">
        <v>1893</v>
      </c>
      <c r="G84" t="s">
        <v>74</v>
      </c>
      <c r="H84" t="s">
        <v>74</v>
      </c>
      <c r="I84" t="s">
        <v>1894</v>
      </c>
      <c r="J84" t="s">
        <v>1895</v>
      </c>
      <c r="K84" t="s">
        <v>74</v>
      </c>
      <c r="L84" t="s">
        <v>74</v>
      </c>
      <c r="M84" t="s">
        <v>78</v>
      </c>
      <c r="N84" t="s">
        <v>115</v>
      </c>
      <c r="O84" t="s">
        <v>1896</v>
      </c>
      <c r="P84" t="s">
        <v>1897</v>
      </c>
      <c r="Q84" t="s">
        <v>1898</v>
      </c>
      <c r="R84" t="s">
        <v>1899</v>
      </c>
      <c r="S84" t="s">
        <v>1900</v>
      </c>
      <c r="T84" t="s">
        <v>1901</v>
      </c>
      <c r="U84" t="s">
        <v>74</v>
      </c>
      <c r="V84" t="s">
        <v>1902</v>
      </c>
      <c r="W84" t="s">
        <v>1903</v>
      </c>
      <c r="X84" t="s">
        <v>1904</v>
      </c>
      <c r="Y84" t="s">
        <v>1905</v>
      </c>
      <c r="Z84" t="s">
        <v>1906</v>
      </c>
      <c r="AA84" t="s">
        <v>1907</v>
      </c>
      <c r="AB84" t="s">
        <v>1908</v>
      </c>
      <c r="AC84" t="s">
        <v>74</v>
      </c>
      <c r="AD84" t="s">
        <v>74</v>
      </c>
      <c r="AE84" t="s">
        <v>74</v>
      </c>
      <c r="AF84" t="s">
        <v>74</v>
      </c>
      <c r="AG84">
        <v>18</v>
      </c>
      <c r="AH84">
        <v>0</v>
      </c>
      <c r="AI84">
        <v>0</v>
      </c>
      <c r="AJ84">
        <v>0</v>
      </c>
      <c r="AK84">
        <v>4</v>
      </c>
      <c r="AL84" t="s">
        <v>465</v>
      </c>
      <c r="AM84" t="s">
        <v>92</v>
      </c>
      <c r="AN84" t="s">
        <v>480</v>
      </c>
      <c r="AO84" t="s">
        <v>74</v>
      </c>
      <c r="AP84" t="s">
        <v>74</v>
      </c>
      <c r="AQ84" t="s">
        <v>1909</v>
      </c>
      <c r="AR84" t="s">
        <v>74</v>
      </c>
      <c r="AS84" t="s">
        <v>74</v>
      </c>
      <c r="AT84" t="s">
        <v>74</v>
      </c>
      <c r="AU84">
        <v>2021</v>
      </c>
      <c r="AV84" t="s">
        <v>74</v>
      </c>
      <c r="AW84" t="s">
        <v>74</v>
      </c>
      <c r="AX84" t="s">
        <v>74</v>
      </c>
      <c r="AY84" t="s">
        <v>74</v>
      </c>
      <c r="AZ84" t="s">
        <v>74</v>
      </c>
      <c r="BA84" t="s">
        <v>74</v>
      </c>
      <c r="BB84">
        <v>175</v>
      </c>
      <c r="BC84">
        <v>180</v>
      </c>
      <c r="BD84" t="s">
        <v>74</v>
      </c>
      <c r="BE84" t="s">
        <v>1910</v>
      </c>
      <c r="BF84" t="str">
        <f>HYPERLINK("http://dx.doi.org/10.1109/IC2IE53219.2021.9649391","http://dx.doi.org/10.1109/IC2IE53219.2021.9649391")</f>
        <v>http://dx.doi.org/10.1109/IC2IE53219.2021.9649391</v>
      </c>
      <c r="BG84" t="s">
        <v>74</v>
      </c>
      <c r="BH84" t="s">
        <v>74</v>
      </c>
      <c r="BI84">
        <v>6</v>
      </c>
      <c r="BJ84" t="s">
        <v>1911</v>
      </c>
      <c r="BK84" t="s">
        <v>203</v>
      </c>
      <c r="BL84" t="s">
        <v>953</v>
      </c>
      <c r="BM84" t="s">
        <v>1912</v>
      </c>
      <c r="BN84" t="s">
        <v>74</v>
      </c>
      <c r="BO84" t="s">
        <v>74</v>
      </c>
      <c r="BP84" t="s">
        <v>74</v>
      </c>
      <c r="BQ84" t="s">
        <v>74</v>
      </c>
      <c r="BR84" t="s">
        <v>106</v>
      </c>
      <c r="BS84" t="s">
        <v>1913</v>
      </c>
      <c r="BT84" t="str">
        <f>HYPERLINK("https%3A%2F%2Fwww.webofscience.com%2Fwos%2Fwoscc%2Ffull-record%2FWOS:000850131100033","View Full Record in Web of Science")</f>
        <v>View Full Record in Web of Science</v>
      </c>
    </row>
    <row r="85" spans="1:72" x14ac:dyDescent="0.25">
      <c r="A85" t="s">
        <v>108</v>
      </c>
      <c r="B85" t="s">
        <v>1914</v>
      </c>
      <c r="C85" t="s">
        <v>74</v>
      </c>
      <c r="D85" t="s">
        <v>74</v>
      </c>
      <c r="E85" t="s">
        <v>322</v>
      </c>
      <c r="F85" t="s">
        <v>1915</v>
      </c>
      <c r="G85" t="s">
        <v>74</v>
      </c>
      <c r="H85" t="s">
        <v>74</v>
      </c>
      <c r="I85" t="s">
        <v>1916</v>
      </c>
      <c r="J85" t="s">
        <v>1917</v>
      </c>
      <c r="K85" t="s">
        <v>74</v>
      </c>
      <c r="L85" t="s">
        <v>74</v>
      </c>
      <c r="M85" t="s">
        <v>78</v>
      </c>
      <c r="N85" t="s">
        <v>115</v>
      </c>
      <c r="O85" t="s">
        <v>1918</v>
      </c>
      <c r="P85" t="s">
        <v>1919</v>
      </c>
      <c r="Q85" t="s">
        <v>1920</v>
      </c>
      <c r="R85" t="s">
        <v>1921</v>
      </c>
      <c r="S85" t="s">
        <v>1922</v>
      </c>
      <c r="T85" t="s">
        <v>1923</v>
      </c>
      <c r="U85" t="s">
        <v>74</v>
      </c>
      <c r="V85" t="s">
        <v>1924</v>
      </c>
      <c r="W85" t="s">
        <v>1925</v>
      </c>
      <c r="X85" t="s">
        <v>1926</v>
      </c>
      <c r="Y85" t="s">
        <v>1927</v>
      </c>
      <c r="Z85" t="s">
        <v>1928</v>
      </c>
      <c r="AA85" t="s">
        <v>1929</v>
      </c>
      <c r="AB85" t="s">
        <v>1930</v>
      </c>
      <c r="AC85" t="s">
        <v>74</v>
      </c>
      <c r="AD85" t="s">
        <v>74</v>
      </c>
      <c r="AE85" t="s">
        <v>74</v>
      </c>
      <c r="AF85" t="s">
        <v>74</v>
      </c>
      <c r="AG85">
        <v>9</v>
      </c>
      <c r="AH85">
        <v>1</v>
      </c>
      <c r="AI85">
        <v>1</v>
      </c>
      <c r="AJ85">
        <v>0</v>
      </c>
      <c r="AK85">
        <v>4</v>
      </c>
      <c r="AL85" t="s">
        <v>291</v>
      </c>
      <c r="AM85" t="s">
        <v>92</v>
      </c>
      <c r="AN85" t="s">
        <v>292</v>
      </c>
      <c r="AO85" t="s">
        <v>74</v>
      </c>
      <c r="AP85" t="s">
        <v>74</v>
      </c>
      <c r="AQ85" t="s">
        <v>1931</v>
      </c>
      <c r="AR85" t="s">
        <v>74</v>
      </c>
      <c r="AS85" t="s">
        <v>74</v>
      </c>
      <c r="AT85" t="s">
        <v>74</v>
      </c>
      <c r="AU85">
        <v>2016</v>
      </c>
      <c r="AV85" t="s">
        <v>74</v>
      </c>
      <c r="AW85" t="s">
        <v>74</v>
      </c>
      <c r="AX85" t="s">
        <v>74</v>
      </c>
      <c r="AY85" t="s">
        <v>74</v>
      </c>
      <c r="AZ85" t="s">
        <v>74</v>
      </c>
      <c r="BA85" t="s">
        <v>74</v>
      </c>
      <c r="BB85">
        <v>47</v>
      </c>
      <c r="BC85">
        <v>52</v>
      </c>
      <c r="BD85" t="s">
        <v>74</v>
      </c>
      <c r="BE85" t="s">
        <v>1932</v>
      </c>
      <c r="BF85" t="str">
        <f>HYPERLINK("http://dx.doi.org/10.1145/2962735.2962740","http://dx.doi.org/10.1145/2962735.2962740")</f>
        <v>http://dx.doi.org/10.1145/2962735.2962740</v>
      </c>
      <c r="BG85" t="s">
        <v>74</v>
      </c>
      <c r="BH85" t="s">
        <v>74</v>
      </c>
      <c r="BI85">
        <v>6</v>
      </c>
      <c r="BJ85" t="s">
        <v>972</v>
      </c>
      <c r="BK85" t="s">
        <v>203</v>
      </c>
      <c r="BL85" t="s">
        <v>953</v>
      </c>
      <c r="BM85" t="s">
        <v>1933</v>
      </c>
      <c r="BN85" t="s">
        <v>74</v>
      </c>
      <c r="BO85" t="s">
        <v>74</v>
      </c>
      <c r="BP85" t="s">
        <v>74</v>
      </c>
      <c r="BQ85" t="s">
        <v>74</v>
      </c>
      <c r="BR85" t="s">
        <v>106</v>
      </c>
      <c r="BS85" t="s">
        <v>1934</v>
      </c>
      <c r="BT85" t="str">
        <f>HYPERLINK("https%3A%2F%2Fwww.webofscience.com%2Fwos%2Fwoscc%2Ffull-record%2FWOS:000383621200010","View Full Record in Web of Science")</f>
        <v>View Full Record in Web of Science</v>
      </c>
    </row>
    <row r="86" spans="1:72" x14ac:dyDescent="0.25">
      <c r="A86" t="s">
        <v>72</v>
      </c>
      <c r="B86" t="s">
        <v>1935</v>
      </c>
      <c r="C86" t="s">
        <v>74</v>
      </c>
      <c r="D86" t="s">
        <v>74</v>
      </c>
      <c r="E86" t="s">
        <v>74</v>
      </c>
      <c r="F86" t="s">
        <v>1936</v>
      </c>
      <c r="G86" t="s">
        <v>74</v>
      </c>
      <c r="H86" t="s">
        <v>74</v>
      </c>
      <c r="I86" t="s">
        <v>1937</v>
      </c>
      <c r="J86" t="s">
        <v>1532</v>
      </c>
      <c r="K86" t="s">
        <v>74</v>
      </c>
      <c r="L86" t="s">
        <v>74</v>
      </c>
      <c r="M86" t="s">
        <v>78</v>
      </c>
      <c r="N86" t="s">
        <v>79</v>
      </c>
      <c r="O86" t="s">
        <v>74</v>
      </c>
      <c r="P86" t="s">
        <v>74</v>
      </c>
      <c r="Q86" t="s">
        <v>74</v>
      </c>
      <c r="R86" t="s">
        <v>74</v>
      </c>
      <c r="S86" t="s">
        <v>74</v>
      </c>
      <c r="T86" t="s">
        <v>1938</v>
      </c>
      <c r="U86" t="s">
        <v>1939</v>
      </c>
      <c r="V86" t="s">
        <v>1940</v>
      </c>
      <c r="W86" t="s">
        <v>1941</v>
      </c>
      <c r="X86" t="s">
        <v>1942</v>
      </c>
      <c r="Y86" t="s">
        <v>1943</v>
      </c>
      <c r="Z86" t="s">
        <v>1944</v>
      </c>
      <c r="AA86" t="s">
        <v>1945</v>
      </c>
      <c r="AB86" t="s">
        <v>1946</v>
      </c>
      <c r="AC86" t="s">
        <v>1947</v>
      </c>
      <c r="AD86" t="s">
        <v>1948</v>
      </c>
      <c r="AE86" t="s">
        <v>1949</v>
      </c>
      <c r="AF86" t="s">
        <v>74</v>
      </c>
      <c r="AG86">
        <v>35</v>
      </c>
      <c r="AH86">
        <v>73</v>
      </c>
      <c r="AI86">
        <v>83</v>
      </c>
      <c r="AJ86">
        <v>2</v>
      </c>
      <c r="AK86">
        <v>86</v>
      </c>
      <c r="AL86" t="s">
        <v>895</v>
      </c>
      <c r="AM86" t="s">
        <v>896</v>
      </c>
      <c r="AN86" t="s">
        <v>897</v>
      </c>
      <c r="AO86" t="s">
        <v>1541</v>
      </c>
      <c r="AP86" t="s">
        <v>74</v>
      </c>
      <c r="AQ86" t="s">
        <v>74</v>
      </c>
      <c r="AR86" t="s">
        <v>1542</v>
      </c>
      <c r="AS86" t="s">
        <v>1543</v>
      </c>
      <c r="AT86" t="s">
        <v>1950</v>
      </c>
      <c r="AU86">
        <v>2021</v>
      </c>
      <c r="AV86">
        <v>8</v>
      </c>
      <c r="AW86">
        <v>1</v>
      </c>
      <c r="AX86" t="s">
        <v>74</v>
      </c>
      <c r="AY86" t="s">
        <v>74</v>
      </c>
      <c r="AZ86" t="s">
        <v>74</v>
      </c>
      <c r="BA86" t="s">
        <v>74</v>
      </c>
      <c r="BB86">
        <v>86</v>
      </c>
      <c r="BC86">
        <v>98</v>
      </c>
      <c r="BD86" t="s">
        <v>74</v>
      </c>
      <c r="BE86" t="s">
        <v>1951</v>
      </c>
      <c r="BF86" t="str">
        <f>HYPERLINK("http://dx.doi.org/10.1109/TCSS.2020.3037040","http://dx.doi.org/10.1109/TCSS.2020.3037040")</f>
        <v>http://dx.doi.org/10.1109/TCSS.2020.3037040</v>
      </c>
      <c r="BG86" t="s">
        <v>74</v>
      </c>
      <c r="BH86" t="s">
        <v>74</v>
      </c>
      <c r="BI86">
        <v>13</v>
      </c>
      <c r="BJ86" t="s">
        <v>1546</v>
      </c>
      <c r="BK86" t="s">
        <v>902</v>
      </c>
      <c r="BL86" t="s">
        <v>103</v>
      </c>
      <c r="BM86" t="s">
        <v>1952</v>
      </c>
      <c r="BN86" t="s">
        <v>74</v>
      </c>
      <c r="BO86" t="s">
        <v>74</v>
      </c>
      <c r="BP86" t="s">
        <v>74</v>
      </c>
      <c r="BQ86" t="s">
        <v>74</v>
      </c>
      <c r="BR86" t="s">
        <v>106</v>
      </c>
      <c r="BS86" t="s">
        <v>1953</v>
      </c>
      <c r="BT86" t="str">
        <f>HYPERLINK("https%3A%2F%2Fwww.webofscience.com%2Fwos%2Fwoscc%2Ffull-record%2FWOS:000613556400008","View Full Record in Web of Science")</f>
        <v>View Full Record in Web of Science</v>
      </c>
    </row>
    <row r="87" spans="1:72" x14ac:dyDescent="0.25">
      <c r="A87" t="s">
        <v>72</v>
      </c>
      <c r="B87" t="s">
        <v>1954</v>
      </c>
      <c r="C87" t="s">
        <v>74</v>
      </c>
      <c r="D87" t="s">
        <v>74</v>
      </c>
      <c r="E87" t="s">
        <v>74</v>
      </c>
      <c r="F87" t="s">
        <v>1955</v>
      </c>
      <c r="G87" t="s">
        <v>74</v>
      </c>
      <c r="H87" t="s">
        <v>74</v>
      </c>
      <c r="I87" t="s">
        <v>1956</v>
      </c>
      <c r="J87" t="s">
        <v>1957</v>
      </c>
      <c r="K87" t="s">
        <v>74</v>
      </c>
      <c r="L87" t="s">
        <v>74</v>
      </c>
      <c r="M87" t="s">
        <v>78</v>
      </c>
      <c r="N87" t="s">
        <v>79</v>
      </c>
      <c r="O87" t="s">
        <v>74</v>
      </c>
      <c r="P87" t="s">
        <v>74</v>
      </c>
      <c r="Q87" t="s">
        <v>74</v>
      </c>
      <c r="R87" t="s">
        <v>74</v>
      </c>
      <c r="S87" t="s">
        <v>74</v>
      </c>
      <c r="T87" t="s">
        <v>1958</v>
      </c>
      <c r="U87" t="s">
        <v>1959</v>
      </c>
      <c r="V87" t="s">
        <v>1960</v>
      </c>
      <c r="W87" t="s">
        <v>1961</v>
      </c>
      <c r="X87" t="s">
        <v>1962</v>
      </c>
      <c r="Y87" t="s">
        <v>1963</v>
      </c>
      <c r="Z87" t="s">
        <v>1964</v>
      </c>
      <c r="AA87" t="s">
        <v>1965</v>
      </c>
      <c r="AB87" t="s">
        <v>1966</v>
      </c>
      <c r="AC87" t="s">
        <v>1967</v>
      </c>
      <c r="AD87" t="s">
        <v>1967</v>
      </c>
      <c r="AE87" t="s">
        <v>1968</v>
      </c>
      <c r="AF87" t="s">
        <v>74</v>
      </c>
      <c r="AG87">
        <v>133</v>
      </c>
      <c r="AH87">
        <v>2</v>
      </c>
      <c r="AI87">
        <v>2</v>
      </c>
      <c r="AJ87">
        <v>7</v>
      </c>
      <c r="AK87">
        <v>15</v>
      </c>
      <c r="AL87" t="s">
        <v>631</v>
      </c>
      <c r="AM87" t="s">
        <v>632</v>
      </c>
      <c r="AN87" t="s">
        <v>633</v>
      </c>
      <c r="AO87" t="s">
        <v>1969</v>
      </c>
      <c r="AP87" t="s">
        <v>1970</v>
      </c>
      <c r="AQ87" t="s">
        <v>74</v>
      </c>
      <c r="AR87" t="s">
        <v>1971</v>
      </c>
      <c r="AS87" t="s">
        <v>1972</v>
      </c>
      <c r="AT87" t="s">
        <v>368</v>
      </c>
      <c r="AU87">
        <v>2026</v>
      </c>
      <c r="AV87">
        <v>110</v>
      </c>
      <c r="AW87">
        <v>3</v>
      </c>
      <c r="AX87" t="s">
        <v>74</v>
      </c>
      <c r="AY87" t="s">
        <v>74</v>
      </c>
      <c r="AZ87" t="s">
        <v>74</v>
      </c>
      <c r="BA87" t="s">
        <v>74</v>
      </c>
      <c r="BB87">
        <v>928</v>
      </c>
      <c r="BC87">
        <v>946</v>
      </c>
      <c r="BD87" t="s">
        <v>74</v>
      </c>
      <c r="BE87" t="s">
        <v>1973</v>
      </c>
      <c r="BF87" t="str">
        <f>HYPERLINK("http://dx.doi.org/10.1002/sce.70042","http://dx.doi.org/10.1002/sce.70042")</f>
        <v>http://dx.doi.org/10.1002/sce.70042</v>
      </c>
      <c r="BG87" t="s">
        <v>74</v>
      </c>
      <c r="BH87" t="s">
        <v>1253</v>
      </c>
      <c r="BI87">
        <v>19</v>
      </c>
      <c r="BJ87" t="s">
        <v>318</v>
      </c>
      <c r="BK87" t="s">
        <v>250</v>
      </c>
      <c r="BL87" t="s">
        <v>318</v>
      </c>
      <c r="BM87" t="s">
        <v>1974</v>
      </c>
      <c r="BN87" t="s">
        <v>74</v>
      </c>
      <c r="BO87" t="s">
        <v>1331</v>
      </c>
      <c r="BP87" t="s">
        <v>74</v>
      </c>
      <c r="BQ87" t="s">
        <v>74</v>
      </c>
      <c r="BR87" t="s">
        <v>106</v>
      </c>
      <c r="BS87" t="s">
        <v>1975</v>
      </c>
      <c r="BT87" t="str">
        <f>HYPERLINK("https%3A%2F%2Fwww.webofscience.com%2Fwos%2Fwoscc%2Ffull-record%2FWOS:001636901800001","View Full Record in Web of Science")</f>
        <v>View Full Record in Web of Science</v>
      </c>
    </row>
    <row r="88" spans="1:72" x14ac:dyDescent="0.25">
      <c r="A88" t="s">
        <v>108</v>
      </c>
      <c r="B88" t="s">
        <v>1976</v>
      </c>
      <c r="C88" t="s">
        <v>74</v>
      </c>
      <c r="D88" t="s">
        <v>1977</v>
      </c>
      <c r="E88" t="s">
        <v>74</v>
      </c>
      <c r="F88" t="s">
        <v>1978</v>
      </c>
      <c r="G88" t="s">
        <v>74</v>
      </c>
      <c r="H88" t="s">
        <v>74</v>
      </c>
      <c r="I88" t="s">
        <v>1979</v>
      </c>
      <c r="J88" t="s">
        <v>1980</v>
      </c>
      <c r="K88" t="s">
        <v>74</v>
      </c>
      <c r="L88" t="s">
        <v>74</v>
      </c>
      <c r="M88" t="s">
        <v>78</v>
      </c>
      <c r="N88" t="s">
        <v>115</v>
      </c>
      <c r="O88" t="s">
        <v>1981</v>
      </c>
      <c r="P88" t="s">
        <v>1982</v>
      </c>
      <c r="Q88" t="s">
        <v>1983</v>
      </c>
      <c r="R88" t="s">
        <v>1984</v>
      </c>
      <c r="S88" t="s">
        <v>74</v>
      </c>
      <c r="T88" t="s">
        <v>1882</v>
      </c>
      <c r="U88" t="s">
        <v>74</v>
      </c>
      <c r="V88" t="s">
        <v>1985</v>
      </c>
      <c r="W88" t="s">
        <v>1986</v>
      </c>
      <c r="X88" t="s">
        <v>74</v>
      </c>
      <c r="Y88" t="s">
        <v>1885</v>
      </c>
      <c r="Z88" t="s">
        <v>1886</v>
      </c>
      <c r="AA88" t="s">
        <v>74</v>
      </c>
      <c r="AB88" t="s">
        <v>1987</v>
      </c>
      <c r="AC88" t="s">
        <v>74</v>
      </c>
      <c r="AD88" t="s">
        <v>74</v>
      </c>
      <c r="AE88" t="s">
        <v>74</v>
      </c>
      <c r="AF88" t="s">
        <v>74</v>
      </c>
      <c r="AG88">
        <v>14</v>
      </c>
      <c r="AH88">
        <v>19</v>
      </c>
      <c r="AI88">
        <v>22</v>
      </c>
      <c r="AJ88">
        <v>0</v>
      </c>
      <c r="AK88">
        <v>51</v>
      </c>
      <c r="AL88" t="s">
        <v>465</v>
      </c>
      <c r="AM88" t="s">
        <v>92</v>
      </c>
      <c r="AN88" t="s">
        <v>480</v>
      </c>
      <c r="AO88" t="s">
        <v>74</v>
      </c>
      <c r="AP88" t="s">
        <v>74</v>
      </c>
      <c r="AQ88" t="s">
        <v>1988</v>
      </c>
      <c r="AR88" t="s">
        <v>74</v>
      </c>
      <c r="AS88" t="s">
        <v>74</v>
      </c>
      <c r="AT88" t="s">
        <v>74</v>
      </c>
      <c r="AU88">
        <v>2013</v>
      </c>
      <c r="AV88" t="s">
        <v>74</v>
      </c>
      <c r="AW88" t="s">
        <v>74</v>
      </c>
      <c r="AX88" t="s">
        <v>74</v>
      </c>
      <c r="AY88" t="s">
        <v>74</v>
      </c>
      <c r="AZ88" t="s">
        <v>74</v>
      </c>
      <c r="BA88" t="s">
        <v>74</v>
      </c>
      <c r="BB88">
        <v>439</v>
      </c>
      <c r="BC88">
        <v>444</v>
      </c>
      <c r="BD88" t="s">
        <v>74</v>
      </c>
      <c r="BE88" t="s">
        <v>1989</v>
      </c>
      <c r="BF88" t="str">
        <f>HYPERLINK("http://dx.doi.org/10.1109/WI-IAT.2013.62","http://dx.doi.org/10.1109/WI-IAT.2013.62")</f>
        <v>http://dx.doi.org/10.1109/WI-IAT.2013.62</v>
      </c>
      <c r="BG88" t="s">
        <v>74</v>
      </c>
      <c r="BH88" t="s">
        <v>74</v>
      </c>
      <c r="BI88">
        <v>6</v>
      </c>
      <c r="BJ88" t="s">
        <v>972</v>
      </c>
      <c r="BK88" t="s">
        <v>203</v>
      </c>
      <c r="BL88" t="s">
        <v>953</v>
      </c>
      <c r="BM88" t="s">
        <v>1990</v>
      </c>
      <c r="BN88" t="s">
        <v>74</v>
      </c>
      <c r="BO88" t="s">
        <v>346</v>
      </c>
      <c r="BP88" t="s">
        <v>74</v>
      </c>
      <c r="BQ88" t="s">
        <v>74</v>
      </c>
      <c r="BR88" t="s">
        <v>106</v>
      </c>
      <c r="BS88" t="s">
        <v>1991</v>
      </c>
      <c r="BT88" t="str">
        <f>HYPERLINK("https%3A%2F%2Fwww.webofscience.com%2Fwos%2Fwoscc%2Ffull-record%2FWOS:000331265000063","View Full Record in Web of Science")</f>
        <v>View Full Record in Web of Science</v>
      </c>
    </row>
    <row r="89" spans="1:72" x14ac:dyDescent="0.25">
      <c r="A89" t="s">
        <v>108</v>
      </c>
      <c r="B89" t="s">
        <v>1992</v>
      </c>
      <c r="C89" t="s">
        <v>74</v>
      </c>
      <c r="D89" t="s">
        <v>74</v>
      </c>
      <c r="E89" t="s">
        <v>322</v>
      </c>
      <c r="F89" t="s">
        <v>1993</v>
      </c>
      <c r="G89" t="s">
        <v>74</v>
      </c>
      <c r="H89" t="s">
        <v>74</v>
      </c>
      <c r="I89" t="s">
        <v>1994</v>
      </c>
      <c r="J89" t="s">
        <v>1995</v>
      </c>
      <c r="K89" t="s">
        <v>74</v>
      </c>
      <c r="L89" t="s">
        <v>74</v>
      </c>
      <c r="M89" t="s">
        <v>78</v>
      </c>
      <c r="N89" t="s">
        <v>115</v>
      </c>
      <c r="O89" t="s">
        <v>1996</v>
      </c>
      <c r="P89" t="s">
        <v>1997</v>
      </c>
      <c r="Q89" t="s">
        <v>1998</v>
      </c>
      <c r="R89" t="s">
        <v>1999</v>
      </c>
      <c r="S89" t="s">
        <v>74</v>
      </c>
      <c r="T89" t="s">
        <v>2000</v>
      </c>
      <c r="U89" t="s">
        <v>74</v>
      </c>
      <c r="V89" t="s">
        <v>2001</v>
      </c>
      <c r="W89" t="s">
        <v>2002</v>
      </c>
      <c r="X89" t="s">
        <v>2003</v>
      </c>
      <c r="Y89" t="s">
        <v>2004</v>
      </c>
      <c r="Z89" t="s">
        <v>74</v>
      </c>
      <c r="AA89" t="s">
        <v>2005</v>
      </c>
      <c r="AB89" t="s">
        <v>2006</v>
      </c>
      <c r="AC89" t="s">
        <v>2007</v>
      </c>
      <c r="AD89" t="s">
        <v>2007</v>
      </c>
      <c r="AE89" t="s">
        <v>2008</v>
      </c>
      <c r="AF89" t="s">
        <v>74</v>
      </c>
      <c r="AG89">
        <v>10</v>
      </c>
      <c r="AH89">
        <v>68</v>
      </c>
      <c r="AI89">
        <v>83</v>
      </c>
      <c r="AJ89">
        <v>0</v>
      </c>
      <c r="AK89">
        <v>1</v>
      </c>
      <c r="AL89" t="s">
        <v>291</v>
      </c>
      <c r="AM89" t="s">
        <v>92</v>
      </c>
      <c r="AN89" t="s">
        <v>292</v>
      </c>
      <c r="AO89" t="s">
        <v>74</v>
      </c>
      <c r="AP89" t="s">
        <v>74</v>
      </c>
      <c r="AQ89" t="s">
        <v>2009</v>
      </c>
      <c r="AR89" t="s">
        <v>74</v>
      </c>
      <c r="AS89" t="s">
        <v>74</v>
      </c>
      <c r="AT89" t="s">
        <v>74</v>
      </c>
      <c r="AU89">
        <v>2014</v>
      </c>
      <c r="AV89" t="s">
        <v>74</v>
      </c>
      <c r="AW89" t="s">
        <v>74</v>
      </c>
      <c r="AX89" t="s">
        <v>74</v>
      </c>
      <c r="AY89" t="s">
        <v>74</v>
      </c>
      <c r="AZ89" t="s">
        <v>74</v>
      </c>
      <c r="BA89" t="s">
        <v>74</v>
      </c>
      <c r="BB89">
        <v>357</v>
      </c>
      <c r="BC89">
        <v>360</v>
      </c>
      <c r="BD89" t="s">
        <v>74</v>
      </c>
      <c r="BE89" t="s">
        <v>2010</v>
      </c>
      <c r="BF89" t="str">
        <f>HYPERLINK("http://dx.doi.org/10.1145/2645710.2645765","http://dx.doi.org/10.1145/2645710.2645765")</f>
        <v>http://dx.doi.org/10.1145/2645710.2645765</v>
      </c>
      <c r="BG89" t="s">
        <v>74</v>
      </c>
      <c r="BH89" t="s">
        <v>74</v>
      </c>
      <c r="BI89">
        <v>4</v>
      </c>
      <c r="BJ89" t="s">
        <v>1399</v>
      </c>
      <c r="BK89" t="s">
        <v>203</v>
      </c>
      <c r="BL89" t="s">
        <v>103</v>
      </c>
      <c r="BM89" t="s">
        <v>2011</v>
      </c>
      <c r="BN89" t="s">
        <v>74</v>
      </c>
      <c r="BO89" t="s">
        <v>74</v>
      </c>
      <c r="BP89" t="s">
        <v>74</v>
      </c>
      <c r="BQ89" t="s">
        <v>74</v>
      </c>
      <c r="BR89" t="s">
        <v>106</v>
      </c>
      <c r="BS89" t="s">
        <v>2012</v>
      </c>
      <c r="BT89" t="str">
        <f>HYPERLINK("https%3A%2F%2Fwww.webofscience.com%2Fwos%2Fwoscc%2Ffull-record%2FWOS:000569706700055","View Full Record in Web of Science")</f>
        <v>View Full Record in Web of Science</v>
      </c>
    </row>
    <row r="90" spans="1:72" x14ac:dyDescent="0.25">
      <c r="A90" t="s">
        <v>72</v>
      </c>
      <c r="B90" t="s">
        <v>2013</v>
      </c>
      <c r="C90" t="s">
        <v>74</v>
      </c>
      <c r="D90" t="s">
        <v>74</v>
      </c>
      <c r="E90" t="s">
        <v>74</v>
      </c>
      <c r="F90" t="s">
        <v>2014</v>
      </c>
      <c r="G90" t="s">
        <v>74</v>
      </c>
      <c r="H90" t="s">
        <v>74</v>
      </c>
      <c r="I90" t="s">
        <v>2015</v>
      </c>
      <c r="J90" t="s">
        <v>2016</v>
      </c>
      <c r="K90" t="s">
        <v>74</v>
      </c>
      <c r="L90" t="s">
        <v>74</v>
      </c>
      <c r="M90" t="s">
        <v>78</v>
      </c>
      <c r="N90" t="s">
        <v>79</v>
      </c>
      <c r="O90" t="s">
        <v>74</v>
      </c>
      <c r="P90" t="s">
        <v>74</v>
      </c>
      <c r="Q90" t="s">
        <v>74</v>
      </c>
      <c r="R90" t="s">
        <v>74</v>
      </c>
      <c r="S90" t="s">
        <v>74</v>
      </c>
      <c r="T90" t="s">
        <v>2017</v>
      </c>
      <c r="U90" t="s">
        <v>74</v>
      </c>
      <c r="V90" t="s">
        <v>2018</v>
      </c>
      <c r="W90" t="s">
        <v>2019</v>
      </c>
      <c r="X90" t="s">
        <v>2020</v>
      </c>
      <c r="Y90" t="s">
        <v>2021</v>
      </c>
      <c r="Z90" t="s">
        <v>2022</v>
      </c>
      <c r="AA90" t="s">
        <v>2023</v>
      </c>
      <c r="AB90" t="s">
        <v>74</v>
      </c>
      <c r="AC90" t="s">
        <v>2024</v>
      </c>
      <c r="AD90" t="s">
        <v>2025</v>
      </c>
      <c r="AE90" t="s">
        <v>2026</v>
      </c>
      <c r="AF90" t="s">
        <v>74</v>
      </c>
      <c r="AG90">
        <v>1</v>
      </c>
      <c r="AH90">
        <v>6</v>
      </c>
      <c r="AI90">
        <v>6</v>
      </c>
      <c r="AJ90">
        <v>0</v>
      </c>
      <c r="AK90">
        <v>31</v>
      </c>
      <c r="AL90" t="s">
        <v>362</v>
      </c>
      <c r="AM90" t="s">
        <v>363</v>
      </c>
      <c r="AN90" t="s">
        <v>364</v>
      </c>
      <c r="AO90" t="s">
        <v>2027</v>
      </c>
      <c r="AP90" t="s">
        <v>2028</v>
      </c>
      <c r="AQ90" t="s">
        <v>74</v>
      </c>
      <c r="AR90" t="s">
        <v>2016</v>
      </c>
      <c r="AS90" t="s">
        <v>2029</v>
      </c>
      <c r="AT90" t="s">
        <v>2030</v>
      </c>
      <c r="AU90">
        <v>2018</v>
      </c>
      <c r="AV90">
        <v>278</v>
      </c>
      <c r="AW90" t="s">
        <v>74</v>
      </c>
      <c r="AX90" t="s">
        <v>74</v>
      </c>
      <c r="AY90" t="s">
        <v>74</v>
      </c>
      <c r="AZ90" t="s">
        <v>247</v>
      </c>
      <c r="BA90" t="s">
        <v>74</v>
      </c>
      <c r="BB90">
        <v>87</v>
      </c>
      <c r="BC90">
        <v>98</v>
      </c>
      <c r="BD90" t="s">
        <v>74</v>
      </c>
      <c r="BE90" t="s">
        <v>2031</v>
      </c>
      <c r="BF90" t="str">
        <f>HYPERLINK("http://dx.doi.org/10.1016/j.neucom.2017.04.078","http://dx.doi.org/10.1016/j.neucom.2017.04.078")</f>
        <v>http://dx.doi.org/10.1016/j.neucom.2017.04.078</v>
      </c>
      <c r="BG90" t="s">
        <v>74</v>
      </c>
      <c r="BH90" t="s">
        <v>74</v>
      </c>
      <c r="BI90">
        <v>12</v>
      </c>
      <c r="BJ90" t="s">
        <v>807</v>
      </c>
      <c r="BK90" t="s">
        <v>902</v>
      </c>
      <c r="BL90" t="s">
        <v>103</v>
      </c>
      <c r="BM90" t="s">
        <v>2032</v>
      </c>
      <c r="BN90" t="s">
        <v>74</v>
      </c>
      <c r="BO90" t="s">
        <v>74</v>
      </c>
      <c r="BP90" t="s">
        <v>74</v>
      </c>
      <c r="BQ90" t="s">
        <v>74</v>
      </c>
      <c r="BR90" t="s">
        <v>106</v>
      </c>
      <c r="BS90" t="s">
        <v>2033</v>
      </c>
      <c r="BT90" t="str">
        <f>HYPERLINK("https%3A%2F%2Fwww.webofscience.com%2Fwos%2Fwoscc%2Ffull-record%2FWOS:000423965000010","View Full Record in Web of Science")</f>
        <v>View Full Record in Web of Science</v>
      </c>
    </row>
    <row r="91" spans="1:72" x14ac:dyDescent="0.25">
      <c r="A91" t="s">
        <v>108</v>
      </c>
      <c r="B91" t="s">
        <v>2034</v>
      </c>
      <c r="C91" t="s">
        <v>74</v>
      </c>
      <c r="D91" t="s">
        <v>74</v>
      </c>
      <c r="E91" t="s">
        <v>2035</v>
      </c>
      <c r="F91" t="s">
        <v>2036</v>
      </c>
      <c r="G91" t="s">
        <v>74</v>
      </c>
      <c r="H91" t="s">
        <v>74</v>
      </c>
      <c r="I91" t="s">
        <v>2037</v>
      </c>
      <c r="J91" t="s">
        <v>2038</v>
      </c>
      <c r="K91" t="s">
        <v>74</v>
      </c>
      <c r="L91" t="s">
        <v>74</v>
      </c>
      <c r="M91" t="s">
        <v>78</v>
      </c>
      <c r="N91" t="s">
        <v>115</v>
      </c>
      <c r="O91" t="s">
        <v>2039</v>
      </c>
      <c r="P91" t="s">
        <v>2040</v>
      </c>
      <c r="Q91" t="s">
        <v>862</v>
      </c>
      <c r="R91" t="s">
        <v>74</v>
      </c>
      <c r="S91" t="s">
        <v>74</v>
      </c>
      <c r="T91" t="s">
        <v>2041</v>
      </c>
      <c r="U91" t="s">
        <v>74</v>
      </c>
      <c r="V91" t="s">
        <v>2042</v>
      </c>
      <c r="W91" t="s">
        <v>2043</v>
      </c>
      <c r="X91" t="s">
        <v>2044</v>
      </c>
      <c r="Y91" t="s">
        <v>2045</v>
      </c>
      <c r="Z91" t="s">
        <v>2046</v>
      </c>
      <c r="AA91" t="s">
        <v>74</v>
      </c>
      <c r="AB91" t="s">
        <v>74</v>
      </c>
      <c r="AC91" t="s">
        <v>74</v>
      </c>
      <c r="AD91" t="s">
        <v>74</v>
      </c>
      <c r="AE91" t="s">
        <v>74</v>
      </c>
      <c r="AF91" t="s">
        <v>74</v>
      </c>
      <c r="AG91">
        <v>10</v>
      </c>
      <c r="AH91">
        <v>0</v>
      </c>
      <c r="AI91">
        <v>0</v>
      </c>
      <c r="AJ91">
        <v>0</v>
      </c>
      <c r="AK91">
        <v>3</v>
      </c>
      <c r="AL91" t="s">
        <v>2047</v>
      </c>
      <c r="AM91" t="s">
        <v>2048</v>
      </c>
      <c r="AN91" t="s">
        <v>2049</v>
      </c>
      <c r="AO91" t="s">
        <v>74</v>
      </c>
      <c r="AP91" t="s">
        <v>74</v>
      </c>
      <c r="AQ91" t="s">
        <v>2050</v>
      </c>
      <c r="AR91" t="s">
        <v>74</v>
      </c>
      <c r="AS91" t="s">
        <v>74</v>
      </c>
      <c r="AT91" t="s">
        <v>74</v>
      </c>
      <c r="AU91">
        <v>2015</v>
      </c>
      <c r="AV91" t="s">
        <v>74</v>
      </c>
      <c r="AW91" t="s">
        <v>74</v>
      </c>
      <c r="AX91" t="s">
        <v>74</v>
      </c>
      <c r="AY91" t="s">
        <v>74</v>
      </c>
      <c r="AZ91" t="s">
        <v>74</v>
      </c>
      <c r="BA91" t="s">
        <v>74</v>
      </c>
      <c r="BB91">
        <v>370</v>
      </c>
      <c r="BC91">
        <v>376</v>
      </c>
      <c r="BD91" t="s">
        <v>74</v>
      </c>
      <c r="BE91" t="s">
        <v>74</v>
      </c>
      <c r="BF91" t="s">
        <v>74</v>
      </c>
      <c r="BG91" t="s">
        <v>74</v>
      </c>
      <c r="BH91" t="s">
        <v>74</v>
      </c>
      <c r="BI91">
        <v>7</v>
      </c>
      <c r="BJ91" t="s">
        <v>2051</v>
      </c>
      <c r="BK91" t="s">
        <v>203</v>
      </c>
      <c r="BL91" t="s">
        <v>2052</v>
      </c>
      <c r="BM91" t="s">
        <v>2053</v>
      </c>
      <c r="BN91" t="s">
        <v>74</v>
      </c>
      <c r="BO91" t="s">
        <v>74</v>
      </c>
      <c r="BP91" t="s">
        <v>74</v>
      </c>
      <c r="BQ91" t="s">
        <v>74</v>
      </c>
      <c r="BR91" t="s">
        <v>106</v>
      </c>
      <c r="BS91" t="s">
        <v>2054</v>
      </c>
      <c r="BT91" t="str">
        <f>HYPERLINK("https%3A%2F%2Fwww.webofscience.com%2Fwos%2Fwoscc%2Ffull-record%2FWOS:000380587300067","View Full Record in Web of Science")</f>
        <v>View Full Record in Web of Science</v>
      </c>
    </row>
    <row r="92" spans="1:72" x14ac:dyDescent="0.25">
      <c r="A92" t="s">
        <v>72</v>
      </c>
      <c r="B92" t="s">
        <v>2055</v>
      </c>
      <c r="C92" t="s">
        <v>74</v>
      </c>
      <c r="D92" t="s">
        <v>74</v>
      </c>
      <c r="E92" t="s">
        <v>74</v>
      </c>
      <c r="F92" t="s">
        <v>2056</v>
      </c>
      <c r="G92" t="s">
        <v>74</v>
      </c>
      <c r="H92" t="s">
        <v>74</v>
      </c>
      <c r="I92" t="s">
        <v>2057</v>
      </c>
      <c r="J92" t="s">
        <v>2058</v>
      </c>
      <c r="K92" t="s">
        <v>74</v>
      </c>
      <c r="L92" t="s">
        <v>74</v>
      </c>
      <c r="M92" t="s">
        <v>78</v>
      </c>
      <c r="N92" t="s">
        <v>79</v>
      </c>
      <c r="O92" t="s">
        <v>74</v>
      </c>
      <c r="P92" t="s">
        <v>74</v>
      </c>
      <c r="Q92" t="s">
        <v>74</v>
      </c>
      <c r="R92" t="s">
        <v>74</v>
      </c>
      <c r="S92" t="s">
        <v>74</v>
      </c>
      <c r="T92" t="s">
        <v>2059</v>
      </c>
      <c r="U92" t="s">
        <v>74</v>
      </c>
      <c r="V92" t="s">
        <v>2060</v>
      </c>
      <c r="W92" t="s">
        <v>2061</v>
      </c>
      <c r="X92" t="s">
        <v>2062</v>
      </c>
      <c r="Y92" t="s">
        <v>2063</v>
      </c>
      <c r="Z92" t="s">
        <v>2064</v>
      </c>
      <c r="AA92" t="s">
        <v>2065</v>
      </c>
      <c r="AB92" t="s">
        <v>2066</v>
      </c>
      <c r="AC92" t="s">
        <v>2067</v>
      </c>
      <c r="AD92" t="s">
        <v>2068</v>
      </c>
      <c r="AE92" t="s">
        <v>2069</v>
      </c>
      <c r="AF92" t="s">
        <v>74</v>
      </c>
      <c r="AG92">
        <v>51</v>
      </c>
      <c r="AH92">
        <v>2</v>
      </c>
      <c r="AI92">
        <v>2</v>
      </c>
      <c r="AJ92">
        <v>12</v>
      </c>
      <c r="AK92">
        <v>42</v>
      </c>
      <c r="AL92" t="s">
        <v>1272</v>
      </c>
      <c r="AM92" t="s">
        <v>1273</v>
      </c>
      <c r="AN92" t="s">
        <v>1274</v>
      </c>
      <c r="AO92" t="s">
        <v>74</v>
      </c>
      <c r="AP92" t="s">
        <v>2070</v>
      </c>
      <c r="AQ92" t="s">
        <v>74</v>
      </c>
      <c r="AR92" t="s">
        <v>2071</v>
      </c>
      <c r="AS92" t="s">
        <v>2072</v>
      </c>
      <c r="AT92" t="s">
        <v>2073</v>
      </c>
      <c r="AU92">
        <v>2025</v>
      </c>
      <c r="AV92">
        <v>15</v>
      </c>
      <c r="AW92">
        <v>7</v>
      </c>
      <c r="AX92" t="s">
        <v>74</v>
      </c>
      <c r="AY92" t="s">
        <v>74</v>
      </c>
      <c r="AZ92" t="s">
        <v>74</v>
      </c>
      <c r="BA92" t="s">
        <v>74</v>
      </c>
      <c r="BB92" t="s">
        <v>74</v>
      </c>
      <c r="BC92" t="s">
        <v>74</v>
      </c>
      <c r="BD92">
        <v>3807</v>
      </c>
      <c r="BE92" t="s">
        <v>2074</v>
      </c>
      <c r="BF92" t="str">
        <f>HYPERLINK("http://dx.doi.org/10.3390/app15073807","http://dx.doi.org/10.3390/app15073807")</f>
        <v>http://dx.doi.org/10.3390/app15073807</v>
      </c>
      <c r="BG92" t="s">
        <v>74</v>
      </c>
      <c r="BH92" t="s">
        <v>74</v>
      </c>
      <c r="BI92">
        <v>18</v>
      </c>
      <c r="BJ92" t="s">
        <v>2075</v>
      </c>
      <c r="BK92" t="s">
        <v>902</v>
      </c>
      <c r="BL92" t="s">
        <v>2076</v>
      </c>
      <c r="BM92" t="s">
        <v>2077</v>
      </c>
      <c r="BN92" t="s">
        <v>74</v>
      </c>
      <c r="BO92" t="s">
        <v>398</v>
      </c>
      <c r="BP92" t="s">
        <v>74</v>
      </c>
      <c r="BQ92" t="s">
        <v>74</v>
      </c>
      <c r="BR92" t="s">
        <v>106</v>
      </c>
      <c r="BS92" t="s">
        <v>2078</v>
      </c>
      <c r="BT92" t="str">
        <f>HYPERLINK("https%3A%2F%2Fwww.webofscience.com%2Fwos%2Fwoscc%2Ffull-record%2FWOS:001463685300001","View Full Record in Web of Science")</f>
        <v>View Full Record in Web of Science</v>
      </c>
    </row>
    <row r="93" spans="1:72" x14ac:dyDescent="0.25">
      <c r="A93" t="s">
        <v>108</v>
      </c>
      <c r="B93" t="s">
        <v>2079</v>
      </c>
      <c r="C93" t="s">
        <v>74</v>
      </c>
      <c r="D93" t="s">
        <v>2080</v>
      </c>
      <c r="E93" t="s">
        <v>74</v>
      </c>
      <c r="F93" t="s">
        <v>2081</v>
      </c>
      <c r="G93" t="s">
        <v>74</v>
      </c>
      <c r="H93" t="s">
        <v>74</v>
      </c>
      <c r="I93" t="s">
        <v>2082</v>
      </c>
      <c r="J93" t="s">
        <v>2083</v>
      </c>
      <c r="K93" t="s">
        <v>74</v>
      </c>
      <c r="L93" t="s">
        <v>74</v>
      </c>
      <c r="M93" t="s">
        <v>78</v>
      </c>
      <c r="N93" t="s">
        <v>115</v>
      </c>
      <c r="O93" t="s">
        <v>2084</v>
      </c>
      <c r="P93" t="s">
        <v>2085</v>
      </c>
      <c r="Q93" t="s">
        <v>2086</v>
      </c>
      <c r="R93" t="s">
        <v>2087</v>
      </c>
      <c r="S93" t="s">
        <v>2088</v>
      </c>
      <c r="T93" t="s">
        <v>2089</v>
      </c>
      <c r="U93" t="s">
        <v>74</v>
      </c>
      <c r="V93" t="s">
        <v>2090</v>
      </c>
      <c r="W93" t="s">
        <v>2091</v>
      </c>
      <c r="X93" t="s">
        <v>2092</v>
      </c>
      <c r="Y93" t="s">
        <v>2093</v>
      </c>
      <c r="Z93" t="s">
        <v>2094</v>
      </c>
      <c r="AA93" t="s">
        <v>74</v>
      </c>
      <c r="AB93" t="s">
        <v>74</v>
      </c>
      <c r="AC93" t="s">
        <v>74</v>
      </c>
      <c r="AD93" t="s">
        <v>74</v>
      </c>
      <c r="AE93" t="s">
        <v>74</v>
      </c>
      <c r="AF93" t="s">
        <v>74</v>
      </c>
      <c r="AG93">
        <v>16</v>
      </c>
      <c r="AH93">
        <v>2</v>
      </c>
      <c r="AI93">
        <v>3</v>
      </c>
      <c r="AJ93">
        <v>0</v>
      </c>
      <c r="AK93">
        <v>2</v>
      </c>
      <c r="AL93" t="s">
        <v>947</v>
      </c>
      <c r="AM93" t="s">
        <v>948</v>
      </c>
      <c r="AN93" t="s">
        <v>949</v>
      </c>
      <c r="AO93" t="s">
        <v>74</v>
      </c>
      <c r="AP93" t="s">
        <v>74</v>
      </c>
      <c r="AQ93" t="s">
        <v>2095</v>
      </c>
      <c r="AR93" t="s">
        <v>74</v>
      </c>
      <c r="AS93" t="s">
        <v>74</v>
      </c>
      <c r="AT93" t="s">
        <v>74</v>
      </c>
      <c r="AU93">
        <v>2009</v>
      </c>
      <c r="AV93" t="s">
        <v>74</v>
      </c>
      <c r="AW93" t="s">
        <v>74</v>
      </c>
      <c r="AX93" t="s">
        <v>74</v>
      </c>
      <c r="AY93" t="s">
        <v>74</v>
      </c>
      <c r="AZ93" t="s">
        <v>74</v>
      </c>
      <c r="BA93" t="s">
        <v>74</v>
      </c>
      <c r="BB93">
        <v>457</v>
      </c>
      <c r="BC93">
        <v>463</v>
      </c>
      <c r="BD93" t="s">
        <v>74</v>
      </c>
      <c r="BE93" t="s">
        <v>2096</v>
      </c>
      <c r="BF93" t="str">
        <f>HYPERLINK("http://dx.doi.org/10.1109/COGINF.2009.5250697","http://dx.doi.org/10.1109/COGINF.2009.5250697")</f>
        <v>http://dx.doi.org/10.1109/COGINF.2009.5250697</v>
      </c>
      <c r="BG93" t="s">
        <v>74</v>
      </c>
      <c r="BH93" t="s">
        <v>74</v>
      </c>
      <c r="BI93">
        <v>7</v>
      </c>
      <c r="BJ93" t="s">
        <v>1796</v>
      </c>
      <c r="BK93" t="s">
        <v>203</v>
      </c>
      <c r="BL93" t="s">
        <v>953</v>
      </c>
      <c r="BM93" t="s">
        <v>2097</v>
      </c>
      <c r="BN93" t="s">
        <v>74</v>
      </c>
      <c r="BO93" t="s">
        <v>74</v>
      </c>
      <c r="BP93" t="s">
        <v>74</v>
      </c>
      <c r="BQ93" t="s">
        <v>74</v>
      </c>
      <c r="BR93" t="s">
        <v>106</v>
      </c>
      <c r="BS93" t="s">
        <v>2098</v>
      </c>
      <c r="BT93" t="str">
        <f>HYPERLINK("https%3A%2F%2Fwww.webofscience.com%2Fwos%2Fwoscc%2Ffull-record%2FWOS:000275652500066","View Full Record in Web of Science")</f>
        <v>View Full Record in Web of Science</v>
      </c>
    </row>
    <row r="94" spans="1:72" x14ac:dyDescent="0.25">
      <c r="A94" t="s">
        <v>108</v>
      </c>
      <c r="B94" t="s">
        <v>2099</v>
      </c>
      <c r="C94" t="s">
        <v>74</v>
      </c>
      <c r="D94" t="s">
        <v>2100</v>
      </c>
      <c r="E94" t="s">
        <v>74</v>
      </c>
      <c r="F94" t="s">
        <v>2101</v>
      </c>
      <c r="G94" t="s">
        <v>74</v>
      </c>
      <c r="H94" t="s">
        <v>74</v>
      </c>
      <c r="I94" t="s">
        <v>2102</v>
      </c>
      <c r="J94" t="s">
        <v>2103</v>
      </c>
      <c r="K94" t="s">
        <v>147</v>
      </c>
      <c r="L94" t="s">
        <v>74</v>
      </c>
      <c r="M94" t="s">
        <v>78</v>
      </c>
      <c r="N94" t="s">
        <v>115</v>
      </c>
      <c r="O94" t="s">
        <v>2104</v>
      </c>
      <c r="P94" t="s">
        <v>2105</v>
      </c>
      <c r="Q94" t="s">
        <v>1200</v>
      </c>
      <c r="R94" t="s">
        <v>2106</v>
      </c>
      <c r="S94" t="s">
        <v>74</v>
      </c>
      <c r="T94" t="s">
        <v>2107</v>
      </c>
      <c r="U94" t="s">
        <v>74</v>
      </c>
      <c r="V94" t="s">
        <v>2108</v>
      </c>
      <c r="W94" t="s">
        <v>2109</v>
      </c>
      <c r="X94" t="s">
        <v>2110</v>
      </c>
      <c r="Y94" t="s">
        <v>2111</v>
      </c>
      <c r="Z94" t="s">
        <v>2112</v>
      </c>
      <c r="AA94" t="s">
        <v>2113</v>
      </c>
      <c r="AB94" t="s">
        <v>2114</v>
      </c>
      <c r="AC94" t="s">
        <v>74</v>
      </c>
      <c r="AD94" t="s">
        <v>74</v>
      </c>
      <c r="AE94" t="s">
        <v>74</v>
      </c>
      <c r="AF94" t="s">
        <v>74</v>
      </c>
      <c r="AG94">
        <v>23</v>
      </c>
      <c r="AH94">
        <v>15</v>
      </c>
      <c r="AI94">
        <v>16</v>
      </c>
      <c r="AJ94">
        <v>0</v>
      </c>
      <c r="AK94">
        <v>4</v>
      </c>
      <c r="AL94" t="s">
        <v>197</v>
      </c>
      <c r="AM94" t="s">
        <v>198</v>
      </c>
      <c r="AN94" t="s">
        <v>199</v>
      </c>
      <c r="AO94" t="s">
        <v>159</v>
      </c>
      <c r="AP94" t="s">
        <v>133</v>
      </c>
      <c r="AQ94" t="s">
        <v>2115</v>
      </c>
      <c r="AR94" t="s">
        <v>161</v>
      </c>
      <c r="AS94" t="s">
        <v>74</v>
      </c>
      <c r="AT94" t="s">
        <v>74</v>
      </c>
      <c r="AU94">
        <v>2014</v>
      </c>
      <c r="AV94">
        <v>8588</v>
      </c>
      <c r="AW94" t="s">
        <v>74</v>
      </c>
      <c r="AX94" t="s">
        <v>74</v>
      </c>
      <c r="AY94" t="s">
        <v>74</v>
      </c>
      <c r="AZ94" t="s">
        <v>74</v>
      </c>
      <c r="BA94" t="s">
        <v>74</v>
      </c>
      <c r="BB94">
        <v>137</v>
      </c>
      <c r="BC94">
        <v>148</v>
      </c>
      <c r="BD94" t="s">
        <v>74</v>
      </c>
      <c r="BE94" t="s">
        <v>74</v>
      </c>
      <c r="BF94" t="s">
        <v>74</v>
      </c>
      <c r="BG94" t="s">
        <v>74</v>
      </c>
      <c r="BH94" t="s">
        <v>74</v>
      </c>
      <c r="BI94">
        <v>12</v>
      </c>
      <c r="BJ94" t="s">
        <v>1399</v>
      </c>
      <c r="BK94" t="s">
        <v>203</v>
      </c>
      <c r="BL94" t="s">
        <v>103</v>
      </c>
      <c r="BM94" t="s">
        <v>2116</v>
      </c>
      <c r="BN94" t="s">
        <v>74</v>
      </c>
      <c r="BO94" t="s">
        <v>74</v>
      </c>
      <c r="BP94" t="s">
        <v>74</v>
      </c>
      <c r="BQ94" t="s">
        <v>74</v>
      </c>
      <c r="BR94" t="s">
        <v>106</v>
      </c>
      <c r="BS94" t="s">
        <v>2117</v>
      </c>
      <c r="BT94" t="str">
        <f>HYPERLINK("https%3A%2F%2Fwww.webofscience.com%2Fwos%2Fwoscc%2Ffull-record%2FWOS:000345518700016","View Full Record in Web of Science")</f>
        <v>View Full Record in Web of Science</v>
      </c>
    </row>
    <row r="95" spans="1:72" x14ac:dyDescent="0.25">
      <c r="A95" t="s">
        <v>72</v>
      </c>
      <c r="B95" t="s">
        <v>1461</v>
      </c>
      <c r="C95" t="s">
        <v>74</v>
      </c>
      <c r="D95" t="s">
        <v>74</v>
      </c>
      <c r="E95" t="s">
        <v>74</v>
      </c>
      <c r="F95" t="s">
        <v>1462</v>
      </c>
      <c r="G95" t="s">
        <v>74</v>
      </c>
      <c r="H95" t="s">
        <v>74</v>
      </c>
      <c r="I95" t="s">
        <v>2118</v>
      </c>
      <c r="J95" t="s">
        <v>2119</v>
      </c>
      <c r="K95" t="s">
        <v>74</v>
      </c>
      <c r="L95" t="s">
        <v>74</v>
      </c>
      <c r="M95" t="s">
        <v>78</v>
      </c>
      <c r="N95" t="s">
        <v>79</v>
      </c>
      <c r="O95" t="s">
        <v>74</v>
      </c>
      <c r="P95" t="s">
        <v>74</v>
      </c>
      <c r="Q95" t="s">
        <v>74</v>
      </c>
      <c r="R95" t="s">
        <v>74</v>
      </c>
      <c r="S95" t="s">
        <v>74</v>
      </c>
      <c r="T95" t="s">
        <v>2120</v>
      </c>
      <c r="U95" t="s">
        <v>2121</v>
      </c>
      <c r="V95" t="s">
        <v>2122</v>
      </c>
      <c r="W95" t="s">
        <v>2123</v>
      </c>
      <c r="X95" t="s">
        <v>2124</v>
      </c>
      <c r="Y95" t="s">
        <v>1469</v>
      </c>
      <c r="Z95" t="s">
        <v>1470</v>
      </c>
      <c r="AA95" t="s">
        <v>2125</v>
      </c>
      <c r="AB95" t="s">
        <v>2126</v>
      </c>
      <c r="AC95" t="s">
        <v>74</v>
      </c>
      <c r="AD95" t="s">
        <v>74</v>
      </c>
      <c r="AE95" t="s">
        <v>74</v>
      </c>
      <c r="AF95" t="s">
        <v>74</v>
      </c>
      <c r="AG95">
        <v>58</v>
      </c>
      <c r="AH95">
        <v>80</v>
      </c>
      <c r="AI95">
        <v>85</v>
      </c>
      <c r="AJ95">
        <v>1</v>
      </c>
      <c r="AK95">
        <v>75</v>
      </c>
      <c r="AL95" t="s">
        <v>2127</v>
      </c>
      <c r="AM95" t="s">
        <v>2128</v>
      </c>
      <c r="AN95" t="s">
        <v>2129</v>
      </c>
      <c r="AO95" t="s">
        <v>2130</v>
      </c>
      <c r="AP95" t="s">
        <v>2131</v>
      </c>
      <c r="AQ95" t="s">
        <v>74</v>
      </c>
      <c r="AR95" t="s">
        <v>2132</v>
      </c>
      <c r="AS95" t="s">
        <v>2133</v>
      </c>
      <c r="AT95" t="s">
        <v>223</v>
      </c>
      <c r="AU95">
        <v>2018</v>
      </c>
      <c r="AV95">
        <v>54</v>
      </c>
      <c r="AW95">
        <v>2</v>
      </c>
      <c r="AX95" t="s">
        <v>74</v>
      </c>
      <c r="AY95" t="s">
        <v>74</v>
      </c>
      <c r="AZ95" t="s">
        <v>74</v>
      </c>
      <c r="BA95" t="s">
        <v>74</v>
      </c>
      <c r="BB95">
        <v>339</v>
      </c>
      <c r="BC95">
        <v>357</v>
      </c>
      <c r="BD95" t="s">
        <v>74</v>
      </c>
      <c r="BE95" t="s">
        <v>2134</v>
      </c>
      <c r="BF95" t="str">
        <f>HYPERLINK("http://dx.doi.org/10.1016/j.ipm.2017.12.003","http://dx.doi.org/10.1016/j.ipm.2017.12.003")</f>
        <v>http://dx.doi.org/10.1016/j.ipm.2017.12.003</v>
      </c>
      <c r="BG95" t="s">
        <v>74</v>
      </c>
      <c r="BH95" t="s">
        <v>74</v>
      </c>
      <c r="BI95">
        <v>19</v>
      </c>
      <c r="BJ95" t="s">
        <v>295</v>
      </c>
      <c r="BK95" t="s">
        <v>745</v>
      </c>
      <c r="BL95" t="s">
        <v>296</v>
      </c>
      <c r="BM95" t="s">
        <v>2135</v>
      </c>
      <c r="BN95" t="s">
        <v>74</v>
      </c>
      <c r="BO95" t="s">
        <v>74</v>
      </c>
      <c r="BP95" t="s">
        <v>74</v>
      </c>
      <c r="BQ95" t="s">
        <v>74</v>
      </c>
      <c r="BR95" t="s">
        <v>106</v>
      </c>
      <c r="BS95" t="s">
        <v>2136</v>
      </c>
      <c r="BT95" t="str">
        <f>HYPERLINK("https%3A%2F%2Fwww.webofscience.com%2Fwos%2Fwoscc%2Ffull-record%2FWOS:000426022300014","View Full Record in Web of Science")</f>
        <v>View Full Record in Web of Science</v>
      </c>
    </row>
    <row r="96" spans="1:72" x14ac:dyDescent="0.25">
      <c r="A96" t="s">
        <v>108</v>
      </c>
      <c r="B96" t="s">
        <v>2137</v>
      </c>
      <c r="C96" t="s">
        <v>74</v>
      </c>
      <c r="D96" t="s">
        <v>2138</v>
      </c>
      <c r="E96" t="s">
        <v>74</v>
      </c>
      <c r="F96" t="s">
        <v>2139</v>
      </c>
      <c r="G96" t="s">
        <v>74</v>
      </c>
      <c r="H96" t="s">
        <v>74</v>
      </c>
      <c r="I96" t="s">
        <v>2140</v>
      </c>
      <c r="J96" t="s">
        <v>2141</v>
      </c>
      <c r="K96" t="s">
        <v>2142</v>
      </c>
      <c r="L96" t="s">
        <v>74</v>
      </c>
      <c r="M96" t="s">
        <v>78</v>
      </c>
      <c r="N96" t="s">
        <v>115</v>
      </c>
      <c r="O96" t="s">
        <v>2143</v>
      </c>
      <c r="P96" t="s">
        <v>2144</v>
      </c>
      <c r="Q96" t="s">
        <v>675</v>
      </c>
      <c r="R96" t="s">
        <v>2145</v>
      </c>
      <c r="S96" t="s">
        <v>74</v>
      </c>
      <c r="T96" t="s">
        <v>2146</v>
      </c>
      <c r="U96" t="s">
        <v>2147</v>
      </c>
      <c r="V96" t="s">
        <v>2148</v>
      </c>
      <c r="W96" t="s">
        <v>2149</v>
      </c>
      <c r="X96" t="s">
        <v>2150</v>
      </c>
      <c r="Y96" t="s">
        <v>2151</v>
      </c>
      <c r="Z96" t="s">
        <v>2152</v>
      </c>
      <c r="AA96" t="s">
        <v>2153</v>
      </c>
      <c r="AB96" t="s">
        <v>2154</v>
      </c>
      <c r="AC96" t="s">
        <v>2155</v>
      </c>
      <c r="AD96" t="s">
        <v>2156</v>
      </c>
      <c r="AE96" t="s">
        <v>2157</v>
      </c>
      <c r="AF96" t="s">
        <v>74</v>
      </c>
      <c r="AG96">
        <v>29</v>
      </c>
      <c r="AH96">
        <v>0</v>
      </c>
      <c r="AI96">
        <v>0</v>
      </c>
      <c r="AJ96">
        <v>0</v>
      </c>
      <c r="AK96">
        <v>2</v>
      </c>
      <c r="AL96" t="s">
        <v>947</v>
      </c>
      <c r="AM96" t="s">
        <v>948</v>
      </c>
      <c r="AN96" t="s">
        <v>949</v>
      </c>
      <c r="AO96" t="s">
        <v>2158</v>
      </c>
      <c r="AP96" t="s">
        <v>74</v>
      </c>
      <c r="AQ96" t="s">
        <v>2159</v>
      </c>
      <c r="AR96" t="s">
        <v>2160</v>
      </c>
      <c r="AS96" t="s">
        <v>74</v>
      </c>
      <c r="AT96" t="s">
        <v>74</v>
      </c>
      <c r="AU96">
        <v>2022</v>
      </c>
      <c r="AV96" t="s">
        <v>74</v>
      </c>
      <c r="AW96" t="s">
        <v>74</v>
      </c>
      <c r="AX96" t="s">
        <v>74</v>
      </c>
      <c r="AY96" t="s">
        <v>74</v>
      </c>
      <c r="AZ96" t="s">
        <v>74</v>
      </c>
      <c r="BA96" t="s">
        <v>74</v>
      </c>
      <c r="BB96">
        <v>804</v>
      </c>
      <c r="BC96">
        <v>813</v>
      </c>
      <c r="BD96" t="s">
        <v>74</v>
      </c>
      <c r="BE96" t="s">
        <v>2161</v>
      </c>
      <c r="BF96" t="str">
        <f>HYPERLINK("http://dx.doi.org/10.1109/DSAA54385.2022.10032362","http://dx.doi.org/10.1109/DSAA54385.2022.10032362")</f>
        <v>http://dx.doi.org/10.1109/DSAA54385.2022.10032362</v>
      </c>
      <c r="BG96" t="s">
        <v>74</v>
      </c>
      <c r="BH96" t="s">
        <v>74</v>
      </c>
      <c r="BI96">
        <v>10</v>
      </c>
      <c r="BJ96" t="s">
        <v>202</v>
      </c>
      <c r="BK96" t="s">
        <v>203</v>
      </c>
      <c r="BL96" t="s">
        <v>103</v>
      </c>
      <c r="BM96" t="s">
        <v>2162</v>
      </c>
      <c r="BN96" t="s">
        <v>74</v>
      </c>
      <c r="BO96" t="s">
        <v>74</v>
      </c>
      <c r="BP96" t="s">
        <v>74</v>
      </c>
      <c r="BQ96" t="s">
        <v>74</v>
      </c>
      <c r="BR96" t="s">
        <v>106</v>
      </c>
      <c r="BS96" t="s">
        <v>2163</v>
      </c>
      <c r="BT96" t="str">
        <f>HYPERLINK("https%3A%2F%2Fwww.webofscience.com%2Fwos%2Fwoscc%2Ffull-record%2FWOS:000967751000087","View Full Record in Web of Science")</f>
        <v>View Full Record in Web of Science</v>
      </c>
    </row>
    <row r="97" spans="1:72" x14ac:dyDescent="0.25">
      <c r="A97" t="s">
        <v>72</v>
      </c>
      <c r="B97" t="s">
        <v>2164</v>
      </c>
      <c r="C97" t="s">
        <v>74</v>
      </c>
      <c r="D97" t="s">
        <v>74</v>
      </c>
      <c r="E97" t="s">
        <v>74</v>
      </c>
      <c r="F97" t="s">
        <v>2165</v>
      </c>
      <c r="G97" t="s">
        <v>74</v>
      </c>
      <c r="H97" t="s">
        <v>74</v>
      </c>
      <c r="I97" t="s">
        <v>2166</v>
      </c>
      <c r="J97" t="s">
        <v>2167</v>
      </c>
      <c r="K97" t="s">
        <v>74</v>
      </c>
      <c r="L97" t="s">
        <v>74</v>
      </c>
      <c r="M97" t="s">
        <v>78</v>
      </c>
      <c r="N97" t="s">
        <v>79</v>
      </c>
      <c r="O97" t="s">
        <v>74</v>
      </c>
      <c r="P97" t="s">
        <v>74</v>
      </c>
      <c r="Q97" t="s">
        <v>74</v>
      </c>
      <c r="R97" t="s">
        <v>74</v>
      </c>
      <c r="S97" t="s">
        <v>74</v>
      </c>
      <c r="T97" t="s">
        <v>2168</v>
      </c>
      <c r="U97" t="s">
        <v>74</v>
      </c>
      <c r="V97" t="s">
        <v>2169</v>
      </c>
      <c r="W97" t="s">
        <v>2170</v>
      </c>
      <c r="X97" t="s">
        <v>2171</v>
      </c>
      <c r="Y97" t="s">
        <v>2172</v>
      </c>
      <c r="Z97" t="s">
        <v>2173</v>
      </c>
      <c r="AA97" t="s">
        <v>2174</v>
      </c>
      <c r="AB97" t="s">
        <v>2175</v>
      </c>
      <c r="AC97" t="s">
        <v>2176</v>
      </c>
      <c r="AD97" t="s">
        <v>2177</v>
      </c>
      <c r="AE97" t="s">
        <v>2178</v>
      </c>
      <c r="AF97" t="s">
        <v>74</v>
      </c>
      <c r="AG97">
        <v>33</v>
      </c>
      <c r="AH97">
        <v>6</v>
      </c>
      <c r="AI97">
        <v>7</v>
      </c>
      <c r="AJ97">
        <v>0</v>
      </c>
      <c r="AK97">
        <v>13</v>
      </c>
      <c r="AL97" t="s">
        <v>2179</v>
      </c>
      <c r="AM97" t="s">
        <v>363</v>
      </c>
      <c r="AN97" t="s">
        <v>2180</v>
      </c>
      <c r="AO97" t="s">
        <v>2181</v>
      </c>
      <c r="AP97" t="s">
        <v>2182</v>
      </c>
      <c r="AQ97" t="s">
        <v>74</v>
      </c>
      <c r="AR97" t="s">
        <v>2183</v>
      </c>
      <c r="AS97" t="s">
        <v>2184</v>
      </c>
      <c r="AT97" t="s">
        <v>74</v>
      </c>
      <c r="AU97">
        <v>2018</v>
      </c>
      <c r="AV97">
        <v>22</v>
      </c>
      <c r="AW97">
        <v>3</v>
      </c>
      <c r="AX97" t="s">
        <v>74</v>
      </c>
      <c r="AY97" t="s">
        <v>74</v>
      </c>
      <c r="AZ97" t="s">
        <v>74</v>
      </c>
      <c r="BA97" t="s">
        <v>74</v>
      </c>
      <c r="BB97">
        <v>515</v>
      </c>
      <c r="BC97">
        <v>532</v>
      </c>
      <c r="BD97" t="s">
        <v>74</v>
      </c>
      <c r="BE97" t="s">
        <v>2185</v>
      </c>
      <c r="BF97" t="str">
        <f>HYPERLINK("http://dx.doi.org/10.3233/IDA-173414","http://dx.doi.org/10.3233/IDA-173414")</f>
        <v>http://dx.doi.org/10.3233/IDA-173414</v>
      </c>
      <c r="BG97" t="s">
        <v>74</v>
      </c>
      <c r="BH97" t="s">
        <v>74</v>
      </c>
      <c r="BI97">
        <v>18</v>
      </c>
      <c r="BJ97" t="s">
        <v>807</v>
      </c>
      <c r="BK97" t="s">
        <v>902</v>
      </c>
      <c r="BL97" t="s">
        <v>103</v>
      </c>
      <c r="BM97" t="s">
        <v>2186</v>
      </c>
      <c r="BN97" t="s">
        <v>74</v>
      </c>
      <c r="BO97" t="s">
        <v>74</v>
      </c>
      <c r="BP97" t="s">
        <v>74</v>
      </c>
      <c r="BQ97" t="s">
        <v>74</v>
      </c>
      <c r="BR97" t="s">
        <v>106</v>
      </c>
      <c r="BS97" t="s">
        <v>2187</v>
      </c>
      <c r="BT97" t="str">
        <f>HYPERLINK("https%3A%2F%2Fwww.webofscience.com%2Fwos%2Fwoscc%2Ffull-record%2FWOS:000432011700004","View Full Record in Web of Science")</f>
        <v>View Full Record in Web of Science</v>
      </c>
    </row>
    <row r="98" spans="1:72" x14ac:dyDescent="0.25">
      <c r="A98" t="s">
        <v>108</v>
      </c>
      <c r="B98" t="s">
        <v>2188</v>
      </c>
      <c r="C98" t="s">
        <v>74</v>
      </c>
      <c r="D98" t="s">
        <v>74</v>
      </c>
      <c r="E98" t="s">
        <v>465</v>
      </c>
      <c r="F98" t="s">
        <v>2189</v>
      </c>
      <c r="G98" t="s">
        <v>74</v>
      </c>
      <c r="H98" t="s">
        <v>74</v>
      </c>
      <c r="I98" t="s">
        <v>2190</v>
      </c>
      <c r="J98" t="s">
        <v>2191</v>
      </c>
      <c r="K98" t="s">
        <v>74</v>
      </c>
      <c r="L98" t="s">
        <v>74</v>
      </c>
      <c r="M98" t="s">
        <v>78</v>
      </c>
      <c r="N98" t="s">
        <v>115</v>
      </c>
      <c r="O98" t="s">
        <v>2192</v>
      </c>
      <c r="P98" t="s">
        <v>2193</v>
      </c>
      <c r="Q98" t="s">
        <v>2194</v>
      </c>
      <c r="R98" t="s">
        <v>2195</v>
      </c>
      <c r="S98" t="s">
        <v>74</v>
      </c>
      <c r="T98" t="s">
        <v>2196</v>
      </c>
      <c r="U98" t="s">
        <v>74</v>
      </c>
      <c r="V98" t="s">
        <v>2197</v>
      </c>
      <c r="W98" t="s">
        <v>2198</v>
      </c>
      <c r="X98" t="s">
        <v>2199</v>
      </c>
      <c r="Y98" t="s">
        <v>2200</v>
      </c>
      <c r="Z98" t="s">
        <v>2201</v>
      </c>
      <c r="AA98" t="s">
        <v>2202</v>
      </c>
      <c r="AB98" t="s">
        <v>2203</v>
      </c>
      <c r="AC98" t="s">
        <v>74</v>
      </c>
      <c r="AD98" t="s">
        <v>74</v>
      </c>
      <c r="AE98" t="s">
        <v>74</v>
      </c>
      <c r="AF98" t="s">
        <v>74</v>
      </c>
      <c r="AG98">
        <v>25</v>
      </c>
      <c r="AH98">
        <v>2</v>
      </c>
      <c r="AI98">
        <v>2</v>
      </c>
      <c r="AJ98">
        <v>0</v>
      </c>
      <c r="AK98">
        <v>1</v>
      </c>
      <c r="AL98" t="s">
        <v>465</v>
      </c>
      <c r="AM98" t="s">
        <v>92</v>
      </c>
      <c r="AN98" t="s">
        <v>480</v>
      </c>
      <c r="AO98" t="s">
        <v>74</v>
      </c>
      <c r="AP98" t="s">
        <v>74</v>
      </c>
      <c r="AQ98" t="s">
        <v>2204</v>
      </c>
      <c r="AR98" t="s">
        <v>74</v>
      </c>
      <c r="AS98" t="s">
        <v>74</v>
      </c>
      <c r="AT98" t="s">
        <v>74</v>
      </c>
      <c r="AU98">
        <v>2018</v>
      </c>
      <c r="AV98" t="s">
        <v>74</v>
      </c>
      <c r="AW98" t="s">
        <v>74</v>
      </c>
      <c r="AX98" t="s">
        <v>74</v>
      </c>
      <c r="AY98" t="s">
        <v>74</v>
      </c>
      <c r="AZ98" t="s">
        <v>74</v>
      </c>
      <c r="BA98" t="s">
        <v>74</v>
      </c>
      <c r="BB98">
        <v>2161</v>
      </c>
      <c r="BC98">
        <v>2168</v>
      </c>
      <c r="BD98" t="s">
        <v>74</v>
      </c>
      <c r="BE98" t="s">
        <v>74</v>
      </c>
      <c r="BF98" t="s">
        <v>74</v>
      </c>
      <c r="BG98" t="s">
        <v>74</v>
      </c>
      <c r="BH98" t="s">
        <v>74</v>
      </c>
      <c r="BI98">
        <v>8</v>
      </c>
      <c r="BJ98" t="s">
        <v>2205</v>
      </c>
      <c r="BK98" t="s">
        <v>203</v>
      </c>
      <c r="BL98" t="s">
        <v>903</v>
      </c>
      <c r="BM98" t="s">
        <v>2206</v>
      </c>
      <c r="BN98" t="s">
        <v>74</v>
      </c>
      <c r="BO98" t="s">
        <v>74</v>
      </c>
      <c r="BP98" t="s">
        <v>74</v>
      </c>
      <c r="BQ98" t="s">
        <v>74</v>
      </c>
      <c r="BR98" t="s">
        <v>106</v>
      </c>
      <c r="BS98" t="s">
        <v>2207</v>
      </c>
      <c r="BT98" t="str">
        <f>HYPERLINK("https%3A%2F%2Fwww.webofscience.com%2Fwos%2Fwoscc%2Ffull-record%2FWOS:000455682100369","View Full Record in Web of Science")</f>
        <v>View Full Record in Web of Science</v>
      </c>
    </row>
    <row r="99" spans="1:72" x14ac:dyDescent="0.25">
      <c r="A99" t="s">
        <v>108</v>
      </c>
      <c r="B99" t="s">
        <v>2208</v>
      </c>
      <c r="C99" t="s">
        <v>74</v>
      </c>
      <c r="D99" t="s">
        <v>74</v>
      </c>
      <c r="E99" t="s">
        <v>465</v>
      </c>
      <c r="F99" t="s">
        <v>2209</v>
      </c>
      <c r="G99" t="s">
        <v>74</v>
      </c>
      <c r="H99" t="s">
        <v>74</v>
      </c>
      <c r="I99" t="s">
        <v>2210</v>
      </c>
      <c r="J99" t="s">
        <v>2211</v>
      </c>
      <c r="K99" t="s">
        <v>74</v>
      </c>
      <c r="L99" t="s">
        <v>74</v>
      </c>
      <c r="M99" t="s">
        <v>78</v>
      </c>
      <c r="N99" t="s">
        <v>115</v>
      </c>
      <c r="O99" t="s">
        <v>2212</v>
      </c>
      <c r="P99" t="s">
        <v>2213</v>
      </c>
      <c r="Q99" t="s">
        <v>2214</v>
      </c>
      <c r="R99" t="s">
        <v>465</v>
      </c>
      <c r="S99" t="s">
        <v>74</v>
      </c>
      <c r="T99" t="s">
        <v>2215</v>
      </c>
      <c r="U99" t="s">
        <v>74</v>
      </c>
      <c r="V99" t="s">
        <v>2216</v>
      </c>
      <c r="W99" t="s">
        <v>2217</v>
      </c>
      <c r="X99" t="s">
        <v>866</v>
      </c>
      <c r="Y99" t="s">
        <v>867</v>
      </c>
      <c r="Z99" t="s">
        <v>2218</v>
      </c>
      <c r="AA99" t="s">
        <v>74</v>
      </c>
      <c r="AB99" t="s">
        <v>74</v>
      </c>
      <c r="AC99" t="s">
        <v>2219</v>
      </c>
      <c r="AD99" t="s">
        <v>2220</v>
      </c>
      <c r="AE99" t="s">
        <v>2221</v>
      </c>
      <c r="AF99" t="s">
        <v>74</v>
      </c>
      <c r="AG99">
        <v>14</v>
      </c>
      <c r="AH99">
        <v>1</v>
      </c>
      <c r="AI99">
        <v>1</v>
      </c>
      <c r="AJ99">
        <v>0</v>
      </c>
      <c r="AK99">
        <v>0</v>
      </c>
      <c r="AL99" t="s">
        <v>465</v>
      </c>
      <c r="AM99" t="s">
        <v>92</v>
      </c>
      <c r="AN99" t="s">
        <v>480</v>
      </c>
      <c r="AO99" t="s">
        <v>74</v>
      </c>
      <c r="AP99" t="s">
        <v>74</v>
      </c>
      <c r="AQ99" t="s">
        <v>2222</v>
      </c>
      <c r="AR99" t="s">
        <v>74</v>
      </c>
      <c r="AS99" t="s">
        <v>74</v>
      </c>
      <c r="AT99" t="s">
        <v>74</v>
      </c>
      <c r="AU99">
        <v>2018</v>
      </c>
      <c r="AV99" t="s">
        <v>74</v>
      </c>
      <c r="AW99" t="s">
        <v>74</v>
      </c>
      <c r="AX99" t="s">
        <v>74</v>
      </c>
      <c r="AY99" t="s">
        <v>74</v>
      </c>
      <c r="AZ99" t="s">
        <v>74</v>
      </c>
      <c r="BA99" t="s">
        <v>74</v>
      </c>
      <c r="BB99" t="s">
        <v>74</v>
      </c>
      <c r="BC99" t="s">
        <v>74</v>
      </c>
      <c r="BD99" t="s">
        <v>74</v>
      </c>
      <c r="BE99" t="s">
        <v>74</v>
      </c>
      <c r="BF99" t="s">
        <v>74</v>
      </c>
      <c r="BG99" t="s">
        <v>74</v>
      </c>
      <c r="BH99" t="s">
        <v>74</v>
      </c>
      <c r="BI99">
        <v>5</v>
      </c>
      <c r="BJ99" t="s">
        <v>696</v>
      </c>
      <c r="BK99" t="s">
        <v>203</v>
      </c>
      <c r="BL99" t="s">
        <v>103</v>
      </c>
      <c r="BM99" t="s">
        <v>2223</v>
      </c>
      <c r="BN99" t="s">
        <v>74</v>
      </c>
      <c r="BO99" t="s">
        <v>74</v>
      </c>
      <c r="BP99" t="s">
        <v>74</v>
      </c>
      <c r="BQ99" t="s">
        <v>74</v>
      </c>
      <c r="BR99" t="s">
        <v>106</v>
      </c>
      <c r="BS99" t="s">
        <v>2224</v>
      </c>
      <c r="BT99" t="str">
        <f>HYPERLINK("https%3A%2F%2Fwww.webofscience.com%2Fwos%2Fwoscc%2Ffull-record%2FWOS:000630423400072","View Full Record in Web of Science")</f>
        <v>View Full Record in Web of Science</v>
      </c>
    </row>
    <row r="100" spans="1:72" x14ac:dyDescent="0.25">
      <c r="A100" t="s">
        <v>72</v>
      </c>
      <c r="B100" t="s">
        <v>2225</v>
      </c>
      <c r="C100" t="s">
        <v>74</v>
      </c>
      <c r="D100" t="s">
        <v>74</v>
      </c>
      <c r="E100" t="s">
        <v>74</v>
      </c>
      <c r="F100" t="s">
        <v>2226</v>
      </c>
      <c r="G100" t="s">
        <v>74</v>
      </c>
      <c r="H100" t="s">
        <v>74</v>
      </c>
      <c r="I100" t="s">
        <v>2227</v>
      </c>
      <c r="J100" t="s">
        <v>2228</v>
      </c>
      <c r="K100" t="s">
        <v>74</v>
      </c>
      <c r="L100" t="s">
        <v>74</v>
      </c>
      <c r="M100" t="s">
        <v>78</v>
      </c>
      <c r="N100" t="s">
        <v>79</v>
      </c>
      <c r="O100" t="s">
        <v>74</v>
      </c>
      <c r="P100" t="s">
        <v>74</v>
      </c>
      <c r="Q100" t="s">
        <v>74</v>
      </c>
      <c r="R100" t="s">
        <v>74</v>
      </c>
      <c r="S100" t="s">
        <v>74</v>
      </c>
      <c r="T100" t="s">
        <v>2229</v>
      </c>
      <c r="U100" t="s">
        <v>2230</v>
      </c>
      <c r="V100" t="s">
        <v>2231</v>
      </c>
      <c r="W100" t="s">
        <v>2232</v>
      </c>
      <c r="X100" t="s">
        <v>1176</v>
      </c>
      <c r="Y100" t="s">
        <v>2233</v>
      </c>
      <c r="Z100" t="s">
        <v>2234</v>
      </c>
      <c r="AA100" t="s">
        <v>1179</v>
      </c>
      <c r="AB100" t="s">
        <v>1180</v>
      </c>
      <c r="AC100" t="s">
        <v>2235</v>
      </c>
      <c r="AD100" t="s">
        <v>2236</v>
      </c>
      <c r="AE100" t="s">
        <v>2237</v>
      </c>
      <c r="AF100" t="s">
        <v>74</v>
      </c>
      <c r="AG100">
        <v>28</v>
      </c>
      <c r="AH100">
        <v>0</v>
      </c>
      <c r="AI100">
        <v>0</v>
      </c>
      <c r="AJ100">
        <v>0</v>
      </c>
      <c r="AK100">
        <v>4</v>
      </c>
      <c r="AL100" t="s">
        <v>2238</v>
      </c>
      <c r="AM100" t="s">
        <v>2239</v>
      </c>
      <c r="AN100" t="s">
        <v>2240</v>
      </c>
      <c r="AO100" t="s">
        <v>2241</v>
      </c>
      <c r="AP100" t="s">
        <v>2242</v>
      </c>
      <c r="AQ100" t="s">
        <v>74</v>
      </c>
      <c r="AR100" t="s">
        <v>2243</v>
      </c>
      <c r="AS100" t="s">
        <v>2244</v>
      </c>
      <c r="AT100" t="s">
        <v>98</v>
      </c>
      <c r="AU100">
        <v>2017</v>
      </c>
      <c r="AV100">
        <v>13</v>
      </c>
      <c r="AW100">
        <v>6</v>
      </c>
      <c r="AX100" t="s">
        <v>74</v>
      </c>
      <c r="AY100" t="s">
        <v>74</v>
      </c>
      <c r="AZ100" t="s">
        <v>74</v>
      </c>
      <c r="BA100" t="s">
        <v>74</v>
      </c>
      <c r="BB100">
        <v>2025</v>
      </c>
      <c r="BC100">
        <v>2038</v>
      </c>
      <c r="BD100" t="s">
        <v>74</v>
      </c>
      <c r="BE100" t="s">
        <v>2245</v>
      </c>
      <c r="BF100" t="str">
        <f>HYPERLINK("http://dx.doi.org/10.24507/ijicic.13.06.2025","http://dx.doi.org/10.24507/ijicic.13.06.2025")</f>
        <v>http://dx.doi.org/10.24507/ijicic.13.06.2025</v>
      </c>
      <c r="BG100" t="s">
        <v>74</v>
      </c>
      <c r="BH100" t="s">
        <v>74</v>
      </c>
      <c r="BI100">
        <v>14</v>
      </c>
      <c r="BJ100" t="s">
        <v>807</v>
      </c>
      <c r="BK100" t="s">
        <v>102</v>
      </c>
      <c r="BL100" t="s">
        <v>103</v>
      </c>
      <c r="BM100" t="s">
        <v>2246</v>
      </c>
      <c r="BN100" t="s">
        <v>74</v>
      </c>
      <c r="BO100" t="s">
        <v>74</v>
      </c>
      <c r="BP100" t="s">
        <v>74</v>
      </c>
      <c r="BQ100" t="s">
        <v>74</v>
      </c>
      <c r="BR100" t="s">
        <v>106</v>
      </c>
      <c r="BS100" t="s">
        <v>2247</v>
      </c>
      <c r="BT100" t="str">
        <f>HYPERLINK("https%3A%2F%2Fwww.webofscience.com%2Fwos%2Fwoscc%2Ffull-record%2FWOS:000417378700018","View Full Record in Web of Science")</f>
        <v>View Full Record in Web of Science</v>
      </c>
    </row>
    <row r="101" spans="1:72" x14ac:dyDescent="0.25">
      <c r="A101" t="s">
        <v>108</v>
      </c>
      <c r="B101" t="s">
        <v>2248</v>
      </c>
      <c r="C101" t="s">
        <v>74</v>
      </c>
      <c r="D101" t="s">
        <v>74</v>
      </c>
      <c r="E101" t="s">
        <v>465</v>
      </c>
      <c r="F101" t="s">
        <v>2249</v>
      </c>
      <c r="G101" t="s">
        <v>74</v>
      </c>
      <c r="H101" t="s">
        <v>74</v>
      </c>
      <c r="I101" t="s">
        <v>2250</v>
      </c>
      <c r="J101" t="s">
        <v>2251</v>
      </c>
      <c r="K101" t="s">
        <v>2252</v>
      </c>
      <c r="L101" t="s">
        <v>74</v>
      </c>
      <c r="M101" t="s">
        <v>78</v>
      </c>
      <c r="N101" t="s">
        <v>115</v>
      </c>
      <c r="O101" t="s">
        <v>2253</v>
      </c>
      <c r="P101" t="s">
        <v>2254</v>
      </c>
      <c r="Q101" t="s">
        <v>2255</v>
      </c>
      <c r="R101" t="s">
        <v>465</v>
      </c>
      <c r="S101" t="s">
        <v>74</v>
      </c>
      <c r="T101" t="s">
        <v>2256</v>
      </c>
      <c r="U101" t="s">
        <v>2257</v>
      </c>
      <c r="V101" t="s">
        <v>2258</v>
      </c>
      <c r="W101" t="s">
        <v>2259</v>
      </c>
      <c r="X101" t="s">
        <v>2260</v>
      </c>
      <c r="Y101" t="s">
        <v>2261</v>
      </c>
      <c r="Z101" t="s">
        <v>2262</v>
      </c>
      <c r="AA101" t="s">
        <v>2263</v>
      </c>
      <c r="AB101" t="s">
        <v>2264</v>
      </c>
      <c r="AC101" t="s">
        <v>74</v>
      </c>
      <c r="AD101" t="s">
        <v>74</v>
      </c>
      <c r="AE101" t="s">
        <v>74</v>
      </c>
      <c r="AF101" t="s">
        <v>74</v>
      </c>
      <c r="AG101">
        <v>12</v>
      </c>
      <c r="AH101">
        <v>1</v>
      </c>
      <c r="AI101">
        <v>1</v>
      </c>
      <c r="AJ101">
        <v>0</v>
      </c>
      <c r="AK101">
        <v>0</v>
      </c>
      <c r="AL101" t="s">
        <v>465</v>
      </c>
      <c r="AM101" t="s">
        <v>92</v>
      </c>
      <c r="AN101" t="s">
        <v>480</v>
      </c>
      <c r="AO101" t="s">
        <v>2265</v>
      </c>
      <c r="AP101" t="s">
        <v>74</v>
      </c>
      <c r="AQ101" t="s">
        <v>2266</v>
      </c>
      <c r="AR101" t="s">
        <v>2267</v>
      </c>
      <c r="AS101" t="s">
        <v>74</v>
      </c>
      <c r="AT101" t="s">
        <v>74</v>
      </c>
      <c r="AU101">
        <v>2012</v>
      </c>
      <c r="AV101" t="s">
        <v>74</v>
      </c>
      <c r="AW101" t="s">
        <v>74</v>
      </c>
      <c r="AX101" t="s">
        <v>74</v>
      </c>
      <c r="AY101" t="s">
        <v>74</v>
      </c>
      <c r="AZ101" t="s">
        <v>74</v>
      </c>
      <c r="BA101" t="s">
        <v>74</v>
      </c>
      <c r="BB101">
        <v>738</v>
      </c>
      <c r="BC101">
        <v>743</v>
      </c>
      <c r="BD101" t="s">
        <v>74</v>
      </c>
      <c r="BE101" t="s">
        <v>74</v>
      </c>
      <c r="BF101" t="s">
        <v>74</v>
      </c>
      <c r="BG101" t="s">
        <v>74</v>
      </c>
      <c r="BH101" t="s">
        <v>74</v>
      </c>
      <c r="BI101">
        <v>6</v>
      </c>
      <c r="BJ101" t="s">
        <v>2268</v>
      </c>
      <c r="BK101" t="s">
        <v>203</v>
      </c>
      <c r="BL101" t="s">
        <v>2269</v>
      </c>
      <c r="BM101" t="s">
        <v>2270</v>
      </c>
      <c r="BN101" t="s">
        <v>74</v>
      </c>
      <c r="BO101" t="s">
        <v>74</v>
      </c>
      <c r="BP101" t="s">
        <v>74</v>
      </c>
      <c r="BQ101" t="s">
        <v>74</v>
      </c>
      <c r="BR101" t="s">
        <v>106</v>
      </c>
      <c r="BS101" t="s">
        <v>2271</v>
      </c>
      <c r="BT101" t="str">
        <f>HYPERLINK("https%3A%2F%2Fwww.webofscience.com%2Fwos%2Fwoscc%2Ffull-record%2FWOS:000322375101014","View Full Record in Web of Science")</f>
        <v>View Full Record in Web of Science</v>
      </c>
    </row>
    <row r="102" spans="1:72" x14ac:dyDescent="0.25">
      <c r="A102" t="s">
        <v>108</v>
      </c>
      <c r="B102" t="s">
        <v>2272</v>
      </c>
      <c r="C102" t="s">
        <v>74</v>
      </c>
      <c r="D102" t="s">
        <v>74</v>
      </c>
      <c r="E102" t="s">
        <v>322</v>
      </c>
      <c r="F102" t="s">
        <v>2273</v>
      </c>
      <c r="G102" t="s">
        <v>74</v>
      </c>
      <c r="H102" t="s">
        <v>74</v>
      </c>
      <c r="I102" t="s">
        <v>2274</v>
      </c>
      <c r="J102" t="s">
        <v>2275</v>
      </c>
      <c r="K102" t="s">
        <v>74</v>
      </c>
      <c r="L102" t="s">
        <v>74</v>
      </c>
      <c r="M102" t="s">
        <v>78</v>
      </c>
      <c r="N102" t="s">
        <v>115</v>
      </c>
      <c r="O102" t="s">
        <v>960</v>
      </c>
      <c r="P102" t="s">
        <v>2276</v>
      </c>
      <c r="Q102" t="s">
        <v>424</v>
      </c>
      <c r="R102" t="s">
        <v>2277</v>
      </c>
      <c r="S102" t="s">
        <v>74</v>
      </c>
      <c r="T102" t="s">
        <v>2278</v>
      </c>
      <c r="U102" t="s">
        <v>2279</v>
      </c>
      <c r="V102" t="s">
        <v>2280</v>
      </c>
      <c r="W102" t="s">
        <v>2281</v>
      </c>
      <c r="X102" t="s">
        <v>2282</v>
      </c>
      <c r="Y102" t="s">
        <v>2283</v>
      </c>
      <c r="Z102" t="s">
        <v>2284</v>
      </c>
      <c r="AA102" t="s">
        <v>2285</v>
      </c>
      <c r="AB102" t="s">
        <v>2286</v>
      </c>
      <c r="AC102" t="s">
        <v>2287</v>
      </c>
      <c r="AD102" t="s">
        <v>2288</v>
      </c>
      <c r="AE102" t="s">
        <v>2289</v>
      </c>
      <c r="AF102" t="s">
        <v>74</v>
      </c>
      <c r="AG102">
        <v>31</v>
      </c>
      <c r="AH102">
        <v>0</v>
      </c>
      <c r="AI102">
        <v>0</v>
      </c>
      <c r="AJ102">
        <v>0</v>
      </c>
      <c r="AK102">
        <v>0</v>
      </c>
      <c r="AL102" t="s">
        <v>291</v>
      </c>
      <c r="AM102" t="s">
        <v>92</v>
      </c>
      <c r="AN102" t="s">
        <v>341</v>
      </c>
      <c r="AO102" t="s">
        <v>74</v>
      </c>
      <c r="AP102" t="s">
        <v>74</v>
      </c>
      <c r="AQ102" t="s">
        <v>2290</v>
      </c>
      <c r="AR102" t="s">
        <v>74</v>
      </c>
      <c r="AS102" t="s">
        <v>74</v>
      </c>
      <c r="AT102" t="s">
        <v>74</v>
      </c>
      <c r="AU102">
        <v>2021</v>
      </c>
      <c r="AV102" t="s">
        <v>74</v>
      </c>
      <c r="AW102" t="s">
        <v>74</v>
      </c>
      <c r="AX102" t="s">
        <v>74</v>
      </c>
      <c r="AY102" t="s">
        <v>74</v>
      </c>
      <c r="AZ102" t="s">
        <v>74</v>
      </c>
      <c r="BA102" t="s">
        <v>74</v>
      </c>
      <c r="BB102">
        <v>120</v>
      </c>
      <c r="BC102">
        <v>127</v>
      </c>
      <c r="BD102" t="s">
        <v>74</v>
      </c>
      <c r="BE102" t="s">
        <v>2291</v>
      </c>
      <c r="BF102" t="str">
        <f>HYPERLINK("http://dx.doi.org/10.1145/3486622.3493954","http://dx.doi.org/10.1145/3486622.3493954")</f>
        <v>http://dx.doi.org/10.1145/3486622.3493954</v>
      </c>
      <c r="BG102" t="s">
        <v>74</v>
      </c>
      <c r="BH102" t="s">
        <v>74</v>
      </c>
      <c r="BI102">
        <v>8</v>
      </c>
      <c r="BJ102" t="s">
        <v>2292</v>
      </c>
      <c r="BK102" t="s">
        <v>203</v>
      </c>
      <c r="BL102" t="s">
        <v>103</v>
      </c>
      <c r="BM102" t="s">
        <v>2293</v>
      </c>
      <c r="BN102" t="s">
        <v>74</v>
      </c>
      <c r="BO102" t="s">
        <v>205</v>
      </c>
      <c r="BP102" t="s">
        <v>74</v>
      </c>
      <c r="BQ102" t="s">
        <v>74</v>
      </c>
      <c r="BR102" t="s">
        <v>106</v>
      </c>
      <c r="BS102" t="s">
        <v>2294</v>
      </c>
      <c r="BT102" t="str">
        <f>HYPERLINK("https%3A%2F%2Fwww.webofscience.com%2Fwos%2Fwoscc%2Ffull-record%2FWOS:000943059300015","View Full Record in Web of Science")</f>
        <v>View Full Record in Web of Science</v>
      </c>
    </row>
    <row r="103" spans="1:72" x14ac:dyDescent="0.25">
      <c r="A103" t="s">
        <v>72</v>
      </c>
      <c r="B103" t="s">
        <v>2295</v>
      </c>
      <c r="C103" t="s">
        <v>74</v>
      </c>
      <c r="D103" t="s">
        <v>74</v>
      </c>
      <c r="E103" t="s">
        <v>74</v>
      </c>
      <c r="F103" t="s">
        <v>2296</v>
      </c>
      <c r="G103" t="s">
        <v>74</v>
      </c>
      <c r="H103" t="s">
        <v>74</v>
      </c>
      <c r="I103" t="s">
        <v>2297</v>
      </c>
      <c r="J103" t="s">
        <v>2298</v>
      </c>
      <c r="K103" t="s">
        <v>74</v>
      </c>
      <c r="L103" t="s">
        <v>74</v>
      </c>
      <c r="M103" t="s">
        <v>78</v>
      </c>
      <c r="N103" t="s">
        <v>79</v>
      </c>
      <c r="O103" t="s">
        <v>74</v>
      </c>
      <c r="P103" t="s">
        <v>74</v>
      </c>
      <c r="Q103" t="s">
        <v>74</v>
      </c>
      <c r="R103" t="s">
        <v>74</v>
      </c>
      <c r="S103" t="s">
        <v>74</v>
      </c>
      <c r="T103" t="s">
        <v>2299</v>
      </c>
      <c r="U103" t="s">
        <v>2300</v>
      </c>
      <c r="V103" t="s">
        <v>2301</v>
      </c>
      <c r="W103" t="s">
        <v>2302</v>
      </c>
      <c r="X103" t="s">
        <v>2303</v>
      </c>
      <c r="Y103" t="s">
        <v>2304</v>
      </c>
      <c r="Z103" t="s">
        <v>2305</v>
      </c>
      <c r="AA103" t="s">
        <v>74</v>
      </c>
      <c r="AB103" t="s">
        <v>2306</v>
      </c>
      <c r="AC103" t="s">
        <v>74</v>
      </c>
      <c r="AD103" t="s">
        <v>74</v>
      </c>
      <c r="AE103" t="s">
        <v>74</v>
      </c>
      <c r="AF103" t="s">
        <v>74</v>
      </c>
      <c r="AG103">
        <v>75</v>
      </c>
      <c r="AH103">
        <v>36</v>
      </c>
      <c r="AI103">
        <v>47</v>
      </c>
      <c r="AJ103">
        <v>0</v>
      </c>
      <c r="AK103">
        <v>3</v>
      </c>
      <c r="AL103" t="s">
        <v>91</v>
      </c>
      <c r="AM103" t="s">
        <v>92</v>
      </c>
      <c r="AN103" t="s">
        <v>2307</v>
      </c>
      <c r="AO103" t="s">
        <v>2308</v>
      </c>
      <c r="AP103" t="s">
        <v>2309</v>
      </c>
      <c r="AQ103" t="s">
        <v>74</v>
      </c>
      <c r="AR103" t="s">
        <v>2310</v>
      </c>
      <c r="AS103" t="s">
        <v>2311</v>
      </c>
      <c r="AT103" t="s">
        <v>1375</v>
      </c>
      <c r="AU103">
        <v>2012</v>
      </c>
      <c r="AV103">
        <v>31</v>
      </c>
      <c r="AW103">
        <v>2</v>
      </c>
      <c r="AX103" t="s">
        <v>74</v>
      </c>
      <c r="AY103" t="s">
        <v>74</v>
      </c>
      <c r="AZ103" t="s">
        <v>74</v>
      </c>
      <c r="BA103" t="s">
        <v>74</v>
      </c>
      <c r="BB103">
        <v>174</v>
      </c>
      <c r="BC103">
        <v>195</v>
      </c>
      <c r="BD103" t="s">
        <v>74</v>
      </c>
      <c r="BE103" t="s">
        <v>2312</v>
      </c>
      <c r="BF103" t="str">
        <f>HYPERLINK("http://dx.doi.org/10.1016/j.jmathb.2011.12.009","http://dx.doi.org/10.1016/j.jmathb.2011.12.009")</f>
        <v>http://dx.doi.org/10.1016/j.jmathb.2011.12.009</v>
      </c>
      <c r="BG103" t="s">
        <v>74</v>
      </c>
      <c r="BH103" t="s">
        <v>74</v>
      </c>
      <c r="BI103">
        <v>22</v>
      </c>
      <c r="BJ103" t="s">
        <v>318</v>
      </c>
      <c r="BK103" t="s">
        <v>102</v>
      </c>
      <c r="BL103" t="s">
        <v>318</v>
      </c>
      <c r="BM103" t="s">
        <v>2313</v>
      </c>
      <c r="BN103" t="s">
        <v>74</v>
      </c>
      <c r="BO103" t="s">
        <v>74</v>
      </c>
      <c r="BP103" t="s">
        <v>74</v>
      </c>
      <c r="BQ103" t="s">
        <v>74</v>
      </c>
      <c r="BR103" t="s">
        <v>106</v>
      </c>
      <c r="BS103" t="s">
        <v>2314</v>
      </c>
      <c r="BT103" t="str">
        <f>HYPERLINK("https%3A%2F%2Fwww.webofscience.com%2Fwos%2Fwoscc%2Ffull-record%2FWOS:000216272600002","View Full Record in Web of Science")</f>
        <v>View Full Record in Web of Science</v>
      </c>
    </row>
    <row r="104" spans="1:72" x14ac:dyDescent="0.25">
      <c r="A104" t="s">
        <v>72</v>
      </c>
      <c r="B104" t="s">
        <v>2315</v>
      </c>
      <c r="C104" t="s">
        <v>74</v>
      </c>
      <c r="D104" t="s">
        <v>74</v>
      </c>
      <c r="E104" t="s">
        <v>74</v>
      </c>
      <c r="F104" t="s">
        <v>2316</v>
      </c>
      <c r="G104" t="s">
        <v>74</v>
      </c>
      <c r="H104" t="s">
        <v>74</v>
      </c>
      <c r="I104" t="s">
        <v>2317</v>
      </c>
      <c r="J104" t="s">
        <v>2167</v>
      </c>
      <c r="K104" t="s">
        <v>74</v>
      </c>
      <c r="L104" t="s">
        <v>74</v>
      </c>
      <c r="M104" t="s">
        <v>78</v>
      </c>
      <c r="N104" t="s">
        <v>79</v>
      </c>
      <c r="O104" t="s">
        <v>74</v>
      </c>
      <c r="P104" t="s">
        <v>74</v>
      </c>
      <c r="Q104" t="s">
        <v>74</v>
      </c>
      <c r="R104" t="s">
        <v>74</v>
      </c>
      <c r="S104" t="s">
        <v>74</v>
      </c>
      <c r="T104" t="s">
        <v>2318</v>
      </c>
      <c r="U104" t="s">
        <v>74</v>
      </c>
      <c r="V104" t="s">
        <v>2319</v>
      </c>
      <c r="W104" t="s">
        <v>2320</v>
      </c>
      <c r="X104" t="s">
        <v>2321</v>
      </c>
      <c r="Y104" t="s">
        <v>2322</v>
      </c>
      <c r="Z104" t="s">
        <v>2323</v>
      </c>
      <c r="AA104" t="s">
        <v>2324</v>
      </c>
      <c r="AB104" t="s">
        <v>2325</v>
      </c>
      <c r="AC104" t="s">
        <v>2326</v>
      </c>
      <c r="AD104" t="s">
        <v>2327</v>
      </c>
      <c r="AE104" t="s">
        <v>2328</v>
      </c>
      <c r="AF104" t="s">
        <v>74</v>
      </c>
      <c r="AG104">
        <v>31</v>
      </c>
      <c r="AH104">
        <v>2</v>
      </c>
      <c r="AI104">
        <v>2</v>
      </c>
      <c r="AJ104">
        <v>0</v>
      </c>
      <c r="AK104">
        <v>8</v>
      </c>
      <c r="AL104" t="s">
        <v>1136</v>
      </c>
      <c r="AM104" t="s">
        <v>1137</v>
      </c>
      <c r="AN104" t="s">
        <v>1138</v>
      </c>
      <c r="AO104" t="s">
        <v>2181</v>
      </c>
      <c r="AP104" t="s">
        <v>2182</v>
      </c>
      <c r="AQ104" t="s">
        <v>74</v>
      </c>
      <c r="AR104" t="s">
        <v>2183</v>
      </c>
      <c r="AS104" t="s">
        <v>2184</v>
      </c>
      <c r="AT104" t="s">
        <v>74</v>
      </c>
      <c r="AU104">
        <v>2021</v>
      </c>
      <c r="AV104">
        <v>25</v>
      </c>
      <c r="AW104">
        <v>2</v>
      </c>
      <c r="AX104" t="s">
        <v>74</v>
      </c>
      <c r="AY104" t="s">
        <v>74</v>
      </c>
      <c r="AZ104" t="s">
        <v>74</v>
      </c>
      <c r="BA104" t="s">
        <v>74</v>
      </c>
      <c r="BB104">
        <v>397</v>
      </c>
      <c r="BC104">
        <v>417</v>
      </c>
      <c r="BD104" t="s">
        <v>74</v>
      </c>
      <c r="BE104" t="s">
        <v>2329</v>
      </c>
      <c r="BF104" t="str">
        <f>HYPERLINK("http://dx.doi.org/10.3233/IDA-195042","http://dx.doi.org/10.3233/IDA-195042")</f>
        <v>http://dx.doi.org/10.3233/IDA-195042</v>
      </c>
      <c r="BG104" t="s">
        <v>74</v>
      </c>
      <c r="BH104" t="s">
        <v>74</v>
      </c>
      <c r="BI104">
        <v>21</v>
      </c>
      <c r="BJ104" t="s">
        <v>807</v>
      </c>
      <c r="BK104" t="s">
        <v>902</v>
      </c>
      <c r="BL104" t="s">
        <v>103</v>
      </c>
      <c r="BM104" t="s">
        <v>2330</v>
      </c>
      <c r="BN104" t="s">
        <v>74</v>
      </c>
      <c r="BO104" t="s">
        <v>74</v>
      </c>
      <c r="BP104" t="s">
        <v>74</v>
      </c>
      <c r="BQ104" t="s">
        <v>74</v>
      </c>
      <c r="BR104" t="s">
        <v>106</v>
      </c>
      <c r="BS104" t="s">
        <v>2331</v>
      </c>
      <c r="BT104" t="str">
        <f>HYPERLINK("https%3A%2F%2Fwww.webofscience.com%2Fwos%2Fwoscc%2Ffull-record%2FWOS:000627613100010","View Full Record in Web of Science")</f>
        <v>View Full Record in Web of Science</v>
      </c>
    </row>
    <row r="105" spans="1:72" x14ac:dyDescent="0.25">
      <c r="A105" t="s">
        <v>72</v>
      </c>
      <c r="B105" t="s">
        <v>2332</v>
      </c>
      <c r="C105" t="s">
        <v>74</v>
      </c>
      <c r="D105" t="s">
        <v>74</v>
      </c>
      <c r="E105" t="s">
        <v>74</v>
      </c>
      <c r="F105" t="s">
        <v>2333</v>
      </c>
      <c r="G105" t="s">
        <v>74</v>
      </c>
      <c r="H105" t="s">
        <v>74</v>
      </c>
      <c r="I105" t="s">
        <v>2334</v>
      </c>
      <c r="J105" t="s">
        <v>2335</v>
      </c>
      <c r="K105" t="s">
        <v>74</v>
      </c>
      <c r="L105" t="s">
        <v>74</v>
      </c>
      <c r="M105" t="s">
        <v>78</v>
      </c>
      <c r="N105" t="s">
        <v>79</v>
      </c>
      <c r="O105" t="s">
        <v>74</v>
      </c>
      <c r="P105" t="s">
        <v>74</v>
      </c>
      <c r="Q105" t="s">
        <v>74</v>
      </c>
      <c r="R105" t="s">
        <v>74</v>
      </c>
      <c r="S105" t="s">
        <v>74</v>
      </c>
      <c r="T105" t="s">
        <v>2336</v>
      </c>
      <c r="U105" t="s">
        <v>74</v>
      </c>
      <c r="V105" t="s">
        <v>2337</v>
      </c>
      <c r="W105" t="s">
        <v>2338</v>
      </c>
      <c r="X105" t="s">
        <v>2339</v>
      </c>
      <c r="Y105" t="s">
        <v>2340</v>
      </c>
      <c r="Z105" t="s">
        <v>2341</v>
      </c>
      <c r="AA105" t="s">
        <v>2342</v>
      </c>
      <c r="AB105" t="s">
        <v>2343</v>
      </c>
      <c r="AC105" t="s">
        <v>2344</v>
      </c>
      <c r="AD105" t="s">
        <v>2344</v>
      </c>
      <c r="AE105" t="s">
        <v>2345</v>
      </c>
      <c r="AF105" t="s">
        <v>74</v>
      </c>
      <c r="AG105">
        <v>43</v>
      </c>
      <c r="AH105">
        <v>14</v>
      </c>
      <c r="AI105">
        <v>17</v>
      </c>
      <c r="AJ105">
        <v>0</v>
      </c>
      <c r="AK105">
        <v>5</v>
      </c>
      <c r="AL105" t="s">
        <v>947</v>
      </c>
      <c r="AM105" t="s">
        <v>948</v>
      </c>
      <c r="AN105" t="s">
        <v>2346</v>
      </c>
      <c r="AO105" t="s">
        <v>2347</v>
      </c>
      <c r="AP105" t="s">
        <v>2348</v>
      </c>
      <c r="AQ105" t="s">
        <v>74</v>
      </c>
      <c r="AR105" t="s">
        <v>2349</v>
      </c>
      <c r="AS105" t="s">
        <v>2350</v>
      </c>
      <c r="AT105" t="s">
        <v>2351</v>
      </c>
      <c r="AU105">
        <v>2022</v>
      </c>
      <c r="AV105">
        <v>34</v>
      </c>
      <c r="AW105">
        <v>8</v>
      </c>
      <c r="AX105" t="s">
        <v>74</v>
      </c>
      <c r="AY105" t="s">
        <v>74</v>
      </c>
      <c r="AZ105" t="s">
        <v>74</v>
      </c>
      <c r="BA105" t="s">
        <v>74</v>
      </c>
      <c r="BB105">
        <v>3997</v>
      </c>
      <c r="BC105">
        <v>4010</v>
      </c>
      <c r="BD105" t="s">
        <v>74</v>
      </c>
      <c r="BE105" t="s">
        <v>2352</v>
      </c>
      <c r="BF105" t="str">
        <f>HYPERLINK("http://dx.doi.org/10.1109/TKDE.2020.3029070","http://dx.doi.org/10.1109/TKDE.2020.3029070")</f>
        <v>http://dx.doi.org/10.1109/TKDE.2020.3029070</v>
      </c>
      <c r="BG105" t="s">
        <v>74</v>
      </c>
      <c r="BH105" t="s">
        <v>74</v>
      </c>
      <c r="BI105">
        <v>14</v>
      </c>
      <c r="BJ105" t="s">
        <v>2353</v>
      </c>
      <c r="BK105" t="s">
        <v>902</v>
      </c>
      <c r="BL105" t="s">
        <v>953</v>
      </c>
      <c r="BM105" t="s">
        <v>2354</v>
      </c>
      <c r="BN105" t="s">
        <v>74</v>
      </c>
      <c r="BO105" t="s">
        <v>74</v>
      </c>
      <c r="BP105" t="s">
        <v>74</v>
      </c>
      <c r="BQ105" t="s">
        <v>74</v>
      </c>
      <c r="BR105" t="s">
        <v>106</v>
      </c>
      <c r="BS105" t="s">
        <v>2355</v>
      </c>
      <c r="BT105" t="str">
        <f>HYPERLINK("https%3A%2F%2Fwww.webofscience.com%2Fwos%2Fwoscc%2Ffull-record%2FWOS:000822377600004","View Full Record in Web of Science")</f>
        <v>View Full Record in Web of Science</v>
      </c>
    </row>
    <row r="106" spans="1:72" x14ac:dyDescent="0.25">
      <c r="A106" t="s">
        <v>108</v>
      </c>
      <c r="B106" t="s">
        <v>2356</v>
      </c>
      <c r="C106" t="s">
        <v>74</v>
      </c>
      <c r="D106" t="s">
        <v>74</v>
      </c>
      <c r="E106" t="s">
        <v>465</v>
      </c>
      <c r="F106" t="s">
        <v>2357</v>
      </c>
      <c r="G106" t="s">
        <v>74</v>
      </c>
      <c r="H106" t="s">
        <v>74</v>
      </c>
      <c r="I106" t="s">
        <v>2358</v>
      </c>
      <c r="J106" t="s">
        <v>2359</v>
      </c>
      <c r="K106" t="s">
        <v>2360</v>
      </c>
      <c r="L106" t="s">
        <v>74</v>
      </c>
      <c r="M106" t="s">
        <v>78</v>
      </c>
      <c r="N106" t="s">
        <v>115</v>
      </c>
      <c r="O106" t="s">
        <v>2361</v>
      </c>
      <c r="P106" t="s">
        <v>2362</v>
      </c>
      <c r="Q106" t="s">
        <v>2363</v>
      </c>
      <c r="R106" t="s">
        <v>2364</v>
      </c>
      <c r="S106" t="s">
        <v>2365</v>
      </c>
      <c r="T106" t="s">
        <v>2366</v>
      </c>
      <c r="U106" t="s">
        <v>74</v>
      </c>
      <c r="V106" t="s">
        <v>2367</v>
      </c>
      <c r="W106" t="s">
        <v>2368</v>
      </c>
      <c r="X106" t="s">
        <v>74</v>
      </c>
      <c r="Y106" t="s">
        <v>2369</v>
      </c>
      <c r="Z106" t="s">
        <v>2370</v>
      </c>
      <c r="AA106" t="s">
        <v>2371</v>
      </c>
      <c r="AB106" t="s">
        <v>74</v>
      </c>
      <c r="AC106" t="s">
        <v>74</v>
      </c>
      <c r="AD106" t="s">
        <v>74</v>
      </c>
      <c r="AE106" t="s">
        <v>74</v>
      </c>
      <c r="AF106" t="s">
        <v>74</v>
      </c>
      <c r="AG106">
        <v>14</v>
      </c>
      <c r="AH106">
        <v>0</v>
      </c>
      <c r="AI106">
        <v>0</v>
      </c>
      <c r="AJ106">
        <v>0</v>
      </c>
      <c r="AK106">
        <v>0</v>
      </c>
      <c r="AL106" t="s">
        <v>465</v>
      </c>
      <c r="AM106" t="s">
        <v>92</v>
      </c>
      <c r="AN106" t="s">
        <v>480</v>
      </c>
      <c r="AO106" t="s">
        <v>2372</v>
      </c>
      <c r="AP106" t="s">
        <v>74</v>
      </c>
      <c r="AQ106" t="s">
        <v>2373</v>
      </c>
      <c r="AR106" t="s">
        <v>2374</v>
      </c>
      <c r="AS106" t="s">
        <v>74</v>
      </c>
      <c r="AT106" t="s">
        <v>74</v>
      </c>
      <c r="AU106">
        <v>2018</v>
      </c>
      <c r="AV106" t="s">
        <v>74</v>
      </c>
      <c r="AW106" t="s">
        <v>74</v>
      </c>
      <c r="AX106" t="s">
        <v>74</v>
      </c>
      <c r="AY106" t="s">
        <v>74</v>
      </c>
      <c r="AZ106" t="s">
        <v>74</v>
      </c>
      <c r="BA106" t="s">
        <v>74</v>
      </c>
      <c r="BB106" t="s">
        <v>74</v>
      </c>
      <c r="BC106" t="s">
        <v>74</v>
      </c>
      <c r="BD106">
        <v>1570486238</v>
      </c>
      <c r="BE106" t="s">
        <v>74</v>
      </c>
      <c r="BF106" t="s">
        <v>74</v>
      </c>
      <c r="BG106" t="s">
        <v>74</v>
      </c>
      <c r="BH106" t="s">
        <v>74</v>
      </c>
      <c r="BI106">
        <v>6</v>
      </c>
      <c r="BJ106" t="s">
        <v>2375</v>
      </c>
      <c r="BK106" t="s">
        <v>203</v>
      </c>
      <c r="BL106" t="s">
        <v>2376</v>
      </c>
      <c r="BM106" t="s">
        <v>2377</v>
      </c>
      <c r="BN106" t="s">
        <v>74</v>
      </c>
      <c r="BO106" t="s">
        <v>74</v>
      </c>
      <c r="BP106" t="s">
        <v>74</v>
      </c>
      <c r="BQ106" t="s">
        <v>74</v>
      </c>
      <c r="BR106" t="s">
        <v>106</v>
      </c>
      <c r="BS106" t="s">
        <v>2378</v>
      </c>
      <c r="BT106" t="str">
        <f>HYPERLINK("https%3A%2F%2Fwww.webofscience.com%2Fwos%2Fwoscc%2Ffull-record%2FWOS:000627617700133","View Full Record in Web of Science")</f>
        <v>View Full Record in Web of Science</v>
      </c>
    </row>
    <row r="107" spans="1:72" x14ac:dyDescent="0.25">
      <c r="A107" t="s">
        <v>108</v>
      </c>
      <c r="B107" t="s">
        <v>2379</v>
      </c>
      <c r="C107" t="s">
        <v>74</v>
      </c>
      <c r="D107" t="s">
        <v>2380</v>
      </c>
      <c r="E107" t="s">
        <v>74</v>
      </c>
      <c r="F107" t="s">
        <v>2381</v>
      </c>
      <c r="G107" t="s">
        <v>74</v>
      </c>
      <c r="H107" t="s">
        <v>74</v>
      </c>
      <c r="I107" t="s">
        <v>2382</v>
      </c>
      <c r="J107" t="s">
        <v>2383</v>
      </c>
      <c r="K107" t="s">
        <v>74</v>
      </c>
      <c r="L107" t="s">
        <v>74</v>
      </c>
      <c r="M107" t="s">
        <v>78</v>
      </c>
      <c r="N107" t="s">
        <v>115</v>
      </c>
      <c r="O107" t="s">
        <v>2384</v>
      </c>
      <c r="P107" t="s">
        <v>2385</v>
      </c>
      <c r="Q107" t="s">
        <v>2386</v>
      </c>
      <c r="R107" t="s">
        <v>74</v>
      </c>
      <c r="S107" t="s">
        <v>2387</v>
      </c>
      <c r="T107" t="s">
        <v>2388</v>
      </c>
      <c r="U107" t="s">
        <v>708</v>
      </c>
      <c r="V107" t="s">
        <v>2389</v>
      </c>
      <c r="W107" t="s">
        <v>2390</v>
      </c>
      <c r="X107" t="s">
        <v>285</v>
      </c>
      <c r="Y107" t="s">
        <v>2391</v>
      </c>
      <c r="Z107" t="s">
        <v>2392</v>
      </c>
      <c r="AA107" t="s">
        <v>74</v>
      </c>
      <c r="AB107" t="s">
        <v>74</v>
      </c>
      <c r="AC107" t="s">
        <v>74</v>
      </c>
      <c r="AD107" t="s">
        <v>74</v>
      </c>
      <c r="AE107" t="s">
        <v>74</v>
      </c>
      <c r="AF107" t="s">
        <v>74</v>
      </c>
      <c r="AG107">
        <v>25</v>
      </c>
      <c r="AH107">
        <v>1</v>
      </c>
      <c r="AI107">
        <v>2</v>
      </c>
      <c r="AJ107">
        <v>1</v>
      </c>
      <c r="AK107">
        <v>2</v>
      </c>
      <c r="AL107" t="s">
        <v>2393</v>
      </c>
      <c r="AM107" t="s">
        <v>2394</v>
      </c>
      <c r="AN107" t="s">
        <v>2395</v>
      </c>
      <c r="AO107" t="s">
        <v>74</v>
      </c>
      <c r="AP107" t="s">
        <v>74</v>
      </c>
      <c r="AQ107" t="s">
        <v>2396</v>
      </c>
      <c r="AR107" t="s">
        <v>74</v>
      </c>
      <c r="AS107" t="s">
        <v>74</v>
      </c>
      <c r="AT107" t="s">
        <v>74</v>
      </c>
      <c r="AU107">
        <v>2019</v>
      </c>
      <c r="AV107" t="s">
        <v>74</v>
      </c>
      <c r="AW107" t="s">
        <v>74</v>
      </c>
      <c r="AX107" t="s">
        <v>74</v>
      </c>
      <c r="AY107" t="s">
        <v>74</v>
      </c>
      <c r="AZ107" t="s">
        <v>74</v>
      </c>
      <c r="BA107" t="s">
        <v>74</v>
      </c>
      <c r="BB107">
        <v>104</v>
      </c>
      <c r="BC107">
        <v>113</v>
      </c>
      <c r="BD107" t="s">
        <v>74</v>
      </c>
      <c r="BE107" t="s">
        <v>74</v>
      </c>
      <c r="BF107" t="s">
        <v>74</v>
      </c>
      <c r="BG107" t="s">
        <v>74</v>
      </c>
      <c r="BH107" t="s">
        <v>74</v>
      </c>
      <c r="BI107">
        <v>10</v>
      </c>
      <c r="BJ107" t="s">
        <v>2397</v>
      </c>
      <c r="BK107" t="s">
        <v>203</v>
      </c>
      <c r="BL107" t="s">
        <v>318</v>
      </c>
      <c r="BM107" t="s">
        <v>2398</v>
      </c>
      <c r="BN107" t="s">
        <v>74</v>
      </c>
      <c r="BO107" t="s">
        <v>74</v>
      </c>
      <c r="BP107" t="s">
        <v>74</v>
      </c>
      <c r="BQ107" t="s">
        <v>74</v>
      </c>
      <c r="BR107" t="s">
        <v>106</v>
      </c>
      <c r="BS107" t="s">
        <v>2399</v>
      </c>
      <c r="BT107" t="str">
        <f>HYPERLINK("https%3A%2F%2Fwww.webofscience.com%2Fwos%2Fwoscc%2Ffull-record%2FWOS:000505160800009","View Full Record in Web of Science")</f>
        <v>View Full Record in Web of Science</v>
      </c>
    </row>
    <row r="108" spans="1:72" x14ac:dyDescent="0.25">
      <c r="A108" t="s">
        <v>2400</v>
      </c>
      <c r="B108" t="s">
        <v>2401</v>
      </c>
      <c r="C108" t="s">
        <v>74</v>
      </c>
      <c r="D108" t="s">
        <v>2402</v>
      </c>
      <c r="E108" t="s">
        <v>74</v>
      </c>
      <c r="F108" t="s">
        <v>2403</v>
      </c>
      <c r="G108" t="s">
        <v>74</v>
      </c>
      <c r="H108" t="s">
        <v>74</v>
      </c>
      <c r="I108" t="s">
        <v>2404</v>
      </c>
      <c r="J108" t="s">
        <v>2405</v>
      </c>
      <c r="K108" t="s">
        <v>2406</v>
      </c>
      <c r="L108" t="s">
        <v>74</v>
      </c>
      <c r="M108" t="s">
        <v>78</v>
      </c>
      <c r="N108" t="s">
        <v>1113</v>
      </c>
      <c r="O108" t="s">
        <v>74</v>
      </c>
      <c r="P108" t="s">
        <v>74</v>
      </c>
      <c r="Q108" t="s">
        <v>74</v>
      </c>
      <c r="R108" t="s">
        <v>74</v>
      </c>
      <c r="S108" t="s">
        <v>74</v>
      </c>
      <c r="T108" t="s">
        <v>74</v>
      </c>
      <c r="U108" t="s">
        <v>2407</v>
      </c>
      <c r="V108" t="s">
        <v>2408</v>
      </c>
      <c r="W108" t="s">
        <v>2409</v>
      </c>
      <c r="X108" t="s">
        <v>2410</v>
      </c>
      <c r="Y108" t="s">
        <v>2411</v>
      </c>
      <c r="Z108" t="s">
        <v>2412</v>
      </c>
      <c r="AA108" t="s">
        <v>2413</v>
      </c>
      <c r="AB108" t="s">
        <v>2414</v>
      </c>
      <c r="AC108" t="s">
        <v>74</v>
      </c>
      <c r="AD108" t="s">
        <v>74</v>
      </c>
      <c r="AE108" t="s">
        <v>74</v>
      </c>
      <c r="AF108" t="s">
        <v>74</v>
      </c>
      <c r="AG108">
        <v>39</v>
      </c>
      <c r="AH108">
        <v>0</v>
      </c>
      <c r="AI108">
        <v>1</v>
      </c>
      <c r="AJ108">
        <v>0</v>
      </c>
      <c r="AK108">
        <v>1</v>
      </c>
      <c r="AL108" t="s">
        <v>197</v>
      </c>
      <c r="AM108" t="s">
        <v>198</v>
      </c>
      <c r="AN108" t="s">
        <v>199</v>
      </c>
      <c r="AO108" t="s">
        <v>2415</v>
      </c>
      <c r="AP108" t="s">
        <v>2416</v>
      </c>
      <c r="AQ108" t="s">
        <v>2417</v>
      </c>
      <c r="AR108" t="s">
        <v>2418</v>
      </c>
      <c r="AS108" t="s">
        <v>74</v>
      </c>
      <c r="AT108" t="s">
        <v>74</v>
      </c>
      <c r="AU108">
        <v>2008</v>
      </c>
      <c r="AV108">
        <v>130</v>
      </c>
      <c r="AW108" t="s">
        <v>74</v>
      </c>
      <c r="AX108" t="s">
        <v>74</v>
      </c>
      <c r="AY108" t="s">
        <v>74</v>
      </c>
      <c r="AZ108" t="s">
        <v>74</v>
      </c>
      <c r="BA108" t="s">
        <v>74</v>
      </c>
      <c r="BB108">
        <v>41</v>
      </c>
      <c r="BC108">
        <v>68</v>
      </c>
      <c r="BD108" t="s">
        <v>74</v>
      </c>
      <c r="BE108" t="s">
        <v>74</v>
      </c>
      <c r="BF108" t="s">
        <v>74</v>
      </c>
      <c r="BG108" t="s">
        <v>2419</v>
      </c>
      <c r="BH108" t="s">
        <v>74</v>
      </c>
      <c r="BI108">
        <v>28</v>
      </c>
      <c r="BJ108" t="s">
        <v>2420</v>
      </c>
      <c r="BK108" t="s">
        <v>2421</v>
      </c>
      <c r="BL108" t="s">
        <v>2422</v>
      </c>
      <c r="BM108" t="s">
        <v>2423</v>
      </c>
      <c r="BN108" t="s">
        <v>74</v>
      </c>
      <c r="BO108" t="s">
        <v>74</v>
      </c>
      <c r="BP108" t="s">
        <v>74</v>
      </c>
      <c r="BQ108" t="s">
        <v>74</v>
      </c>
      <c r="BR108" t="s">
        <v>106</v>
      </c>
      <c r="BS108" t="s">
        <v>2424</v>
      </c>
      <c r="BT108" t="str">
        <f>HYPERLINK("https%3A%2F%2Fwww.webofscience.com%2Fwos%2Fwoscc%2Ffull-record%2FWOS:000266888400003","View Full Record in Web of Science")</f>
        <v>View Full Record in Web of Science</v>
      </c>
    </row>
    <row r="109" spans="1:72" x14ac:dyDescent="0.25">
      <c r="A109" t="s">
        <v>72</v>
      </c>
      <c r="B109" t="s">
        <v>2425</v>
      </c>
      <c r="C109" t="s">
        <v>74</v>
      </c>
      <c r="D109" t="s">
        <v>74</v>
      </c>
      <c r="E109" t="s">
        <v>74</v>
      </c>
      <c r="F109" t="s">
        <v>2426</v>
      </c>
      <c r="G109" t="s">
        <v>74</v>
      </c>
      <c r="H109" t="s">
        <v>74</v>
      </c>
      <c r="I109" t="s">
        <v>2427</v>
      </c>
      <c r="J109" t="s">
        <v>2428</v>
      </c>
      <c r="K109" t="s">
        <v>74</v>
      </c>
      <c r="L109" t="s">
        <v>74</v>
      </c>
      <c r="M109" t="s">
        <v>78</v>
      </c>
      <c r="N109" t="s">
        <v>79</v>
      </c>
      <c r="O109" t="s">
        <v>74</v>
      </c>
      <c r="P109" t="s">
        <v>74</v>
      </c>
      <c r="Q109" t="s">
        <v>74</v>
      </c>
      <c r="R109" t="s">
        <v>74</v>
      </c>
      <c r="S109" t="s">
        <v>74</v>
      </c>
      <c r="T109" t="s">
        <v>2429</v>
      </c>
      <c r="U109" t="s">
        <v>2430</v>
      </c>
      <c r="V109" t="s">
        <v>2431</v>
      </c>
      <c r="W109" t="s">
        <v>2432</v>
      </c>
      <c r="X109" t="s">
        <v>2433</v>
      </c>
      <c r="Y109" t="s">
        <v>2434</v>
      </c>
      <c r="Z109" t="s">
        <v>2435</v>
      </c>
      <c r="AA109" t="s">
        <v>2436</v>
      </c>
      <c r="AB109" t="s">
        <v>2437</v>
      </c>
      <c r="AC109" t="s">
        <v>2438</v>
      </c>
      <c r="AD109" t="s">
        <v>2439</v>
      </c>
      <c r="AE109" t="s">
        <v>2440</v>
      </c>
      <c r="AF109" t="s">
        <v>74</v>
      </c>
      <c r="AG109">
        <v>38</v>
      </c>
      <c r="AH109">
        <v>64</v>
      </c>
      <c r="AI109">
        <v>91</v>
      </c>
      <c r="AJ109">
        <v>0</v>
      </c>
      <c r="AK109">
        <v>61</v>
      </c>
      <c r="AL109" t="s">
        <v>1136</v>
      </c>
      <c r="AM109" t="s">
        <v>1137</v>
      </c>
      <c r="AN109" t="s">
        <v>1138</v>
      </c>
      <c r="AO109" t="s">
        <v>2441</v>
      </c>
      <c r="AP109" t="s">
        <v>2442</v>
      </c>
      <c r="AQ109" t="s">
        <v>74</v>
      </c>
      <c r="AR109" t="s">
        <v>2443</v>
      </c>
      <c r="AS109" t="s">
        <v>2444</v>
      </c>
      <c r="AT109" t="s">
        <v>98</v>
      </c>
      <c r="AU109">
        <v>2018</v>
      </c>
      <c r="AV109">
        <v>27</v>
      </c>
      <c r="AW109">
        <v>6</v>
      </c>
      <c r="AX109" t="s">
        <v>74</v>
      </c>
      <c r="AY109" t="s">
        <v>74</v>
      </c>
      <c r="AZ109" t="s">
        <v>74</v>
      </c>
      <c r="BA109" t="s">
        <v>74</v>
      </c>
      <c r="BB109">
        <v>449</v>
      </c>
      <c r="BC109">
        <v>454</v>
      </c>
      <c r="BD109" t="s">
        <v>74</v>
      </c>
      <c r="BE109" t="s">
        <v>2445</v>
      </c>
      <c r="BF109" t="str">
        <f>HYPERLINK("http://dx.doi.org/10.1177/0963721418793140","http://dx.doi.org/10.1177/0963721418793140")</f>
        <v>http://dx.doi.org/10.1177/0963721418793140</v>
      </c>
      <c r="BG109" t="s">
        <v>74</v>
      </c>
      <c r="BH109" t="s">
        <v>74</v>
      </c>
      <c r="BI109">
        <v>6</v>
      </c>
      <c r="BJ109" t="s">
        <v>2446</v>
      </c>
      <c r="BK109" t="s">
        <v>250</v>
      </c>
      <c r="BL109" t="s">
        <v>251</v>
      </c>
      <c r="BM109" t="s">
        <v>2447</v>
      </c>
      <c r="BN109" t="s">
        <v>74</v>
      </c>
      <c r="BO109" t="s">
        <v>346</v>
      </c>
      <c r="BP109" t="s">
        <v>74</v>
      </c>
      <c r="BQ109" t="s">
        <v>74</v>
      </c>
      <c r="BR109" t="s">
        <v>106</v>
      </c>
      <c r="BS109" t="s">
        <v>2448</v>
      </c>
      <c r="BT109" t="str">
        <f>HYPERLINK("https%3A%2F%2Fwww.webofscience.com%2Fwos%2Fwoscc%2Ffull-record%2FWOS:000453096500009","View Full Record in Web of Science")</f>
        <v>View Full Record in Web of Science</v>
      </c>
    </row>
    <row r="110" spans="1:72" x14ac:dyDescent="0.25">
      <c r="A110" t="s">
        <v>72</v>
      </c>
      <c r="B110" t="s">
        <v>2449</v>
      </c>
      <c r="C110" t="s">
        <v>74</v>
      </c>
      <c r="D110" t="s">
        <v>74</v>
      </c>
      <c r="E110" t="s">
        <v>74</v>
      </c>
      <c r="F110" t="s">
        <v>2450</v>
      </c>
      <c r="G110" t="s">
        <v>74</v>
      </c>
      <c r="H110" t="s">
        <v>74</v>
      </c>
      <c r="I110" t="s">
        <v>2451</v>
      </c>
      <c r="J110" t="s">
        <v>2452</v>
      </c>
      <c r="K110" t="s">
        <v>74</v>
      </c>
      <c r="L110" t="s">
        <v>74</v>
      </c>
      <c r="M110" t="s">
        <v>78</v>
      </c>
      <c r="N110" t="s">
        <v>79</v>
      </c>
      <c r="O110" t="s">
        <v>74</v>
      </c>
      <c r="P110" t="s">
        <v>74</v>
      </c>
      <c r="Q110" t="s">
        <v>74</v>
      </c>
      <c r="R110" t="s">
        <v>74</v>
      </c>
      <c r="S110" t="s">
        <v>74</v>
      </c>
      <c r="T110" t="s">
        <v>2453</v>
      </c>
      <c r="U110" t="s">
        <v>2454</v>
      </c>
      <c r="V110" t="s">
        <v>2455</v>
      </c>
      <c r="W110" t="s">
        <v>2456</v>
      </c>
      <c r="X110" t="s">
        <v>2457</v>
      </c>
      <c r="Y110" t="s">
        <v>2458</v>
      </c>
      <c r="Z110" t="s">
        <v>2459</v>
      </c>
      <c r="AA110" t="s">
        <v>2460</v>
      </c>
      <c r="AB110" t="s">
        <v>2461</v>
      </c>
      <c r="AC110" t="s">
        <v>2462</v>
      </c>
      <c r="AD110" t="s">
        <v>2463</v>
      </c>
      <c r="AE110" t="s">
        <v>2464</v>
      </c>
      <c r="AF110" t="s">
        <v>74</v>
      </c>
      <c r="AG110">
        <v>58</v>
      </c>
      <c r="AH110">
        <v>11</v>
      </c>
      <c r="AI110">
        <v>15</v>
      </c>
      <c r="AJ110">
        <v>0</v>
      </c>
      <c r="AK110">
        <v>26</v>
      </c>
      <c r="AL110" t="s">
        <v>2465</v>
      </c>
      <c r="AM110" t="s">
        <v>311</v>
      </c>
      <c r="AN110" t="s">
        <v>2466</v>
      </c>
      <c r="AO110" t="s">
        <v>2467</v>
      </c>
      <c r="AP110" t="s">
        <v>2468</v>
      </c>
      <c r="AQ110" t="s">
        <v>74</v>
      </c>
      <c r="AR110" t="s">
        <v>2469</v>
      </c>
      <c r="AS110" t="s">
        <v>2470</v>
      </c>
      <c r="AT110" t="s">
        <v>2471</v>
      </c>
      <c r="AU110">
        <v>2022</v>
      </c>
      <c r="AV110">
        <v>15</v>
      </c>
      <c r="AW110">
        <v>1</v>
      </c>
      <c r="AX110" t="s">
        <v>74</v>
      </c>
      <c r="AY110" t="s">
        <v>74</v>
      </c>
      <c r="AZ110" t="s">
        <v>74</v>
      </c>
      <c r="BA110" t="s">
        <v>74</v>
      </c>
      <c r="BB110">
        <v>1614</v>
      </c>
      <c r="BC110">
        <v>1636</v>
      </c>
      <c r="BD110" t="s">
        <v>74</v>
      </c>
      <c r="BE110" t="s">
        <v>2472</v>
      </c>
      <c r="BF110" t="str">
        <f>HYPERLINK("http://dx.doi.org/10.1080/17538947.2022.2122611","http://dx.doi.org/10.1080/17538947.2022.2122611")</f>
        <v>http://dx.doi.org/10.1080/17538947.2022.2122611</v>
      </c>
      <c r="BG110" t="s">
        <v>74</v>
      </c>
      <c r="BH110" t="s">
        <v>74</v>
      </c>
      <c r="BI110">
        <v>23</v>
      </c>
      <c r="BJ110" t="s">
        <v>2473</v>
      </c>
      <c r="BK110" t="s">
        <v>902</v>
      </c>
      <c r="BL110" t="s">
        <v>2474</v>
      </c>
      <c r="BM110" t="s">
        <v>2475</v>
      </c>
      <c r="BN110" t="s">
        <v>74</v>
      </c>
      <c r="BO110" t="s">
        <v>372</v>
      </c>
      <c r="BP110" t="s">
        <v>74</v>
      </c>
      <c r="BQ110" t="s">
        <v>74</v>
      </c>
      <c r="BR110" t="s">
        <v>106</v>
      </c>
      <c r="BS110" t="s">
        <v>2476</v>
      </c>
      <c r="BT110" t="str">
        <f>HYPERLINK("https%3A%2F%2Fwww.webofscience.com%2Fwos%2Fwoscc%2Ffull-record%2FWOS:000857251200001","View Full Record in Web of Science")</f>
        <v>View Full Record in Web of Science</v>
      </c>
    </row>
    <row r="111" spans="1:72" x14ac:dyDescent="0.25">
      <c r="A111" t="s">
        <v>72</v>
      </c>
      <c r="B111" t="s">
        <v>2477</v>
      </c>
      <c r="C111" t="s">
        <v>74</v>
      </c>
      <c r="D111" t="s">
        <v>74</v>
      </c>
      <c r="E111" t="s">
        <v>74</v>
      </c>
      <c r="F111" t="s">
        <v>2478</v>
      </c>
      <c r="G111" t="s">
        <v>74</v>
      </c>
      <c r="H111" t="s">
        <v>74</v>
      </c>
      <c r="I111" t="s">
        <v>2479</v>
      </c>
      <c r="J111" t="s">
        <v>2480</v>
      </c>
      <c r="K111" t="s">
        <v>74</v>
      </c>
      <c r="L111" t="s">
        <v>74</v>
      </c>
      <c r="M111" t="s">
        <v>78</v>
      </c>
      <c r="N111" t="s">
        <v>79</v>
      </c>
      <c r="O111" t="s">
        <v>74</v>
      </c>
      <c r="P111" t="s">
        <v>74</v>
      </c>
      <c r="Q111" t="s">
        <v>74</v>
      </c>
      <c r="R111" t="s">
        <v>74</v>
      </c>
      <c r="S111" t="s">
        <v>74</v>
      </c>
      <c r="T111" t="s">
        <v>2481</v>
      </c>
      <c r="U111" t="s">
        <v>74</v>
      </c>
      <c r="V111" t="s">
        <v>2482</v>
      </c>
      <c r="W111" t="s">
        <v>2483</v>
      </c>
      <c r="X111" t="s">
        <v>2484</v>
      </c>
      <c r="Y111" t="s">
        <v>2485</v>
      </c>
      <c r="Z111" t="s">
        <v>2486</v>
      </c>
      <c r="AA111" t="s">
        <v>2487</v>
      </c>
      <c r="AB111" t="s">
        <v>2488</v>
      </c>
      <c r="AC111" t="s">
        <v>74</v>
      </c>
      <c r="AD111" t="s">
        <v>74</v>
      </c>
      <c r="AE111" t="s">
        <v>74</v>
      </c>
      <c r="AF111" t="s">
        <v>74</v>
      </c>
      <c r="AG111">
        <v>26</v>
      </c>
      <c r="AH111">
        <v>13</v>
      </c>
      <c r="AI111">
        <v>17</v>
      </c>
      <c r="AJ111">
        <v>0</v>
      </c>
      <c r="AK111">
        <v>4</v>
      </c>
      <c r="AL111" t="s">
        <v>178</v>
      </c>
      <c r="AM111" t="s">
        <v>1005</v>
      </c>
      <c r="AN111" t="s">
        <v>1006</v>
      </c>
      <c r="AO111" t="s">
        <v>2489</v>
      </c>
      <c r="AP111" t="s">
        <v>74</v>
      </c>
      <c r="AQ111" t="s">
        <v>74</v>
      </c>
      <c r="AR111" t="s">
        <v>2490</v>
      </c>
      <c r="AS111" t="s">
        <v>2491</v>
      </c>
      <c r="AT111" t="s">
        <v>1278</v>
      </c>
      <c r="AU111">
        <v>2008</v>
      </c>
      <c r="AV111">
        <v>36</v>
      </c>
      <c r="AW111" t="s">
        <v>1476</v>
      </c>
      <c r="AX111" t="s">
        <v>74</v>
      </c>
      <c r="AY111" t="s">
        <v>74</v>
      </c>
      <c r="AZ111" t="s">
        <v>74</v>
      </c>
      <c r="BA111" t="s">
        <v>74</v>
      </c>
      <c r="BB111">
        <v>89</v>
      </c>
      <c r="BC111">
        <v>113</v>
      </c>
      <c r="BD111" t="s">
        <v>74</v>
      </c>
      <c r="BE111" t="s">
        <v>2492</v>
      </c>
      <c r="BF111" t="str">
        <f>HYPERLINK("http://dx.doi.org/10.1007/s11042-006-0075-6","http://dx.doi.org/10.1007/s11042-006-0075-6")</f>
        <v>http://dx.doi.org/10.1007/s11042-006-0075-6</v>
      </c>
      <c r="BG111" t="s">
        <v>74</v>
      </c>
      <c r="BH111" t="s">
        <v>74</v>
      </c>
      <c r="BI111">
        <v>25</v>
      </c>
      <c r="BJ111" t="s">
        <v>2493</v>
      </c>
      <c r="BK111" t="s">
        <v>902</v>
      </c>
      <c r="BL111" t="s">
        <v>953</v>
      </c>
      <c r="BM111" t="s">
        <v>2494</v>
      </c>
      <c r="BN111" t="s">
        <v>74</v>
      </c>
      <c r="BO111" t="s">
        <v>74</v>
      </c>
      <c r="BP111" t="s">
        <v>74</v>
      </c>
      <c r="BQ111" t="s">
        <v>74</v>
      </c>
      <c r="BR111" t="s">
        <v>106</v>
      </c>
      <c r="BS111" t="s">
        <v>2495</v>
      </c>
      <c r="BT111" t="str">
        <f>HYPERLINK("https%3A%2F%2Fwww.webofscience.com%2Fwos%2Fwoscc%2Ffull-record%2FWOS:000251658600006","View Full Record in Web of Science")</f>
        <v>View Full Record in Web of Science</v>
      </c>
    </row>
    <row r="112" spans="1:72" x14ac:dyDescent="0.25">
      <c r="A112" t="s">
        <v>108</v>
      </c>
      <c r="B112" t="s">
        <v>2496</v>
      </c>
      <c r="C112" t="s">
        <v>74</v>
      </c>
      <c r="D112" t="s">
        <v>74</v>
      </c>
      <c r="E112" t="s">
        <v>465</v>
      </c>
      <c r="F112" t="s">
        <v>2497</v>
      </c>
      <c r="G112" t="s">
        <v>74</v>
      </c>
      <c r="H112" t="s">
        <v>74</v>
      </c>
      <c r="I112" t="s">
        <v>2498</v>
      </c>
      <c r="J112" t="s">
        <v>2499</v>
      </c>
      <c r="K112" t="s">
        <v>2500</v>
      </c>
      <c r="L112" t="s">
        <v>74</v>
      </c>
      <c r="M112" t="s">
        <v>78</v>
      </c>
      <c r="N112" t="s">
        <v>115</v>
      </c>
      <c r="O112" t="s">
        <v>2501</v>
      </c>
      <c r="P112" t="s">
        <v>2502</v>
      </c>
      <c r="Q112" t="s">
        <v>2503</v>
      </c>
      <c r="R112" t="s">
        <v>1748</v>
      </c>
      <c r="S112" t="s">
        <v>74</v>
      </c>
      <c r="T112" t="s">
        <v>2504</v>
      </c>
      <c r="U112" t="s">
        <v>2505</v>
      </c>
      <c r="V112" t="s">
        <v>2506</v>
      </c>
      <c r="W112" t="s">
        <v>2507</v>
      </c>
      <c r="X112" t="s">
        <v>2020</v>
      </c>
      <c r="Y112" t="s">
        <v>2508</v>
      </c>
      <c r="Z112" t="s">
        <v>2509</v>
      </c>
      <c r="AA112" t="s">
        <v>2510</v>
      </c>
      <c r="AB112" t="s">
        <v>74</v>
      </c>
      <c r="AC112" t="s">
        <v>2511</v>
      </c>
      <c r="AD112" t="s">
        <v>2512</v>
      </c>
      <c r="AE112" t="s">
        <v>2513</v>
      </c>
      <c r="AF112" t="s">
        <v>74</v>
      </c>
      <c r="AG112">
        <v>18</v>
      </c>
      <c r="AH112">
        <v>4</v>
      </c>
      <c r="AI112">
        <v>4</v>
      </c>
      <c r="AJ112">
        <v>0</v>
      </c>
      <c r="AK112">
        <v>3</v>
      </c>
      <c r="AL112" t="s">
        <v>465</v>
      </c>
      <c r="AM112" t="s">
        <v>92</v>
      </c>
      <c r="AN112" t="s">
        <v>480</v>
      </c>
      <c r="AO112" t="s">
        <v>2514</v>
      </c>
      <c r="AP112" t="s">
        <v>74</v>
      </c>
      <c r="AQ112" t="s">
        <v>2515</v>
      </c>
      <c r="AR112" t="s">
        <v>2516</v>
      </c>
      <c r="AS112" t="s">
        <v>74</v>
      </c>
      <c r="AT112" t="s">
        <v>74</v>
      </c>
      <c r="AU112">
        <v>2017</v>
      </c>
      <c r="AV112" t="s">
        <v>74</v>
      </c>
      <c r="AW112" t="s">
        <v>74</v>
      </c>
      <c r="AX112" t="s">
        <v>74</v>
      </c>
      <c r="AY112" t="s">
        <v>74</v>
      </c>
      <c r="AZ112" t="s">
        <v>74</v>
      </c>
      <c r="BA112" t="s">
        <v>74</v>
      </c>
      <c r="BB112">
        <v>218</v>
      </c>
      <c r="BC112">
        <v>222</v>
      </c>
      <c r="BD112" t="s">
        <v>74</v>
      </c>
      <c r="BE112" t="s">
        <v>2517</v>
      </c>
      <c r="BF112" t="str">
        <f>HYPERLINK("http://dx.doi.org/10.1109/ICTAI.2017.00043","http://dx.doi.org/10.1109/ICTAI.2017.00043")</f>
        <v>http://dx.doi.org/10.1109/ICTAI.2017.00043</v>
      </c>
      <c r="BG112" t="s">
        <v>74</v>
      </c>
      <c r="BH112" t="s">
        <v>74</v>
      </c>
      <c r="BI112">
        <v>5</v>
      </c>
      <c r="BJ112" t="s">
        <v>1796</v>
      </c>
      <c r="BK112" t="s">
        <v>203</v>
      </c>
      <c r="BL112" t="s">
        <v>953</v>
      </c>
      <c r="BM112" t="s">
        <v>2518</v>
      </c>
      <c r="BN112" t="s">
        <v>74</v>
      </c>
      <c r="BO112" t="s">
        <v>74</v>
      </c>
      <c r="BP112" t="s">
        <v>74</v>
      </c>
      <c r="BQ112" t="s">
        <v>74</v>
      </c>
      <c r="BR112" t="s">
        <v>106</v>
      </c>
      <c r="BS112" t="s">
        <v>2519</v>
      </c>
      <c r="BT112" t="str">
        <f>HYPERLINK("https%3A%2F%2Fwww.webofscience.com%2Fwos%2Fwoscc%2Ffull-record%2FWOS:000435294700032","View Full Record in Web of Science")</f>
        <v>View Full Record in Web of Science</v>
      </c>
    </row>
    <row r="113" spans="1:72" x14ac:dyDescent="0.25">
      <c r="A113" t="s">
        <v>72</v>
      </c>
      <c r="B113" t="s">
        <v>2520</v>
      </c>
      <c r="C113" t="s">
        <v>74</v>
      </c>
      <c r="D113" t="s">
        <v>74</v>
      </c>
      <c r="E113" t="s">
        <v>74</v>
      </c>
      <c r="F113" t="s">
        <v>2521</v>
      </c>
      <c r="G113" t="s">
        <v>74</v>
      </c>
      <c r="H113" t="s">
        <v>74</v>
      </c>
      <c r="I113" t="s">
        <v>2522</v>
      </c>
      <c r="J113" t="s">
        <v>2523</v>
      </c>
      <c r="K113" t="s">
        <v>74</v>
      </c>
      <c r="L113" t="s">
        <v>74</v>
      </c>
      <c r="M113" t="s">
        <v>78</v>
      </c>
      <c r="N113" t="s">
        <v>79</v>
      </c>
      <c r="O113" t="s">
        <v>74</v>
      </c>
      <c r="P113" t="s">
        <v>74</v>
      </c>
      <c r="Q113" t="s">
        <v>74</v>
      </c>
      <c r="R113" t="s">
        <v>74</v>
      </c>
      <c r="S113" t="s">
        <v>74</v>
      </c>
      <c r="T113" t="s">
        <v>2524</v>
      </c>
      <c r="U113" t="s">
        <v>74</v>
      </c>
      <c r="V113" t="s">
        <v>2525</v>
      </c>
      <c r="W113" t="s">
        <v>2526</v>
      </c>
      <c r="X113" t="s">
        <v>2527</v>
      </c>
      <c r="Y113" t="s">
        <v>2528</v>
      </c>
      <c r="Z113" t="s">
        <v>2529</v>
      </c>
      <c r="AA113" t="s">
        <v>2530</v>
      </c>
      <c r="AB113" t="s">
        <v>74</v>
      </c>
      <c r="AC113" t="s">
        <v>2531</v>
      </c>
      <c r="AD113" t="s">
        <v>2532</v>
      </c>
      <c r="AE113" t="s">
        <v>2533</v>
      </c>
      <c r="AF113" t="s">
        <v>74</v>
      </c>
      <c r="AG113">
        <v>51</v>
      </c>
      <c r="AH113">
        <v>15</v>
      </c>
      <c r="AI113">
        <v>16</v>
      </c>
      <c r="AJ113">
        <v>1</v>
      </c>
      <c r="AK113">
        <v>5</v>
      </c>
      <c r="AL113" t="s">
        <v>291</v>
      </c>
      <c r="AM113" t="s">
        <v>92</v>
      </c>
      <c r="AN113" t="s">
        <v>2534</v>
      </c>
      <c r="AO113" t="s">
        <v>2535</v>
      </c>
      <c r="AP113" t="s">
        <v>2536</v>
      </c>
      <c r="AQ113" t="s">
        <v>74</v>
      </c>
      <c r="AR113" t="s">
        <v>2537</v>
      </c>
      <c r="AS113" t="s">
        <v>2538</v>
      </c>
      <c r="AT113" t="s">
        <v>368</v>
      </c>
      <c r="AU113">
        <v>2021</v>
      </c>
      <c r="AV113">
        <v>15</v>
      </c>
      <c r="AW113">
        <v>2</v>
      </c>
      <c r="AX113" t="s">
        <v>74</v>
      </c>
      <c r="AY113" t="s">
        <v>74</v>
      </c>
      <c r="AZ113" t="s">
        <v>74</v>
      </c>
      <c r="BA113" t="s">
        <v>74</v>
      </c>
      <c r="BB113" t="s">
        <v>74</v>
      </c>
      <c r="BC113" t="s">
        <v>74</v>
      </c>
      <c r="BD113">
        <v>10</v>
      </c>
      <c r="BE113" t="s">
        <v>2539</v>
      </c>
      <c r="BF113" t="str">
        <f>HYPERLINK("http://dx.doi.org/10.1145/3440134","http://dx.doi.org/10.1145/3440134")</f>
        <v>http://dx.doi.org/10.1145/3440134</v>
      </c>
      <c r="BG113" t="s">
        <v>74</v>
      </c>
      <c r="BH113" t="s">
        <v>74</v>
      </c>
      <c r="BI113">
        <v>25</v>
      </c>
      <c r="BJ113" t="s">
        <v>2540</v>
      </c>
      <c r="BK113" t="s">
        <v>902</v>
      </c>
      <c r="BL113" t="s">
        <v>103</v>
      </c>
      <c r="BM113" t="s">
        <v>2541</v>
      </c>
      <c r="BN113" t="s">
        <v>74</v>
      </c>
      <c r="BO113" t="s">
        <v>74</v>
      </c>
      <c r="BP113" t="s">
        <v>74</v>
      </c>
      <c r="BQ113" t="s">
        <v>74</v>
      </c>
      <c r="BR113" t="s">
        <v>106</v>
      </c>
      <c r="BS113" t="s">
        <v>2542</v>
      </c>
      <c r="BT113" t="str">
        <f>HYPERLINK("https%3A%2F%2Fwww.webofscience.com%2Fwos%2Fwoscc%2Ffull-record%2FWOS:000656052300005","View Full Record in Web of Science")</f>
        <v>View Full Record in Web of Science</v>
      </c>
    </row>
    <row r="114" spans="1:72" x14ac:dyDescent="0.25">
      <c r="A114" t="s">
        <v>108</v>
      </c>
      <c r="B114" t="s">
        <v>2543</v>
      </c>
      <c r="C114" t="s">
        <v>74</v>
      </c>
      <c r="D114" t="s">
        <v>2544</v>
      </c>
      <c r="E114" t="s">
        <v>74</v>
      </c>
      <c r="F114" t="s">
        <v>2545</v>
      </c>
      <c r="G114" t="s">
        <v>74</v>
      </c>
      <c r="H114" t="s">
        <v>74</v>
      </c>
      <c r="I114" t="s">
        <v>2546</v>
      </c>
      <c r="J114" t="s">
        <v>2547</v>
      </c>
      <c r="K114" t="s">
        <v>74</v>
      </c>
      <c r="L114" t="s">
        <v>74</v>
      </c>
      <c r="M114" t="s">
        <v>78</v>
      </c>
      <c r="N114" t="s">
        <v>115</v>
      </c>
      <c r="O114" t="s">
        <v>2548</v>
      </c>
      <c r="P114" t="s">
        <v>2549</v>
      </c>
      <c r="Q114" t="s">
        <v>2550</v>
      </c>
      <c r="R114" t="s">
        <v>74</v>
      </c>
      <c r="S114" t="s">
        <v>74</v>
      </c>
      <c r="T114" t="s">
        <v>2551</v>
      </c>
      <c r="U114" t="s">
        <v>74</v>
      </c>
      <c r="V114" t="s">
        <v>2552</v>
      </c>
      <c r="W114" t="s">
        <v>2553</v>
      </c>
      <c r="X114" t="s">
        <v>2554</v>
      </c>
      <c r="Y114" t="s">
        <v>2555</v>
      </c>
      <c r="Z114" t="s">
        <v>74</v>
      </c>
      <c r="AA114" t="s">
        <v>2556</v>
      </c>
      <c r="AB114" t="s">
        <v>2557</v>
      </c>
      <c r="AC114" t="s">
        <v>74</v>
      </c>
      <c r="AD114" t="s">
        <v>74</v>
      </c>
      <c r="AE114" t="s">
        <v>74</v>
      </c>
      <c r="AF114" t="s">
        <v>74</v>
      </c>
      <c r="AG114">
        <v>23</v>
      </c>
      <c r="AH114">
        <v>0</v>
      </c>
      <c r="AI114">
        <v>0</v>
      </c>
      <c r="AJ114">
        <v>0</v>
      </c>
      <c r="AK114">
        <v>2</v>
      </c>
      <c r="AL114" t="s">
        <v>2558</v>
      </c>
      <c r="AM114" t="s">
        <v>2559</v>
      </c>
      <c r="AN114" t="s">
        <v>2560</v>
      </c>
      <c r="AO114" t="s">
        <v>74</v>
      </c>
      <c r="AP114" t="s">
        <v>74</v>
      </c>
      <c r="AQ114" t="s">
        <v>2561</v>
      </c>
      <c r="AR114" t="s">
        <v>74</v>
      </c>
      <c r="AS114" t="s">
        <v>74</v>
      </c>
      <c r="AT114" t="s">
        <v>74</v>
      </c>
      <c r="AU114">
        <v>2016</v>
      </c>
      <c r="AV114" t="s">
        <v>74</v>
      </c>
      <c r="AW114" t="s">
        <v>74</v>
      </c>
      <c r="AX114" t="s">
        <v>74</v>
      </c>
      <c r="AY114" t="s">
        <v>74</v>
      </c>
      <c r="AZ114" t="s">
        <v>74</v>
      </c>
      <c r="BA114" t="s">
        <v>74</v>
      </c>
      <c r="BB114">
        <v>150</v>
      </c>
      <c r="BC114">
        <v>156</v>
      </c>
      <c r="BD114" t="s">
        <v>74</v>
      </c>
      <c r="BE114" t="s">
        <v>2562</v>
      </c>
      <c r="BF114" t="str">
        <f>HYPERLINK("http://dx.doi.org/10.5220/0006067801500156","http://dx.doi.org/10.5220/0006067801500156")</f>
        <v>http://dx.doi.org/10.5220/0006067801500156</v>
      </c>
      <c r="BG114" t="s">
        <v>74</v>
      </c>
      <c r="BH114" t="s">
        <v>74</v>
      </c>
      <c r="BI114">
        <v>7</v>
      </c>
      <c r="BJ114" t="s">
        <v>202</v>
      </c>
      <c r="BK114" t="s">
        <v>203</v>
      </c>
      <c r="BL114" t="s">
        <v>103</v>
      </c>
      <c r="BM114" t="s">
        <v>2563</v>
      </c>
      <c r="BN114" t="s">
        <v>74</v>
      </c>
      <c r="BO114" t="s">
        <v>372</v>
      </c>
      <c r="BP114" t="s">
        <v>74</v>
      </c>
      <c r="BQ114" t="s">
        <v>74</v>
      </c>
      <c r="BR114" t="s">
        <v>106</v>
      </c>
      <c r="BS114" t="s">
        <v>2564</v>
      </c>
      <c r="BT114" t="str">
        <f>HYPERLINK("https%3A%2F%2Fwww.webofscience.com%2Fwos%2Fwoscc%2Ffull-record%2FWOS:000391112200016","View Full Record in Web of Science")</f>
        <v>View Full Record in Web of Science</v>
      </c>
    </row>
    <row r="115" spans="1:72" x14ac:dyDescent="0.25">
      <c r="A115" t="s">
        <v>72</v>
      </c>
      <c r="B115" t="s">
        <v>2565</v>
      </c>
      <c r="C115" t="s">
        <v>74</v>
      </c>
      <c r="D115" t="s">
        <v>74</v>
      </c>
      <c r="E115" t="s">
        <v>74</v>
      </c>
      <c r="F115" t="s">
        <v>2566</v>
      </c>
      <c r="G115" t="s">
        <v>74</v>
      </c>
      <c r="H115" t="s">
        <v>74</v>
      </c>
      <c r="I115" t="s">
        <v>2567</v>
      </c>
      <c r="J115" t="s">
        <v>2568</v>
      </c>
      <c r="K115" t="s">
        <v>74</v>
      </c>
      <c r="L115" t="s">
        <v>74</v>
      </c>
      <c r="M115" t="s">
        <v>78</v>
      </c>
      <c r="N115" t="s">
        <v>79</v>
      </c>
      <c r="O115" t="s">
        <v>74</v>
      </c>
      <c r="P115" t="s">
        <v>74</v>
      </c>
      <c r="Q115" t="s">
        <v>74</v>
      </c>
      <c r="R115" t="s">
        <v>74</v>
      </c>
      <c r="S115" t="s">
        <v>74</v>
      </c>
      <c r="T115" t="s">
        <v>74</v>
      </c>
      <c r="U115" t="s">
        <v>2569</v>
      </c>
      <c r="V115" t="s">
        <v>2570</v>
      </c>
      <c r="W115" t="s">
        <v>2571</v>
      </c>
      <c r="X115" t="s">
        <v>2572</v>
      </c>
      <c r="Y115" t="s">
        <v>2573</v>
      </c>
      <c r="Z115" t="s">
        <v>2574</v>
      </c>
      <c r="AA115" t="s">
        <v>2575</v>
      </c>
      <c r="AB115" t="s">
        <v>2576</v>
      </c>
      <c r="AC115" t="s">
        <v>2577</v>
      </c>
      <c r="AD115" t="s">
        <v>2577</v>
      </c>
      <c r="AE115" t="s">
        <v>2578</v>
      </c>
      <c r="AF115" t="s">
        <v>74</v>
      </c>
      <c r="AG115">
        <v>72</v>
      </c>
      <c r="AH115">
        <v>3</v>
      </c>
      <c r="AI115">
        <v>3</v>
      </c>
      <c r="AJ115">
        <v>1</v>
      </c>
      <c r="AK115">
        <v>5</v>
      </c>
      <c r="AL115" t="s">
        <v>2579</v>
      </c>
      <c r="AM115" t="s">
        <v>737</v>
      </c>
      <c r="AN115" t="s">
        <v>2580</v>
      </c>
      <c r="AO115" t="s">
        <v>2581</v>
      </c>
      <c r="AP115" t="s">
        <v>2582</v>
      </c>
      <c r="AQ115" t="s">
        <v>74</v>
      </c>
      <c r="AR115" t="s">
        <v>2583</v>
      </c>
      <c r="AS115" t="s">
        <v>2584</v>
      </c>
      <c r="AT115" t="s">
        <v>1457</v>
      </c>
      <c r="AU115">
        <v>2024</v>
      </c>
      <c r="AV115">
        <v>134</v>
      </c>
      <c r="AW115">
        <v>664</v>
      </c>
      <c r="AX115" t="s">
        <v>74</v>
      </c>
      <c r="AY115" t="s">
        <v>74</v>
      </c>
      <c r="AZ115" t="s">
        <v>74</v>
      </c>
      <c r="BA115" t="s">
        <v>74</v>
      </c>
      <c r="BB115">
        <v>3262</v>
      </c>
      <c r="BC115">
        <v>3290</v>
      </c>
      <c r="BD115" t="s">
        <v>74</v>
      </c>
      <c r="BE115" t="s">
        <v>2585</v>
      </c>
      <c r="BF115" t="str">
        <f>HYPERLINK("http://dx.doi.org/10.1093/ej/ueae039","http://dx.doi.org/10.1093/ej/ueae039")</f>
        <v>http://dx.doi.org/10.1093/ej/ueae039</v>
      </c>
      <c r="BG115" t="s">
        <v>74</v>
      </c>
      <c r="BH115" t="s">
        <v>2586</v>
      </c>
      <c r="BI115">
        <v>29</v>
      </c>
      <c r="BJ115" t="s">
        <v>2587</v>
      </c>
      <c r="BK115" t="s">
        <v>250</v>
      </c>
      <c r="BL115" t="s">
        <v>2588</v>
      </c>
      <c r="BM115" t="s">
        <v>2589</v>
      </c>
      <c r="BN115" t="s">
        <v>74</v>
      </c>
      <c r="BO115" t="s">
        <v>346</v>
      </c>
      <c r="BP115" t="s">
        <v>74</v>
      </c>
      <c r="BQ115" t="s">
        <v>74</v>
      </c>
      <c r="BR115" t="s">
        <v>106</v>
      </c>
      <c r="BS115" t="s">
        <v>2590</v>
      </c>
      <c r="BT115" t="str">
        <f>HYPERLINK("https%3A%2F%2Fwww.webofscience.com%2Fwos%2Fwoscc%2Ffull-record%2FWOS:001319161100001","View Full Record in Web of Science")</f>
        <v>View Full Record in Web of Science</v>
      </c>
    </row>
    <row r="116" spans="1:72" x14ac:dyDescent="0.25">
      <c r="A116" t="s">
        <v>108</v>
      </c>
      <c r="B116" t="s">
        <v>2591</v>
      </c>
      <c r="C116" t="s">
        <v>74</v>
      </c>
      <c r="D116" t="s">
        <v>2592</v>
      </c>
      <c r="E116" t="s">
        <v>74</v>
      </c>
      <c r="F116" t="s">
        <v>2593</v>
      </c>
      <c r="G116" t="s">
        <v>74</v>
      </c>
      <c r="H116" t="s">
        <v>74</v>
      </c>
      <c r="I116" t="s">
        <v>2594</v>
      </c>
      <c r="J116" t="s">
        <v>2595</v>
      </c>
      <c r="K116" t="s">
        <v>2596</v>
      </c>
      <c r="L116" t="s">
        <v>74</v>
      </c>
      <c r="M116" t="s">
        <v>78</v>
      </c>
      <c r="N116" t="s">
        <v>115</v>
      </c>
      <c r="O116" t="s">
        <v>2597</v>
      </c>
      <c r="P116" t="s">
        <v>2598</v>
      </c>
      <c r="Q116" t="s">
        <v>2599</v>
      </c>
      <c r="R116" t="s">
        <v>74</v>
      </c>
      <c r="S116" t="s">
        <v>74</v>
      </c>
      <c r="T116" t="s">
        <v>2600</v>
      </c>
      <c r="U116" t="s">
        <v>74</v>
      </c>
      <c r="V116" t="s">
        <v>2601</v>
      </c>
      <c r="W116" t="s">
        <v>2602</v>
      </c>
      <c r="X116" t="s">
        <v>2603</v>
      </c>
      <c r="Y116" t="s">
        <v>2604</v>
      </c>
      <c r="Z116" t="s">
        <v>74</v>
      </c>
      <c r="AA116" t="s">
        <v>74</v>
      </c>
      <c r="AB116" t="s">
        <v>74</v>
      </c>
      <c r="AC116" t="s">
        <v>74</v>
      </c>
      <c r="AD116" t="s">
        <v>74</v>
      </c>
      <c r="AE116" t="s">
        <v>74</v>
      </c>
      <c r="AF116" t="s">
        <v>74</v>
      </c>
      <c r="AG116">
        <v>12</v>
      </c>
      <c r="AH116">
        <v>2</v>
      </c>
      <c r="AI116">
        <v>2</v>
      </c>
      <c r="AJ116">
        <v>0</v>
      </c>
      <c r="AK116">
        <v>1</v>
      </c>
      <c r="AL116" t="s">
        <v>2605</v>
      </c>
      <c r="AM116" t="s">
        <v>2606</v>
      </c>
      <c r="AN116" t="s">
        <v>2607</v>
      </c>
      <c r="AO116" t="s">
        <v>2608</v>
      </c>
      <c r="AP116" t="s">
        <v>74</v>
      </c>
      <c r="AQ116" t="s">
        <v>2609</v>
      </c>
      <c r="AR116" t="s">
        <v>2610</v>
      </c>
      <c r="AS116" t="s">
        <v>74</v>
      </c>
      <c r="AT116" t="s">
        <v>74</v>
      </c>
      <c r="AU116">
        <v>2018</v>
      </c>
      <c r="AV116">
        <v>294</v>
      </c>
      <c r="AW116" t="s">
        <v>74</v>
      </c>
      <c r="AX116" t="s">
        <v>74</v>
      </c>
      <c r="AY116" t="s">
        <v>74</v>
      </c>
      <c r="AZ116" t="s">
        <v>74</v>
      </c>
      <c r="BA116" t="s">
        <v>74</v>
      </c>
      <c r="BB116">
        <v>249</v>
      </c>
      <c r="BC116">
        <v>256</v>
      </c>
      <c r="BD116" t="s">
        <v>74</v>
      </c>
      <c r="BE116" t="s">
        <v>74</v>
      </c>
      <c r="BF116" t="s">
        <v>74</v>
      </c>
      <c r="BG116" t="s">
        <v>74</v>
      </c>
      <c r="BH116" t="s">
        <v>74</v>
      </c>
      <c r="BI116">
        <v>8</v>
      </c>
      <c r="BJ116" t="s">
        <v>2611</v>
      </c>
      <c r="BK116" t="s">
        <v>1042</v>
      </c>
      <c r="BL116" t="s">
        <v>2612</v>
      </c>
      <c r="BM116" t="s">
        <v>2613</v>
      </c>
      <c r="BN116" t="s">
        <v>74</v>
      </c>
      <c r="BO116" t="s">
        <v>74</v>
      </c>
      <c r="BP116" t="s">
        <v>74</v>
      </c>
      <c r="BQ116" t="s">
        <v>74</v>
      </c>
      <c r="BR116" t="s">
        <v>106</v>
      </c>
      <c r="BS116" t="s">
        <v>2614</v>
      </c>
      <c r="BT116" t="str">
        <f>HYPERLINK("https%3A%2F%2Fwww.webofscience.com%2Fwos%2Fwoscc%2Ffull-record%2FWOS:000468221900046","View Full Record in Web of Science")</f>
        <v>View Full Record in Web of Science</v>
      </c>
    </row>
    <row r="117" spans="1:72" x14ac:dyDescent="0.25">
      <c r="A117" t="s">
        <v>108</v>
      </c>
      <c r="B117" t="s">
        <v>2615</v>
      </c>
      <c r="C117" t="s">
        <v>74</v>
      </c>
      <c r="D117" t="s">
        <v>2616</v>
      </c>
      <c r="E117" t="s">
        <v>74</v>
      </c>
      <c r="F117" t="s">
        <v>2617</v>
      </c>
      <c r="G117" t="s">
        <v>74</v>
      </c>
      <c r="H117" t="s">
        <v>74</v>
      </c>
      <c r="I117" t="s">
        <v>2618</v>
      </c>
      <c r="J117" t="s">
        <v>2619</v>
      </c>
      <c r="K117" t="s">
        <v>74</v>
      </c>
      <c r="L117" t="s">
        <v>74</v>
      </c>
      <c r="M117" t="s">
        <v>78</v>
      </c>
      <c r="N117" t="s">
        <v>115</v>
      </c>
      <c r="O117" t="s">
        <v>2620</v>
      </c>
      <c r="P117" t="s">
        <v>2621</v>
      </c>
      <c r="Q117" t="s">
        <v>2622</v>
      </c>
      <c r="R117" t="s">
        <v>465</v>
      </c>
      <c r="S117" t="s">
        <v>74</v>
      </c>
      <c r="T117" t="s">
        <v>2623</v>
      </c>
      <c r="U117" t="s">
        <v>74</v>
      </c>
      <c r="V117" t="s">
        <v>2624</v>
      </c>
      <c r="W117" t="s">
        <v>2625</v>
      </c>
      <c r="X117" t="s">
        <v>2626</v>
      </c>
      <c r="Y117" t="s">
        <v>2627</v>
      </c>
      <c r="Z117" t="s">
        <v>2628</v>
      </c>
      <c r="AA117" t="s">
        <v>2629</v>
      </c>
      <c r="AB117" t="s">
        <v>74</v>
      </c>
      <c r="AC117" t="s">
        <v>74</v>
      </c>
      <c r="AD117" t="s">
        <v>74</v>
      </c>
      <c r="AE117" t="s">
        <v>74</v>
      </c>
      <c r="AF117" t="s">
        <v>74</v>
      </c>
      <c r="AG117">
        <v>14</v>
      </c>
      <c r="AH117">
        <v>8</v>
      </c>
      <c r="AI117">
        <v>8</v>
      </c>
      <c r="AJ117">
        <v>0</v>
      </c>
      <c r="AK117">
        <v>6</v>
      </c>
      <c r="AL117" t="s">
        <v>465</v>
      </c>
      <c r="AM117" t="s">
        <v>92</v>
      </c>
      <c r="AN117" t="s">
        <v>480</v>
      </c>
      <c r="AO117" t="s">
        <v>74</v>
      </c>
      <c r="AP117" t="s">
        <v>74</v>
      </c>
      <c r="AQ117" t="s">
        <v>2630</v>
      </c>
      <c r="AR117" t="s">
        <v>74</v>
      </c>
      <c r="AS117" t="s">
        <v>74</v>
      </c>
      <c r="AT117" t="s">
        <v>74</v>
      </c>
      <c r="AU117">
        <v>2010</v>
      </c>
      <c r="AV117" t="s">
        <v>74</v>
      </c>
      <c r="AW117" t="s">
        <v>74</v>
      </c>
      <c r="AX117" t="s">
        <v>74</v>
      </c>
      <c r="AY117" t="s">
        <v>74</v>
      </c>
      <c r="AZ117" t="s">
        <v>74</v>
      </c>
      <c r="BA117" t="s">
        <v>74</v>
      </c>
      <c r="BB117">
        <v>571</v>
      </c>
      <c r="BC117">
        <v>576</v>
      </c>
      <c r="BD117" t="s">
        <v>74</v>
      </c>
      <c r="BE117" t="s">
        <v>2631</v>
      </c>
      <c r="BF117" t="str">
        <f>HYPERLINK("http://dx.doi.org/10.1109/ICACC.2010.5486884","http://dx.doi.org/10.1109/ICACC.2010.5486884")</f>
        <v>http://dx.doi.org/10.1109/ICACC.2010.5486884</v>
      </c>
      <c r="BG117" t="s">
        <v>74</v>
      </c>
      <c r="BH117" t="s">
        <v>74</v>
      </c>
      <c r="BI117">
        <v>6</v>
      </c>
      <c r="BJ117" t="s">
        <v>2632</v>
      </c>
      <c r="BK117" t="s">
        <v>203</v>
      </c>
      <c r="BL117" t="s">
        <v>2633</v>
      </c>
      <c r="BM117" t="s">
        <v>2634</v>
      </c>
      <c r="BN117" t="s">
        <v>74</v>
      </c>
      <c r="BO117" t="s">
        <v>74</v>
      </c>
      <c r="BP117" t="s">
        <v>74</v>
      </c>
      <c r="BQ117" t="s">
        <v>74</v>
      </c>
      <c r="BR117" t="s">
        <v>106</v>
      </c>
      <c r="BS117" t="s">
        <v>2635</v>
      </c>
      <c r="BT117" t="str">
        <f>HYPERLINK("https%3A%2F%2Fwww.webofscience.com%2Fwos%2Fwoscc%2Ffull-record%2FWOS:000289202000129","View Full Record in Web of Science")</f>
        <v>View Full Record in Web of Science</v>
      </c>
    </row>
    <row r="118" spans="1:72" x14ac:dyDescent="0.25">
      <c r="A118" t="s">
        <v>108</v>
      </c>
      <c r="B118" t="s">
        <v>2636</v>
      </c>
      <c r="C118" t="s">
        <v>74</v>
      </c>
      <c r="D118" t="s">
        <v>2637</v>
      </c>
      <c r="E118" t="s">
        <v>74</v>
      </c>
      <c r="F118" t="s">
        <v>2638</v>
      </c>
      <c r="G118" t="s">
        <v>74</v>
      </c>
      <c r="H118" t="s">
        <v>74</v>
      </c>
      <c r="I118" t="s">
        <v>2639</v>
      </c>
      <c r="J118" t="s">
        <v>2640</v>
      </c>
      <c r="K118" t="s">
        <v>1021</v>
      </c>
      <c r="L118" t="s">
        <v>74</v>
      </c>
      <c r="M118" t="s">
        <v>78</v>
      </c>
      <c r="N118" t="s">
        <v>115</v>
      </c>
      <c r="O118" t="s">
        <v>2641</v>
      </c>
      <c r="P118" t="s">
        <v>2642</v>
      </c>
      <c r="Q118" t="s">
        <v>2643</v>
      </c>
      <c r="R118" t="s">
        <v>74</v>
      </c>
      <c r="S118" t="s">
        <v>74</v>
      </c>
      <c r="T118" t="s">
        <v>2644</v>
      </c>
      <c r="U118" t="s">
        <v>74</v>
      </c>
      <c r="V118" t="s">
        <v>2645</v>
      </c>
      <c r="W118" t="s">
        <v>2646</v>
      </c>
      <c r="X118" t="s">
        <v>2647</v>
      </c>
      <c r="Y118" t="s">
        <v>2648</v>
      </c>
      <c r="Z118" t="s">
        <v>2649</v>
      </c>
      <c r="AA118" t="s">
        <v>74</v>
      </c>
      <c r="AB118" t="s">
        <v>2650</v>
      </c>
      <c r="AC118" t="s">
        <v>74</v>
      </c>
      <c r="AD118" t="s">
        <v>74</v>
      </c>
      <c r="AE118" t="s">
        <v>74</v>
      </c>
      <c r="AF118" t="s">
        <v>74</v>
      </c>
      <c r="AG118">
        <v>9</v>
      </c>
      <c r="AH118">
        <v>1</v>
      </c>
      <c r="AI118">
        <v>1</v>
      </c>
      <c r="AJ118">
        <v>0</v>
      </c>
      <c r="AK118">
        <v>8</v>
      </c>
      <c r="AL118" t="s">
        <v>178</v>
      </c>
      <c r="AM118" t="s">
        <v>92</v>
      </c>
      <c r="AN118" t="s">
        <v>1035</v>
      </c>
      <c r="AO118" t="s">
        <v>1036</v>
      </c>
      <c r="AP118" t="s">
        <v>1037</v>
      </c>
      <c r="AQ118" t="s">
        <v>2651</v>
      </c>
      <c r="AR118" t="s">
        <v>1039</v>
      </c>
      <c r="AS118" t="s">
        <v>74</v>
      </c>
      <c r="AT118" t="s">
        <v>74</v>
      </c>
      <c r="AU118">
        <v>2016</v>
      </c>
      <c r="AV118">
        <v>393</v>
      </c>
      <c r="AW118" t="s">
        <v>74</v>
      </c>
      <c r="AX118" t="s">
        <v>74</v>
      </c>
      <c r="AY118" t="s">
        <v>74</v>
      </c>
      <c r="AZ118" t="s">
        <v>74</v>
      </c>
      <c r="BA118" t="s">
        <v>74</v>
      </c>
      <c r="BB118">
        <v>551</v>
      </c>
      <c r="BC118">
        <v>560</v>
      </c>
      <c r="BD118" t="s">
        <v>74</v>
      </c>
      <c r="BE118" t="s">
        <v>2652</v>
      </c>
      <c r="BF118" t="str">
        <f>HYPERLINK("http://dx.doi.org/10.1007/978-981-10-1536-6_72","http://dx.doi.org/10.1007/978-981-10-1536-6_72")</f>
        <v>http://dx.doi.org/10.1007/978-981-10-1536-6_72</v>
      </c>
      <c r="BG118" t="s">
        <v>74</v>
      </c>
      <c r="BH118" t="s">
        <v>74</v>
      </c>
      <c r="BI118">
        <v>10</v>
      </c>
      <c r="BJ118" t="s">
        <v>2653</v>
      </c>
      <c r="BK118" t="s">
        <v>203</v>
      </c>
      <c r="BL118" t="s">
        <v>2654</v>
      </c>
      <c r="BM118" t="s">
        <v>2655</v>
      </c>
      <c r="BN118" t="s">
        <v>74</v>
      </c>
      <c r="BO118" t="s">
        <v>74</v>
      </c>
      <c r="BP118" t="s">
        <v>74</v>
      </c>
      <c r="BQ118" t="s">
        <v>74</v>
      </c>
      <c r="BR118" t="s">
        <v>106</v>
      </c>
      <c r="BS118" t="s">
        <v>2656</v>
      </c>
      <c r="BT118" t="str">
        <f>HYPERLINK("https%3A%2F%2Fwww.webofscience.com%2Fwos%2Fwoscc%2Ffull-record%2FWOS:000399933600072","View Full Record in Web of Science")</f>
        <v>View Full Record in Web of Science</v>
      </c>
    </row>
    <row r="119" spans="1:72" x14ac:dyDescent="0.25">
      <c r="A119" t="s">
        <v>72</v>
      </c>
      <c r="B119" t="s">
        <v>2657</v>
      </c>
      <c r="C119" t="s">
        <v>74</v>
      </c>
      <c r="D119" t="s">
        <v>74</v>
      </c>
      <c r="E119" t="s">
        <v>74</v>
      </c>
      <c r="F119" t="s">
        <v>2658</v>
      </c>
      <c r="G119" t="s">
        <v>74</v>
      </c>
      <c r="H119" t="s">
        <v>74</v>
      </c>
      <c r="I119" t="s">
        <v>2659</v>
      </c>
      <c r="J119" t="s">
        <v>2660</v>
      </c>
      <c r="K119" t="s">
        <v>74</v>
      </c>
      <c r="L119" t="s">
        <v>74</v>
      </c>
      <c r="M119" t="s">
        <v>78</v>
      </c>
      <c r="N119" t="s">
        <v>2661</v>
      </c>
      <c r="O119" t="s">
        <v>74</v>
      </c>
      <c r="P119" t="s">
        <v>74</v>
      </c>
      <c r="Q119" t="s">
        <v>74</v>
      </c>
      <c r="R119" t="s">
        <v>74</v>
      </c>
      <c r="S119" t="s">
        <v>74</v>
      </c>
      <c r="T119" t="s">
        <v>74</v>
      </c>
      <c r="U119" t="s">
        <v>74</v>
      </c>
      <c r="V119" t="s">
        <v>2662</v>
      </c>
      <c r="W119" t="s">
        <v>2663</v>
      </c>
      <c r="X119" t="s">
        <v>2664</v>
      </c>
      <c r="Y119" t="s">
        <v>2665</v>
      </c>
      <c r="Z119" t="s">
        <v>2666</v>
      </c>
      <c r="AA119" t="s">
        <v>74</v>
      </c>
      <c r="AB119" t="s">
        <v>74</v>
      </c>
      <c r="AC119" t="s">
        <v>2664</v>
      </c>
      <c r="AD119" t="s">
        <v>2667</v>
      </c>
      <c r="AE119" t="s">
        <v>2668</v>
      </c>
      <c r="AF119" t="s">
        <v>74</v>
      </c>
      <c r="AG119">
        <v>15</v>
      </c>
      <c r="AH119">
        <v>5</v>
      </c>
      <c r="AI119">
        <v>9</v>
      </c>
      <c r="AJ119">
        <v>0</v>
      </c>
      <c r="AK119">
        <v>15</v>
      </c>
      <c r="AL119" t="s">
        <v>631</v>
      </c>
      <c r="AM119" t="s">
        <v>632</v>
      </c>
      <c r="AN119" t="s">
        <v>633</v>
      </c>
      <c r="AO119" t="s">
        <v>2669</v>
      </c>
      <c r="AP119" t="s">
        <v>2670</v>
      </c>
      <c r="AQ119" t="s">
        <v>74</v>
      </c>
      <c r="AR119" t="s">
        <v>2671</v>
      </c>
      <c r="AS119" t="s">
        <v>2672</v>
      </c>
      <c r="AT119" t="s">
        <v>74</v>
      </c>
      <c r="AU119">
        <v>2014</v>
      </c>
      <c r="AV119" t="s">
        <v>74</v>
      </c>
      <c r="AW119" t="s">
        <v>74</v>
      </c>
      <c r="AX119" t="s">
        <v>74</v>
      </c>
      <c r="AY119" t="s">
        <v>74</v>
      </c>
      <c r="AZ119" t="s">
        <v>74</v>
      </c>
      <c r="BA119" t="s">
        <v>74</v>
      </c>
      <c r="BB119" t="s">
        <v>74</v>
      </c>
      <c r="BC119" t="s">
        <v>74</v>
      </c>
      <c r="BD119">
        <v>146967</v>
      </c>
      <c r="BE119" t="s">
        <v>2673</v>
      </c>
      <c r="BF119" t="str">
        <f>HYPERLINK("http://dx.doi.org/10.1155/2014/146967","http://dx.doi.org/10.1155/2014/146967")</f>
        <v>http://dx.doi.org/10.1155/2014/146967</v>
      </c>
      <c r="BG119" t="s">
        <v>74</v>
      </c>
      <c r="BH119" t="s">
        <v>74</v>
      </c>
      <c r="BI119">
        <v>5</v>
      </c>
      <c r="BJ119" t="s">
        <v>2674</v>
      </c>
      <c r="BK119" t="s">
        <v>902</v>
      </c>
      <c r="BL119" t="s">
        <v>2422</v>
      </c>
      <c r="BM119" t="s">
        <v>2675</v>
      </c>
      <c r="BN119" t="s">
        <v>74</v>
      </c>
      <c r="BO119" t="s">
        <v>398</v>
      </c>
      <c r="BP119" t="s">
        <v>74</v>
      </c>
      <c r="BQ119" t="s">
        <v>74</v>
      </c>
      <c r="BR119" t="s">
        <v>106</v>
      </c>
      <c r="BS119" t="s">
        <v>2676</v>
      </c>
      <c r="BT119" t="str">
        <f>HYPERLINK("https%3A%2F%2Fwww.webofscience.com%2Fwos%2Fwoscc%2Ffull-record%2FWOS:000338875600001","View Full Record in Web of Science")</f>
        <v>View Full Record in Web of Science</v>
      </c>
    </row>
    <row r="120" spans="1:72" x14ac:dyDescent="0.25">
      <c r="A120" t="s">
        <v>108</v>
      </c>
      <c r="B120" t="s">
        <v>2677</v>
      </c>
      <c r="C120" t="s">
        <v>74</v>
      </c>
      <c r="D120" t="s">
        <v>2678</v>
      </c>
      <c r="E120" t="s">
        <v>74</v>
      </c>
      <c r="F120" t="s">
        <v>2679</v>
      </c>
      <c r="G120" t="s">
        <v>74</v>
      </c>
      <c r="H120" t="s">
        <v>74</v>
      </c>
      <c r="I120" t="s">
        <v>2680</v>
      </c>
      <c r="J120" t="s">
        <v>2681</v>
      </c>
      <c r="K120" t="s">
        <v>2682</v>
      </c>
      <c r="L120" t="s">
        <v>74</v>
      </c>
      <c r="M120" t="s">
        <v>78</v>
      </c>
      <c r="N120" t="s">
        <v>115</v>
      </c>
      <c r="O120" t="s">
        <v>2683</v>
      </c>
      <c r="P120" t="s">
        <v>2684</v>
      </c>
      <c r="Q120" t="s">
        <v>2685</v>
      </c>
      <c r="R120" t="s">
        <v>2686</v>
      </c>
      <c r="S120" t="s">
        <v>2687</v>
      </c>
      <c r="T120" t="s">
        <v>2688</v>
      </c>
      <c r="U120" t="s">
        <v>74</v>
      </c>
      <c r="V120" t="s">
        <v>2689</v>
      </c>
      <c r="W120" t="s">
        <v>2690</v>
      </c>
      <c r="X120" t="s">
        <v>2691</v>
      </c>
      <c r="Y120" t="s">
        <v>2692</v>
      </c>
      <c r="Z120" t="s">
        <v>2693</v>
      </c>
      <c r="AA120" t="s">
        <v>2694</v>
      </c>
      <c r="AB120" t="s">
        <v>74</v>
      </c>
      <c r="AC120" t="s">
        <v>74</v>
      </c>
      <c r="AD120" t="s">
        <v>74</v>
      </c>
      <c r="AE120" t="s">
        <v>74</v>
      </c>
      <c r="AF120" t="s">
        <v>74</v>
      </c>
      <c r="AG120">
        <v>20</v>
      </c>
      <c r="AH120">
        <v>13</v>
      </c>
      <c r="AI120">
        <v>14</v>
      </c>
      <c r="AJ120">
        <v>0</v>
      </c>
      <c r="AK120">
        <v>5</v>
      </c>
      <c r="AL120" t="s">
        <v>2695</v>
      </c>
      <c r="AM120" t="s">
        <v>363</v>
      </c>
      <c r="AN120" t="s">
        <v>2696</v>
      </c>
      <c r="AO120" t="s">
        <v>2697</v>
      </c>
      <c r="AP120" t="s">
        <v>74</v>
      </c>
      <c r="AQ120" t="s">
        <v>74</v>
      </c>
      <c r="AR120" t="s">
        <v>2698</v>
      </c>
      <c r="AS120" t="s">
        <v>74</v>
      </c>
      <c r="AT120" t="s">
        <v>74</v>
      </c>
      <c r="AU120">
        <v>2015</v>
      </c>
      <c r="AV120">
        <v>51</v>
      </c>
      <c r="AW120" t="s">
        <v>74</v>
      </c>
      <c r="AX120" t="s">
        <v>74</v>
      </c>
      <c r="AY120" t="s">
        <v>74</v>
      </c>
      <c r="AZ120" t="s">
        <v>74</v>
      </c>
      <c r="BA120" t="s">
        <v>74</v>
      </c>
      <c r="BB120">
        <v>503</v>
      </c>
      <c r="BC120">
        <v>512</v>
      </c>
      <c r="BD120" t="s">
        <v>74</v>
      </c>
      <c r="BE120" t="s">
        <v>2699</v>
      </c>
      <c r="BF120" t="str">
        <f>HYPERLINK("http://dx.doi.org/10.1016/j.procs.2015.05.275","http://dx.doi.org/10.1016/j.procs.2015.05.275")</f>
        <v>http://dx.doi.org/10.1016/j.procs.2015.05.275</v>
      </c>
      <c r="BG120" t="s">
        <v>74</v>
      </c>
      <c r="BH120" t="s">
        <v>74</v>
      </c>
      <c r="BI120">
        <v>10</v>
      </c>
      <c r="BJ120" t="s">
        <v>2700</v>
      </c>
      <c r="BK120" t="s">
        <v>203</v>
      </c>
      <c r="BL120" t="s">
        <v>103</v>
      </c>
      <c r="BM120" t="s">
        <v>2701</v>
      </c>
      <c r="BN120" t="s">
        <v>74</v>
      </c>
      <c r="BO120" t="s">
        <v>372</v>
      </c>
      <c r="BP120" t="s">
        <v>74</v>
      </c>
      <c r="BQ120" t="s">
        <v>74</v>
      </c>
      <c r="BR120" t="s">
        <v>106</v>
      </c>
      <c r="BS120" t="s">
        <v>2702</v>
      </c>
      <c r="BT120" t="str">
        <f>HYPERLINK("https%3A%2F%2Fwww.webofscience.com%2Fwos%2Fwoscc%2Ffull-record%2FWOS:000373939100051","View Full Record in Web of Science")</f>
        <v>View Full Record in Web of Science</v>
      </c>
    </row>
    <row r="121" spans="1:72" x14ac:dyDescent="0.25">
      <c r="A121" t="s">
        <v>72</v>
      </c>
      <c r="B121" t="s">
        <v>2703</v>
      </c>
      <c r="C121" t="s">
        <v>74</v>
      </c>
      <c r="D121" t="s">
        <v>74</v>
      </c>
      <c r="E121" t="s">
        <v>74</v>
      </c>
      <c r="F121" t="s">
        <v>2704</v>
      </c>
      <c r="G121" t="s">
        <v>74</v>
      </c>
      <c r="H121" t="s">
        <v>74</v>
      </c>
      <c r="I121" t="s">
        <v>2705</v>
      </c>
      <c r="J121" t="s">
        <v>2058</v>
      </c>
      <c r="K121" t="s">
        <v>74</v>
      </c>
      <c r="L121" t="s">
        <v>74</v>
      </c>
      <c r="M121" t="s">
        <v>78</v>
      </c>
      <c r="N121" t="s">
        <v>79</v>
      </c>
      <c r="O121" t="s">
        <v>74</v>
      </c>
      <c r="P121" t="s">
        <v>74</v>
      </c>
      <c r="Q121" t="s">
        <v>74</v>
      </c>
      <c r="R121" t="s">
        <v>74</v>
      </c>
      <c r="S121" t="s">
        <v>74</v>
      </c>
      <c r="T121" t="s">
        <v>2706</v>
      </c>
      <c r="U121" t="s">
        <v>74</v>
      </c>
      <c r="V121" t="s">
        <v>2707</v>
      </c>
      <c r="W121" t="s">
        <v>2708</v>
      </c>
      <c r="X121" t="s">
        <v>2709</v>
      </c>
      <c r="Y121" t="s">
        <v>2710</v>
      </c>
      <c r="Z121" t="s">
        <v>2711</v>
      </c>
      <c r="AA121" t="s">
        <v>74</v>
      </c>
      <c r="AB121" t="s">
        <v>74</v>
      </c>
      <c r="AC121" t="s">
        <v>74</v>
      </c>
      <c r="AD121" t="s">
        <v>74</v>
      </c>
      <c r="AE121" t="s">
        <v>74</v>
      </c>
      <c r="AF121" t="s">
        <v>74</v>
      </c>
      <c r="AG121">
        <v>39</v>
      </c>
      <c r="AH121">
        <v>4</v>
      </c>
      <c r="AI121">
        <v>5</v>
      </c>
      <c r="AJ121">
        <v>1</v>
      </c>
      <c r="AK121">
        <v>16</v>
      </c>
      <c r="AL121" t="s">
        <v>1272</v>
      </c>
      <c r="AM121" t="s">
        <v>1273</v>
      </c>
      <c r="AN121" t="s">
        <v>1274</v>
      </c>
      <c r="AO121" t="s">
        <v>74</v>
      </c>
      <c r="AP121" t="s">
        <v>2070</v>
      </c>
      <c r="AQ121" t="s">
        <v>74</v>
      </c>
      <c r="AR121" t="s">
        <v>2071</v>
      </c>
      <c r="AS121" t="s">
        <v>2072</v>
      </c>
      <c r="AT121" t="s">
        <v>509</v>
      </c>
      <c r="AU121">
        <v>2020</v>
      </c>
      <c r="AV121">
        <v>10</v>
      </c>
      <c r="AW121">
        <v>18</v>
      </c>
      <c r="AX121" t="s">
        <v>74</v>
      </c>
      <c r="AY121" t="s">
        <v>74</v>
      </c>
      <c r="AZ121" t="s">
        <v>74</v>
      </c>
      <c r="BA121" t="s">
        <v>74</v>
      </c>
      <c r="BB121" t="s">
        <v>74</v>
      </c>
      <c r="BC121" t="s">
        <v>74</v>
      </c>
      <c r="BD121">
        <v>6170</v>
      </c>
      <c r="BE121" t="s">
        <v>2712</v>
      </c>
      <c r="BF121" t="str">
        <f>HYPERLINK("http://dx.doi.org/10.3390/app10186170","http://dx.doi.org/10.3390/app10186170")</f>
        <v>http://dx.doi.org/10.3390/app10186170</v>
      </c>
      <c r="BG121" t="s">
        <v>74</v>
      </c>
      <c r="BH121" t="s">
        <v>74</v>
      </c>
      <c r="BI121">
        <v>20</v>
      </c>
      <c r="BJ121" t="s">
        <v>2075</v>
      </c>
      <c r="BK121" t="s">
        <v>902</v>
      </c>
      <c r="BL121" t="s">
        <v>2076</v>
      </c>
      <c r="BM121" t="s">
        <v>2713</v>
      </c>
      <c r="BN121" t="s">
        <v>74</v>
      </c>
      <c r="BO121" t="s">
        <v>372</v>
      </c>
      <c r="BP121" t="s">
        <v>74</v>
      </c>
      <c r="BQ121" t="s">
        <v>74</v>
      </c>
      <c r="BR121" t="s">
        <v>106</v>
      </c>
      <c r="BS121" t="s">
        <v>2714</v>
      </c>
      <c r="BT121" t="str">
        <f>HYPERLINK("https%3A%2F%2Fwww.webofscience.com%2Fwos%2Fwoscc%2Ffull-record%2FWOS:000581774600001","View Full Record in Web of Science")</f>
        <v>View Full Record in Web of Science</v>
      </c>
    </row>
    <row r="122" spans="1:72" x14ac:dyDescent="0.25">
      <c r="A122" t="s">
        <v>108</v>
      </c>
      <c r="B122" t="s">
        <v>2715</v>
      </c>
      <c r="C122" t="s">
        <v>74</v>
      </c>
      <c r="D122" t="s">
        <v>74</v>
      </c>
      <c r="E122" t="s">
        <v>465</v>
      </c>
      <c r="F122" t="s">
        <v>2716</v>
      </c>
      <c r="G122" t="s">
        <v>74</v>
      </c>
      <c r="H122" t="s">
        <v>74</v>
      </c>
      <c r="I122" t="s">
        <v>2717</v>
      </c>
      <c r="J122" t="s">
        <v>2718</v>
      </c>
      <c r="K122" t="s">
        <v>74</v>
      </c>
      <c r="L122" t="s">
        <v>74</v>
      </c>
      <c r="M122" t="s">
        <v>78</v>
      </c>
      <c r="N122" t="s">
        <v>115</v>
      </c>
      <c r="O122" t="s">
        <v>2719</v>
      </c>
      <c r="P122" t="s">
        <v>2720</v>
      </c>
      <c r="Q122" t="s">
        <v>2721</v>
      </c>
      <c r="R122" t="s">
        <v>2722</v>
      </c>
      <c r="S122" t="s">
        <v>74</v>
      </c>
      <c r="T122" t="s">
        <v>2723</v>
      </c>
      <c r="U122" t="s">
        <v>74</v>
      </c>
      <c r="V122" t="s">
        <v>2724</v>
      </c>
      <c r="W122" t="s">
        <v>2725</v>
      </c>
      <c r="X122" t="s">
        <v>2726</v>
      </c>
      <c r="Y122" t="s">
        <v>2727</v>
      </c>
      <c r="Z122" t="s">
        <v>2728</v>
      </c>
      <c r="AA122" t="s">
        <v>2729</v>
      </c>
      <c r="AB122" t="s">
        <v>2730</v>
      </c>
      <c r="AC122" t="s">
        <v>74</v>
      </c>
      <c r="AD122" t="s">
        <v>74</v>
      </c>
      <c r="AE122" t="s">
        <v>74</v>
      </c>
      <c r="AF122" t="s">
        <v>74</v>
      </c>
      <c r="AG122">
        <v>32</v>
      </c>
      <c r="AH122">
        <v>0</v>
      </c>
      <c r="AI122">
        <v>0</v>
      </c>
      <c r="AJ122">
        <v>0</v>
      </c>
      <c r="AK122">
        <v>1</v>
      </c>
      <c r="AL122" t="s">
        <v>465</v>
      </c>
      <c r="AM122" t="s">
        <v>92</v>
      </c>
      <c r="AN122" t="s">
        <v>480</v>
      </c>
      <c r="AO122" t="s">
        <v>74</v>
      </c>
      <c r="AP122" t="s">
        <v>74</v>
      </c>
      <c r="AQ122" t="s">
        <v>2731</v>
      </c>
      <c r="AR122" t="s">
        <v>74</v>
      </c>
      <c r="AS122" t="s">
        <v>74</v>
      </c>
      <c r="AT122" t="s">
        <v>74</v>
      </c>
      <c r="AU122">
        <v>2017</v>
      </c>
      <c r="AV122" t="s">
        <v>74</v>
      </c>
      <c r="AW122" t="s">
        <v>74</v>
      </c>
      <c r="AX122" t="s">
        <v>74</v>
      </c>
      <c r="AY122" t="s">
        <v>74</v>
      </c>
      <c r="AZ122" t="s">
        <v>74</v>
      </c>
      <c r="BA122" t="s">
        <v>74</v>
      </c>
      <c r="BB122">
        <v>907</v>
      </c>
      <c r="BC122">
        <v>912</v>
      </c>
      <c r="BD122" t="s">
        <v>74</v>
      </c>
      <c r="BE122" t="s">
        <v>74</v>
      </c>
      <c r="BF122" t="s">
        <v>74</v>
      </c>
      <c r="BG122" t="s">
        <v>74</v>
      </c>
      <c r="BH122" t="s">
        <v>74</v>
      </c>
      <c r="BI122">
        <v>6</v>
      </c>
      <c r="BJ122" t="s">
        <v>2205</v>
      </c>
      <c r="BK122" t="s">
        <v>203</v>
      </c>
      <c r="BL122" t="s">
        <v>903</v>
      </c>
      <c r="BM122" t="s">
        <v>2732</v>
      </c>
      <c r="BN122" t="s">
        <v>74</v>
      </c>
      <c r="BO122" t="s">
        <v>74</v>
      </c>
      <c r="BP122" t="s">
        <v>74</v>
      </c>
      <c r="BQ122" t="s">
        <v>74</v>
      </c>
      <c r="BR122" t="s">
        <v>106</v>
      </c>
      <c r="BS122" t="s">
        <v>2733</v>
      </c>
      <c r="BT122" t="str">
        <f>HYPERLINK("https%3A%2F%2Fwww.webofscience.com%2Fwos%2Fwoscc%2Ffull-record%2FWOS:000426944400117","View Full Record in Web of Science")</f>
        <v>View Full Record in Web of Science</v>
      </c>
    </row>
    <row r="123" spans="1:72" x14ac:dyDescent="0.25">
      <c r="A123" t="s">
        <v>72</v>
      </c>
      <c r="B123" t="s">
        <v>2734</v>
      </c>
      <c r="C123" t="s">
        <v>74</v>
      </c>
      <c r="D123" t="s">
        <v>74</v>
      </c>
      <c r="E123" t="s">
        <v>74</v>
      </c>
      <c r="F123" t="s">
        <v>2735</v>
      </c>
      <c r="G123" t="s">
        <v>74</v>
      </c>
      <c r="H123" t="s">
        <v>74</v>
      </c>
      <c r="I123" t="s">
        <v>2736</v>
      </c>
      <c r="J123" t="s">
        <v>2737</v>
      </c>
      <c r="K123" t="s">
        <v>74</v>
      </c>
      <c r="L123" t="s">
        <v>74</v>
      </c>
      <c r="M123" t="s">
        <v>78</v>
      </c>
      <c r="N123" t="s">
        <v>79</v>
      </c>
      <c r="O123" t="s">
        <v>74</v>
      </c>
      <c r="P123" t="s">
        <v>74</v>
      </c>
      <c r="Q123" t="s">
        <v>74</v>
      </c>
      <c r="R123" t="s">
        <v>74</v>
      </c>
      <c r="S123" t="s">
        <v>74</v>
      </c>
      <c r="T123" t="s">
        <v>2738</v>
      </c>
      <c r="U123" t="s">
        <v>2739</v>
      </c>
      <c r="V123" t="s">
        <v>2740</v>
      </c>
      <c r="W123" t="s">
        <v>2741</v>
      </c>
      <c r="X123" t="s">
        <v>2742</v>
      </c>
      <c r="Y123" t="s">
        <v>2743</v>
      </c>
      <c r="Z123" t="s">
        <v>2744</v>
      </c>
      <c r="AA123" t="s">
        <v>2745</v>
      </c>
      <c r="AB123" t="s">
        <v>2746</v>
      </c>
      <c r="AC123" t="s">
        <v>2747</v>
      </c>
      <c r="AD123" t="s">
        <v>2748</v>
      </c>
      <c r="AE123" t="s">
        <v>2749</v>
      </c>
      <c r="AF123" t="s">
        <v>74</v>
      </c>
      <c r="AG123">
        <v>57</v>
      </c>
      <c r="AH123">
        <v>21</v>
      </c>
      <c r="AI123">
        <v>23</v>
      </c>
      <c r="AJ123">
        <v>0</v>
      </c>
      <c r="AK123">
        <v>18</v>
      </c>
      <c r="AL123" t="s">
        <v>895</v>
      </c>
      <c r="AM123" t="s">
        <v>896</v>
      </c>
      <c r="AN123" t="s">
        <v>897</v>
      </c>
      <c r="AO123" t="s">
        <v>2750</v>
      </c>
      <c r="AP123" t="s">
        <v>2751</v>
      </c>
      <c r="AQ123" t="s">
        <v>74</v>
      </c>
      <c r="AR123" t="s">
        <v>2752</v>
      </c>
      <c r="AS123" t="s">
        <v>2753</v>
      </c>
      <c r="AT123" t="s">
        <v>509</v>
      </c>
      <c r="AU123">
        <v>2021</v>
      </c>
      <c r="AV123">
        <v>51</v>
      </c>
      <c r="AW123">
        <v>9</v>
      </c>
      <c r="AX123" t="s">
        <v>74</v>
      </c>
      <c r="AY123" t="s">
        <v>74</v>
      </c>
      <c r="AZ123" t="s">
        <v>74</v>
      </c>
      <c r="BA123" t="s">
        <v>74</v>
      </c>
      <c r="BB123">
        <v>4501</v>
      </c>
      <c r="BC123">
        <v>4514</v>
      </c>
      <c r="BD123" t="s">
        <v>74</v>
      </c>
      <c r="BE123" t="s">
        <v>2754</v>
      </c>
      <c r="BF123" t="str">
        <f>HYPERLINK("http://dx.doi.org/10.1109/TCYB.2019.2951207","http://dx.doi.org/10.1109/TCYB.2019.2951207")</f>
        <v>http://dx.doi.org/10.1109/TCYB.2019.2951207</v>
      </c>
      <c r="BG123" t="s">
        <v>74</v>
      </c>
      <c r="BH123" t="s">
        <v>74</v>
      </c>
      <c r="BI123">
        <v>14</v>
      </c>
      <c r="BJ123" t="s">
        <v>2755</v>
      </c>
      <c r="BK123" t="s">
        <v>902</v>
      </c>
      <c r="BL123" t="s">
        <v>2756</v>
      </c>
      <c r="BM123" t="s">
        <v>2757</v>
      </c>
      <c r="BN123" t="s">
        <v>74</v>
      </c>
      <c r="BO123" t="s">
        <v>74</v>
      </c>
      <c r="BP123" t="s">
        <v>74</v>
      </c>
      <c r="BQ123" t="s">
        <v>74</v>
      </c>
      <c r="BR123" t="s">
        <v>106</v>
      </c>
      <c r="BS123" t="s">
        <v>2758</v>
      </c>
      <c r="BT123" t="str">
        <f>HYPERLINK("https%3A%2F%2Fwww.webofscience.com%2Fwos%2Fwoscc%2Ffull-record%2FWOS:000696078900017","View Full Record in Web of Science")</f>
        <v>View Full Record in Web of Science</v>
      </c>
    </row>
    <row r="124" spans="1:72" x14ac:dyDescent="0.25">
      <c r="A124" t="s">
        <v>108</v>
      </c>
      <c r="B124" t="s">
        <v>2759</v>
      </c>
      <c r="C124" t="s">
        <v>74</v>
      </c>
      <c r="D124" t="s">
        <v>74</v>
      </c>
      <c r="E124" t="s">
        <v>273</v>
      </c>
      <c r="F124" t="s">
        <v>2760</v>
      </c>
      <c r="G124" t="s">
        <v>74</v>
      </c>
      <c r="H124" t="s">
        <v>74</v>
      </c>
      <c r="I124" t="s">
        <v>2761</v>
      </c>
      <c r="J124" t="s">
        <v>2762</v>
      </c>
      <c r="K124" t="s">
        <v>74</v>
      </c>
      <c r="L124" t="s">
        <v>74</v>
      </c>
      <c r="M124" t="s">
        <v>78</v>
      </c>
      <c r="N124" t="s">
        <v>115</v>
      </c>
      <c r="O124" t="s">
        <v>2763</v>
      </c>
      <c r="P124" t="s">
        <v>2764</v>
      </c>
      <c r="Q124" t="s">
        <v>2765</v>
      </c>
      <c r="R124" t="s">
        <v>2766</v>
      </c>
      <c r="S124" t="s">
        <v>74</v>
      </c>
      <c r="T124" t="s">
        <v>2767</v>
      </c>
      <c r="U124" t="s">
        <v>74</v>
      </c>
      <c r="V124" t="s">
        <v>2768</v>
      </c>
      <c r="W124" t="s">
        <v>2769</v>
      </c>
      <c r="X124" t="s">
        <v>2770</v>
      </c>
      <c r="Y124" t="s">
        <v>2771</v>
      </c>
      <c r="Z124" t="s">
        <v>2772</v>
      </c>
      <c r="AA124" t="s">
        <v>2773</v>
      </c>
      <c r="AB124" t="s">
        <v>74</v>
      </c>
      <c r="AC124" t="s">
        <v>2774</v>
      </c>
      <c r="AD124" t="s">
        <v>2775</v>
      </c>
      <c r="AE124" t="s">
        <v>2776</v>
      </c>
      <c r="AF124" t="s">
        <v>74</v>
      </c>
      <c r="AG124">
        <v>5</v>
      </c>
      <c r="AH124">
        <v>4</v>
      </c>
      <c r="AI124">
        <v>4</v>
      </c>
      <c r="AJ124">
        <v>0</v>
      </c>
      <c r="AK124">
        <v>2</v>
      </c>
      <c r="AL124" t="s">
        <v>291</v>
      </c>
      <c r="AM124" t="s">
        <v>92</v>
      </c>
      <c r="AN124" t="s">
        <v>292</v>
      </c>
      <c r="AO124" t="s">
        <v>74</v>
      </c>
      <c r="AP124" t="s">
        <v>74</v>
      </c>
      <c r="AQ124" t="s">
        <v>2777</v>
      </c>
      <c r="AR124" t="s">
        <v>74</v>
      </c>
      <c r="AS124" t="s">
        <v>74</v>
      </c>
      <c r="AT124" t="s">
        <v>74</v>
      </c>
      <c r="AU124">
        <v>2014</v>
      </c>
      <c r="AV124" t="s">
        <v>74</v>
      </c>
      <c r="AW124" t="s">
        <v>74</v>
      </c>
      <c r="AX124" t="s">
        <v>74</v>
      </c>
      <c r="AY124" t="s">
        <v>74</v>
      </c>
      <c r="AZ124" t="s">
        <v>74</v>
      </c>
      <c r="BA124" t="s">
        <v>74</v>
      </c>
      <c r="BB124">
        <v>311</v>
      </c>
      <c r="BC124">
        <v>312</v>
      </c>
      <c r="BD124" t="s">
        <v>74</v>
      </c>
      <c r="BE124" t="s">
        <v>2778</v>
      </c>
      <c r="BF124" t="str">
        <f>HYPERLINK("http://dx.doi.org/10.1145/2567948.2577353","http://dx.doi.org/10.1145/2567948.2577353")</f>
        <v>http://dx.doi.org/10.1145/2567948.2577353</v>
      </c>
      <c r="BG124" t="s">
        <v>74</v>
      </c>
      <c r="BH124" t="s">
        <v>74</v>
      </c>
      <c r="BI124">
        <v>2</v>
      </c>
      <c r="BJ124" t="s">
        <v>696</v>
      </c>
      <c r="BK124" t="s">
        <v>203</v>
      </c>
      <c r="BL124" t="s">
        <v>103</v>
      </c>
      <c r="BM124" t="s">
        <v>2779</v>
      </c>
      <c r="BN124" t="s">
        <v>74</v>
      </c>
      <c r="BO124" t="s">
        <v>346</v>
      </c>
      <c r="BP124" t="s">
        <v>74</v>
      </c>
      <c r="BQ124" t="s">
        <v>74</v>
      </c>
      <c r="BR124" t="s">
        <v>106</v>
      </c>
      <c r="BS124" t="s">
        <v>2780</v>
      </c>
      <c r="BT124" t="str">
        <f>HYPERLINK("https%3A%2F%2Fwww.webofscience.com%2Fwos%2Fwoscc%2Ffull-record%2FWOS:000455947000102","View Full Record in Web of Science")</f>
        <v>View Full Record in Web of Science</v>
      </c>
    </row>
    <row r="125" spans="1:72" x14ac:dyDescent="0.25">
      <c r="A125" t="s">
        <v>108</v>
      </c>
      <c r="B125" t="s">
        <v>2781</v>
      </c>
      <c r="C125" t="s">
        <v>74</v>
      </c>
      <c r="D125" t="s">
        <v>74</v>
      </c>
      <c r="E125" t="s">
        <v>465</v>
      </c>
      <c r="F125" t="s">
        <v>2782</v>
      </c>
      <c r="G125" t="s">
        <v>74</v>
      </c>
      <c r="H125" t="s">
        <v>74</v>
      </c>
      <c r="I125" t="s">
        <v>2783</v>
      </c>
      <c r="J125" t="s">
        <v>2784</v>
      </c>
      <c r="K125" t="s">
        <v>74</v>
      </c>
      <c r="L125" t="s">
        <v>74</v>
      </c>
      <c r="M125" t="s">
        <v>78</v>
      </c>
      <c r="N125" t="s">
        <v>115</v>
      </c>
      <c r="O125" t="s">
        <v>2785</v>
      </c>
      <c r="P125" t="s">
        <v>2786</v>
      </c>
      <c r="Q125" t="s">
        <v>2787</v>
      </c>
      <c r="R125" t="s">
        <v>2788</v>
      </c>
      <c r="S125" t="s">
        <v>2789</v>
      </c>
      <c r="T125" t="s">
        <v>2790</v>
      </c>
      <c r="U125" t="s">
        <v>74</v>
      </c>
      <c r="V125" t="s">
        <v>2791</v>
      </c>
      <c r="W125" t="s">
        <v>2792</v>
      </c>
      <c r="X125" t="s">
        <v>2793</v>
      </c>
      <c r="Y125" t="s">
        <v>2794</v>
      </c>
      <c r="Z125" t="s">
        <v>2795</v>
      </c>
      <c r="AA125" t="s">
        <v>74</v>
      </c>
      <c r="AB125" t="s">
        <v>74</v>
      </c>
      <c r="AC125" t="s">
        <v>74</v>
      </c>
      <c r="AD125" t="s">
        <v>74</v>
      </c>
      <c r="AE125" t="s">
        <v>74</v>
      </c>
      <c r="AF125" t="s">
        <v>74</v>
      </c>
      <c r="AG125">
        <v>6</v>
      </c>
      <c r="AH125">
        <v>3</v>
      </c>
      <c r="AI125">
        <v>3</v>
      </c>
      <c r="AJ125">
        <v>0</v>
      </c>
      <c r="AK125">
        <v>1</v>
      </c>
      <c r="AL125" t="s">
        <v>465</v>
      </c>
      <c r="AM125" t="s">
        <v>92</v>
      </c>
      <c r="AN125" t="s">
        <v>480</v>
      </c>
      <c r="AO125" t="s">
        <v>74</v>
      </c>
      <c r="AP125" t="s">
        <v>74</v>
      </c>
      <c r="AQ125" t="s">
        <v>2796</v>
      </c>
      <c r="AR125" t="s">
        <v>74</v>
      </c>
      <c r="AS125" t="s">
        <v>74</v>
      </c>
      <c r="AT125" t="s">
        <v>74</v>
      </c>
      <c r="AU125">
        <v>2015</v>
      </c>
      <c r="AV125" t="s">
        <v>74</v>
      </c>
      <c r="AW125" t="s">
        <v>74</v>
      </c>
      <c r="AX125" t="s">
        <v>74</v>
      </c>
      <c r="AY125" t="s">
        <v>74</v>
      </c>
      <c r="AZ125" t="s">
        <v>74</v>
      </c>
      <c r="BA125" t="s">
        <v>74</v>
      </c>
      <c r="BB125">
        <v>181</v>
      </c>
      <c r="BC125">
        <v>185</v>
      </c>
      <c r="BD125" t="s">
        <v>74</v>
      </c>
      <c r="BE125" t="s">
        <v>74</v>
      </c>
      <c r="BF125" t="s">
        <v>74</v>
      </c>
      <c r="BG125" t="s">
        <v>74</v>
      </c>
      <c r="BH125" t="s">
        <v>74</v>
      </c>
      <c r="BI125">
        <v>5</v>
      </c>
      <c r="BJ125" t="s">
        <v>972</v>
      </c>
      <c r="BK125" t="s">
        <v>203</v>
      </c>
      <c r="BL125" t="s">
        <v>953</v>
      </c>
      <c r="BM125" t="s">
        <v>2797</v>
      </c>
      <c r="BN125" t="s">
        <v>74</v>
      </c>
      <c r="BO125" t="s">
        <v>74</v>
      </c>
      <c r="BP125" t="s">
        <v>74</v>
      </c>
      <c r="BQ125" t="s">
        <v>74</v>
      </c>
      <c r="BR125" t="s">
        <v>106</v>
      </c>
      <c r="BS125" t="s">
        <v>2798</v>
      </c>
      <c r="BT125" t="str">
        <f>HYPERLINK("https%3A%2F%2Fwww.webofscience.com%2Fwos%2Fwoscc%2Ffull-record%2FWOS:000386604900029","View Full Record in Web of Science")</f>
        <v>View Full Record in Web of Science</v>
      </c>
    </row>
    <row r="126" spans="1:72" x14ac:dyDescent="0.25">
      <c r="A126" t="s">
        <v>108</v>
      </c>
      <c r="B126" t="s">
        <v>2799</v>
      </c>
      <c r="C126" t="s">
        <v>74</v>
      </c>
      <c r="D126" t="s">
        <v>2800</v>
      </c>
      <c r="E126" t="s">
        <v>74</v>
      </c>
      <c r="F126" t="s">
        <v>2801</v>
      </c>
      <c r="G126" t="s">
        <v>74</v>
      </c>
      <c r="H126" t="s">
        <v>74</v>
      </c>
      <c r="I126" t="s">
        <v>2802</v>
      </c>
      <c r="J126" t="s">
        <v>2803</v>
      </c>
      <c r="K126" t="s">
        <v>74</v>
      </c>
      <c r="L126" t="s">
        <v>74</v>
      </c>
      <c r="M126" t="s">
        <v>78</v>
      </c>
      <c r="N126" t="s">
        <v>115</v>
      </c>
      <c r="O126" t="s">
        <v>2804</v>
      </c>
      <c r="P126" t="s">
        <v>2805</v>
      </c>
      <c r="Q126" t="s">
        <v>2806</v>
      </c>
      <c r="R126" t="s">
        <v>465</v>
      </c>
      <c r="S126" t="s">
        <v>74</v>
      </c>
      <c r="T126" t="s">
        <v>74</v>
      </c>
      <c r="U126" t="s">
        <v>74</v>
      </c>
      <c r="V126" t="s">
        <v>2807</v>
      </c>
      <c r="W126" t="s">
        <v>2808</v>
      </c>
      <c r="X126" t="s">
        <v>2809</v>
      </c>
      <c r="Y126" t="s">
        <v>2810</v>
      </c>
      <c r="Z126" t="s">
        <v>2811</v>
      </c>
      <c r="AA126" t="s">
        <v>74</v>
      </c>
      <c r="AB126" t="s">
        <v>74</v>
      </c>
      <c r="AC126" t="s">
        <v>74</v>
      </c>
      <c r="AD126" t="s">
        <v>74</v>
      </c>
      <c r="AE126" t="s">
        <v>74</v>
      </c>
      <c r="AF126" t="s">
        <v>74</v>
      </c>
      <c r="AG126">
        <v>25</v>
      </c>
      <c r="AH126">
        <v>0</v>
      </c>
      <c r="AI126">
        <v>1</v>
      </c>
      <c r="AJ126">
        <v>0</v>
      </c>
      <c r="AK126">
        <v>1</v>
      </c>
      <c r="AL126" t="s">
        <v>465</v>
      </c>
      <c r="AM126" t="s">
        <v>92</v>
      </c>
      <c r="AN126" t="s">
        <v>480</v>
      </c>
      <c r="AO126" t="s">
        <v>74</v>
      </c>
      <c r="AP126" t="s">
        <v>74</v>
      </c>
      <c r="AQ126" t="s">
        <v>2812</v>
      </c>
      <c r="AR126" t="s">
        <v>74</v>
      </c>
      <c r="AS126" t="s">
        <v>74</v>
      </c>
      <c r="AT126" t="s">
        <v>74</v>
      </c>
      <c r="AU126">
        <v>2017</v>
      </c>
      <c r="AV126" t="s">
        <v>74</v>
      </c>
      <c r="AW126" t="s">
        <v>74</v>
      </c>
      <c r="AX126" t="s">
        <v>74</v>
      </c>
      <c r="AY126" t="s">
        <v>74</v>
      </c>
      <c r="AZ126" t="s">
        <v>74</v>
      </c>
      <c r="BA126" t="s">
        <v>74</v>
      </c>
      <c r="BB126">
        <v>1379</v>
      </c>
      <c r="BC126">
        <v>1384</v>
      </c>
      <c r="BD126" t="s">
        <v>74</v>
      </c>
      <c r="BE126" t="s">
        <v>74</v>
      </c>
      <c r="BF126" t="s">
        <v>74</v>
      </c>
      <c r="BG126" t="s">
        <v>74</v>
      </c>
      <c r="BH126" t="s">
        <v>74</v>
      </c>
      <c r="BI126">
        <v>6</v>
      </c>
      <c r="BJ126" t="s">
        <v>2813</v>
      </c>
      <c r="BK126" t="s">
        <v>203</v>
      </c>
      <c r="BL126" t="s">
        <v>903</v>
      </c>
      <c r="BM126" t="s">
        <v>2814</v>
      </c>
      <c r="BN126" t="s">
        <v>74</v>
      </c>
      <c r="BO126" t="s">
        <v>74</v>
      </c>
      <c r="BP126" t="s">
        <v>74</v>
      </c>
      <c r="BQ126" t="s">
        <v>74</v>
      </c>
      <c r="BR126" t="s">
        <v>106</v>
      </c>
      <c r="BS126" t="s">
        <v>2815</v>
      </c>
      <c r="BT126" t="str">
        <f>HYPERLINK("https%3A%2F%2Fwww.webofscience.com%2Fwos%2Fwoscc%2Ffull-record%2FWOS:000426903800240","View Full Record in Web of Science")</f>
        <v>View Full Record in Web of Science</v>
      </c>
    </row>
    <row r="127" spans="1:72" x14ac:dyDescent="0.25">
      <c r="A127" t="s">
        <v>108</v>
      </c>
      <c r="B127" t="s">
        <v>2816</v>
      </c>
      <c r="C127" t="s">
        <v>74</v>
      </c>
      <c r="D127" t="s">
        <v>74</v>
      </c>
      <c r="E127" t="s">
        <v>465</v>
      </c>
      <c r="F127" t="s">
        <v>2817</v>
      </c>
      <c r="G127" t="s">
        <v>74</v>
      </c>
      <c r="H127" t="s">
        <v>74</v>
      </c>
      <c r="I127" t="s">
        <v>2818</v>
      </c>
      <c r="J127" t="s">
        <v>2819</v>
      </c>
      <c r="K127" t="s">
        <v>74</v>
      </c>
      <c r="L127" t="s">
        <v>74</v>
      </c>
      <c r="M127" t="s">
        <v>78</v>
      </c>
      <c r="N127" t="s">
        <v>115</v>
      </c>
      <c r="O127" t="s">
        <v>2820</v>
      </c>
      <c r="P127" t="s">
        <v>2821</v>
      </c>
      <c r="Q127" t="s">
        <v>2822</v>
      </c>
      <c r="R127" t="s">
        <v>2823</v>
      </c>
      <c r="S127" t="s">
        <v>74</v>
      </c>
      <c r="T127" t="s">
        <v>2824</v>
      </c>
      <c r="U127" t="s">
        <v>2825</v>
      </c>
      <c r="V127" t="s">
        <v>2826</v>
      </c>
      <c r="W127" t="s">
        <v>2827</v>
      </c>
      <c r="X127" t="s">
        <v>2828</v>
      </c>
      <c r="Y127" t="s">
        <v>2829</v>
      </c>
      <c r="Z127" t="s">
        <v>2830</v>
      </c>
      <c r="AA127" t="s">
        <v>2831</v>
      </c>
      <c r="AB127" t="s">
        <v>74</v>
      </c>
      <c r="AC127" t="s">
        <v>2832</v>
      </c>
      <c r="AD127" t="s">
        <v>2833</v>
      </c>
      <c r="AE127" t="s">
        <v>2834</v>
      </c>
      <c r="AF127" t="s">
        <v>74</v>
      </c>
      <c r="AG127">
        <v>26</v>
      </c>
      <c r="AH127">
        <v>1</v>
      </c>
      <c r="AI127">
        <v>1</v>
      </c>
      <c r="AJ127">
        <v>0</v>
      </c>
      <c r="AK127">
        <v>0</v>
      </c>
      <c r="AL127" t="s">
        <v>465</v>
      </c>
      <c r="AM127" t="s">
        <v>92</v>
      </c>
      <c r="AN127" t="s">
        <v>480</v>
      </c>
      <c r="AO127" t="s">
        <v>74</v>
      </c>
      <c r="AP127" t="s">
        <v>74</v>
      </c>
      <c r="AQ127" t="s">
        <v>2835</v>
      </c>
      <c r="AR127" t="s">
        <v>74</v>
      </c>
      <c r="AS127" t="s">
        <v>74</v>
      </c>
      <c r="AT127" t="s">
        <v>74</v>
      </c>
      <c r="AU127">
        <v>2025</v>
      </c>
      <c r="AV127" t="s">
        <v>74</v>
      </c>
      <c r="AW127" t="s">
        <v>74</v>
      </c>
      <c r="AX127" t="s">
        <v>74</v>
      </c>
      <c r="AY127" t="s">
        <v>74</v>
      </c>
      <c r="AZ127" t="s">
        <v>74</v>
      </c>
      <c r="BA127" t="s">
        <v>74</v>
      </c>
      <c r="BB127" t="s">
        <v>74</v>
      </c>
      <c r="BC127" t="s">
        <v>74</v>
      </c>
      <c r="BD127">
        <v>1814</v>
      </c>
      <c r="BE127" t="s">
        <v>2836</v>
      </c>
      <c r="BF127" t="str">
        <f>HYPERLINK("http://dx.doi.org/10.1109/ICICKE65317.2025.11136672","http://dx.doi.org/10.1109/ICICKE65317.2025.11136672")</f>
        <v>http://dx.doi.org/10.1109/ICICKE65317.2025.11136672</v>
      </c>
      <c r="BG127" t="s">
        <v>74</v>
      </c>
      <c r="BH127" t="s">
        <v>74</v>
      </c>
      <c r="BI127">
        <v>7</v>
      </c>
      <c r="BJ127" t="s">
        <v>2837</v>
      </c>
      <c r="BK127" t="s">
        <v>203</v>
      </c>
      <c r="BL127" t="s">
        <v>103</v>
      </c>
      <c r="BM127" t="s">
        <v>2838</v>
      </c>
      <c r="BN127" t="s">
        <v>74</v>
      </c>
      <c r="BO127" t="s">
        <v>74</v>
      </c>
      <c r="BP127" t="s">
        <v>74</v>
      </c>
      <c r="BQ127" t="s">
        <v>74</v>
      </c>
      <c r="BR127" t="s">
        <v>106</v>
      </c>
      <c r="BS127" t="s">
        <v>2839</v>
      </c>
      <c r="BT127" t="str">
        <f>HYPERLINK("https%3A%2F%2Fwww.webofscience.com%2Fwos%2Fwoscc%2Ffull-record%2FWOS:001575314000215","View Full Record in Web of Science")</f>
        <v>View Full Record in Web of Science</v>
      </c>
    </row>
    <row r="128" spans="1:72" x14ac:dyDescent="0.25">
      <c r="A128" t="s">
        <v>108</v>
      </c>
      <c r="B128" t="s">
        <v>2840</v>
      </c>
      <c r="C128" t="s">
        <v>74</v>
      </c>
      <c r="D128" t="s">
        <v>74</v>
      </c>
      <c r="E128" t="s">
        <v>322</v>
      </c>
      <c r="F128" t="s">
        <v>2841</v>
      </c>
      <c r="G128" t="s">
        <v>74</v>
      </c>
      <c r="H128" t="s">
        <v>74</v>
      </c>
      <c r="I128" t="s">
        <v>2842</v>
      </c>
      <c r="J128" t="s">
        <v>2843</v>
      </c>
      <c r="K128" t="s">
        <v>74</v>
      </c>
      <c r="L128" t="s">
        <v>74</v>
      </c>
      <c r="M128" t="s">
        <v>78</v>
      </c>
      <c r="N128" t="s">
        <v>115</v>
      </c>
      <c r="O128" t="s">
        <v>2844</v>
      </c>
      <c r="P128" t="s">
        <v>2845</v>
      </c>
      <c r="Q128" t="s">
        <v>1847</v>
      </c>
      <c r="R128" t="s">
        <v>2846</v>
      </c>
      <c r="S128" t="s">
        <v>74</v>
      </c>
      <c r="T128" t="s">
        <v>2847</v>
      </c>
      <c r="U128" t="s">
        <v>74</v>
      </c>
      <c r="V128" t="s">
        <v>2848</v>
      </c>
      <c r="W128" t="s">
        <v>2849</v>
      </c>
      <c r="X128" t="s">
        <v>2850</v>
      </c>
      <c r="Y128" t="s">
        <v>2851</v>
      </c>
      <c r="Z128" t="s">
        <v>2852</v>
      </c>
      <c r="AA128" t="s">
        <v>2853</v>
      </c>
      <c r="AB128" t="s">
        <v>74</v>
      </c>
      <c r="AC128" t="s">
        <v>74</v>
      </c>
      <c r="AD128" t="s">
        <v>74</v>
      </c>
      <c r="AE128" t="s">
        <v>74</v>
      </c>
      <c r="AF128" t="s">
        <v>74</v>
      </c>
      <c r="AG128">
        <v>7</v>
      </c>
      <c r="AH128">
        <v>2</v>
      </c>
      <c r="AI128">
        <v>3</v>
      </c>
      <c r="AJ128">
        <v>0</v>
      </c>
      <c r="AK128">
        <v>2</v>
      </c>
      <c r="AL128" t="s">
        <v>291</v>
      </c>
      <c r="AM128" t="s">
        <v>92</v>
      </c>
      <c r="AN128" t="s">
        <v>292</v>
      </c>
      <c r="AO128" t="s">
        <v>74</v>
      </c>
      <c r="AP128" t="s">
        <v>74</v>
      </c>
      <c r="AQ128" t="s">
        <v>2854</v>
      </c>
      <c r="AR128" t="s">
        <v>74</v>
      </c>
      <c r="AS128" t="s">
        <v>74</v>
      </c>
      <c r="AT128" t="s">
        <v>74</v>
      </c>
      <c r="AU128">
        <v>2013</v>
      </c>
      <c r="AV128" t="s">
        <v>74</v>
      </c>
      <c r="AW128" t="s">
        <v>74</v>
      </c>
      <c r="AX128" t="s">
        <v>74</v>
      </c>
      <c r="AY128" t="s">
        <v>74</v>
      </c>
      <c r="AZ128" t="s">
        <v>74</v>
      </c>
      <c r="BA128" t="s">
        <v>74</v>
      </c>
      <c r="BB128">
        <v>1869</v>
      </c>
      <c r="BC128">
        <v>1872</v>
      </c>
      <c r="BD128" t="s">
        <v>74</v>
      </c>
      <c r="BE128" t="s">
        <v>2855</v>
      </c>
      <c r="BF128" t="str">
        <f>HYPERLINK("http://dx.doi.org/10.1145/2505515.2507883","http://dx.doi.org/10.1145/2505515.2507883")</f>
        <v>http://dx.doi.org/10.1145/2505515.2507883</v>
      </c>
      <c r="BG128" t="s">
        <v>74</v>
      </c>
      <c r="BH128" t="s">
        <v>74</v>
      </c>
      <c r="BI128">
        <v>4</v>
      </c>
      <c r="BJ128" t="s">
        <v>202</v>
      </c>
      <c r="BK128" t="s">
        <v>203</v>
      </c>
      <c r="BL128" t="s">
        <v>103</v>
      </c>
      <c r="BM128" t="s">
        <v>2856</v>
      </c>
      <c r="BN128" t="s">
        <v>74</v>
      </c>
      <c r="BO128" t="s">
        <v>74</v>
      </c>
      <c r="BP128" t="s">
        <v>74</v>
      </c>
      <c r="BQ128" t="s">
        <v>74</v>
      </c>
      <c r="BR128" t="s">
        <v>106</v>
      </c>
      <c r="BS128" t="s">
        <v>2857</v>
      </c>
      <c r="BT128" t="str">
        <f>HYPERLINK("https%3A%2F%2Fwww.webofscience.com%2Fwos%2Fwoscc%2Ffull-record%2FWOS:000722225900261","View Full Record in Web of Science")</f>
        <v>View Full Record in Web of Science</v>
      </c>
    </row>
    <row r="129" spans="1:72" x14ac:dyDescent="0.25">
      <c r="A129" t="s">
        <v>72</v>
      </c>
      <c r="B129" t="s">
        <v>2858</v>
      </c>
      <c r="C129" t="s">
        <v>74</v>
      </c>
      <c r="D129" t="s">
        <v>74</v>
      </c>
      <c r="E129" t="s">
        <v>74</v>
      </c>
      <c r="F129" t="s">
        <v>2859</v>
      </c>
      <c r="G129" t="s">
        <v>74</v>
      </c>
      <c r="H129" t="s">
        <v>74</v>
      </c>
      <c r="I129" t="s">
        <v>2860</v>
      </c>
      <c r="J129" t="s">
        <v>2861</v>
      </c>
      <c r="K129" t="s">
        <v>74</v>
      </c>
      <c r="L129" t="s">
        <v>74</v>
      </c>
      <c r="M129" t="s">
        <v>78</v>
      </c>
      <c r="N129" t="s">
        <v>79</v>
      </c>
      <c r="O129" t="s">
        <v>74</v>
      </c>
      <c r="P129" t="s">
        <v>74</v>
      </c>
      <c r="Q129" t="s">
        <v>74</v>
      </c>
      <c r="R129" t="s">
        <v>74</v>
      </c>
      <c r="S129" t="s">
        <v>74</v>
      </c>
      <c r="T129" t="s">
        <v>74</v>
      </c>
      <c r="U129" t="s">
        <v>74</v>
      </c>
      <c r="V129" t="s">
        <v>2862</v>
      </c>
      <c r="W129" t="s">
        <v>2863</v>
      </c>
      <c r="X129" t="s">
        <v>866</v>
      </c>
      <c r="Y129" t="s">
        <v>2864</v>
      </c>
      <c r="Z129" t="s">
        <v>2865</v>
      </c>
      <c r="AA129" t="s">
        <v>74</v>
      </c>
      <c r="AB129" t="s">
        <v>2866</v>
      </c>
      <c r="AC129" t="s">
        <v>2867</v>
      </c>
      <c r="AD129" t="s">
        <v>2868</v>
      </c>
      <c r="AE129" t="s">
        <v>2869</v>
      </c>
      <c r="AF129" t="s">
        <v>74</v>
      </c>
      <c r="AG129">
        <v>42</v>
      </c>
      <c r="AH129">
        <v>5</v>
      </c>
      <c r="AI129">
        <v>5</v>
      </c>
      <c r="AJ129">
        <v>0</v>
      </c>
      <c r="AK129">
        <v>12</v>
      </c>
      <c r="AL129" t="s">
        <v>2870</v>
      </c>
      <c r="AM129" t="s">
        <v>1320</v>
      </c>
      <c r="AN129" t="s">
        <v>2871</v>
      </c>
      <c r="AO129" t="s">
        <v>2872</v>
      </c>
      <c r="AP129" t="s">
        <v>2873</v>
      </c>
      <c r="AQ129" t="s">
        <v>74</v>
      </c>
      <c r="AR129" t="s">
        <v>2874</v>
      </c>
      <c r="AS129" t="s">
        <v>2875</v>
      </c>
      <c r="AT129" t="s">
        <v>2876</v>
      </c>
      <c r="AU129">
        <v>2021</v>
      </c>
      <c r="AV129">
        <v>2021</v>
      </c>
      <c r="AW129" t="s">
        <v>74</v>
      </c>
      <c r="AX129" t="s">
        <v>74</v>
      </c>
      <c r="AY129" t="s">
        <v>74</v>
      </c>
      <c r="AZ129" t="s">
        <v>74</v>
      </c>
      <c r="BA129" t="s">
        <v>74</v>
      </c>
      <c r="BB129" t="s">
        <v>74</v>
      </c>
      <c r="BC129" t="s">
        <v>74</v>
      </c>
      <c r="BD129">
        <v>6653430</v>
      </c>
      <c r="BE129" t="s">
        <v>2877</v>
      </c>
      <c r="BF129" t="str">
        <f>HYPERLINK("http://dx.doi.org/10.1155/2021/6653430","http://dx.doi.org/10.1155/2021/6653430")</f>
        <v>http://dx.doi.org/10.1155/2021/6653430</v>
      </c>
      <c r="BG129" t="s">
        <v>74</v>
      </c>
      <c r="BH129" t="s">
        <v>74</v>
      </c>
      <c r="BI129">
        <v>14</v>
      </c>
      <c r="BJ129" t="s">
        <v>2674</v>
      </c>
      <c r="BK129" t="s">
        <v>902</v>
      </c>
      <c r="BL129" t="s">
        <v>2422</v>
      </c>
      <c r="BM129" t="s">
        <v>2878</v>
      </c>
      <c r="BN129" t="s">
        <v>74</v>
      </c>
      <c r="BO129" t="s">
        <v>105</v>
      </c>
      <c r="BP129" t="s">
        <v>74</v>
      </c>
      <c r="BQ129" t="s">
        <v>74</v>
      </c>
      <c r="BR129" t="s">
        <v>106</v>
      </c>
      <c r="BS129" t="s">
        <v>2879</v>
      </c>
      <c r="BT129" t="str">
        <f>HYPERLINK("https%3A%2F%2Fwww.webofscience.com%2Fwos%2Fwoscc%2Ffull-record%2FWOS:000665875900001","View Full Record in Web of Science")</f>
        <v>View Full Record in Web of Science</v>
      </c>
    </row>
    <row r="130" spans="1:72" x14ac:dyDescent="0.25">
      <c r="A130" t="s">
        <v>108</v>
      </c>
      <c r="B130" t="s">
        <v>2880</v>
      </c>
      <c r="C130" t="s">
        <v>74</v>
      </c>
      <c r="D130" t="s">
        <v>2881</v>
      </c>
      <c r="E130" t="s">
        <v>74</v>
      </c>
      <c r="F130" t="s">
        <v>2882</v>
      </c>
      <c r="G130" t="s">
        <v>74</v>
      </c>
      <c r="H130" t="s">
        <v>74</v>
      </c>
      <c r="I130" t="s">
        <v>2883</v>
      </c>
      <c r="J130" t="s">
        <v>2884</v>
      </c>
      <c r="K130" t="s">
        <v>790</v>
      </c>
      <c r="L130" t="s">
        <v>74</v>
      </c>
      <c r="M130" t="s">
        <v>78</v>
      </c>
      <c r="N130" t="s">
        <v>115</v>
      </c>
      <c r="O130" t="s">
        <v>2885</v>
      </c>
      <c r="P130" t="s">
        <v>2886</v>
      </c>
      <c r="Q130" t="s">
        <v>2887</v>
      </c>
      <c r="R130" t="s">
        <v>74</v>
      </c>
      <c r="S130" t="s">
        <v>74</v>
      </c>
      <c r="T130" t="s">
        <v>2888</v>
      </c>
      <c r="U130" t="s">
        <v>2889</v>
      </c>
      <c r="V130" t="s">
        <v>2890</v>
      </c>
      <c r="W130" t="s">
        <v>2891</v>
      </c>
      <c r="X130" t="s">
        <v>1662</v>
      </c>
      <c r="Y130" t="s">
        <v>2892</v>
      </c>
      <c r="Z130" t="s">
        <v>2893</v>
      </c>
      <c r="AA130" t="s">
        <v>2894</v>
      </c>
      <c r="AB130" t="s">
        <v>2895</v>
      </c>
      <c r="AC130" t="s">
        <v>2896</v>
      </c>
      <c r="AD130" t="s">
        <v>2897</v>
      </c>
      <c r="AE130" t="s">
        <v>2898</v>
      </c>
      <c r="AF130" t="s">
        <v>74</v>
      </c>
      <c r="AG130">
        <v>14</v>
      </c>
      <c r="AH130">
        <v>0</v>
      </c>
      <c r="AI130">
        <v>1</v>
      </c>
      <c r="AJ130">
        <v>0</v>
      </c>
      <c r="AK130">
        <v>1</v>
      </c>
      <c r="AL130" t="s">
        <v>129</v>
      </c>
      <c r="AM130" t="s">
        <v>130</v>
      </c>
      <c r="AN130" t="s">
        <v>131</v>
      </c>
      <c r="AO130" t="s">
        <v>803</v>
      </c>
      <c r="AP130" t="s">
        <v>1233</v>
      </c>
      <c r="AQ130" t="s">
        <v>2899</v>
      </c>
      <c r="AR130" t="s">
        <v>2900</v>
      </c>
      <c r="AS130" t="s">
        <v>74</v>
      </c>
      <c r="AT130" t="s">
        <v>74</v>
      </c>
      <c r="AU130">
        <v>2018</v>
      </c>
      <c r="AV130">
        <v>745</v>
      </c>
      <c r="AW130" t="s">
        <v>74</v>
      </c>
      <c r="AX130" t="s">
        <v>74</v>
      </c>
      <c r="AY130" t="s">
        <v>74</v>
      </c>
      <c r="AZ130" t="s">
        <v>74</v>
      </c>
      <c r="BA130" t="s">
        <v>74</v>
      </c>
      <c r="BB130">
        <v>490</v>
      </c>
      <c r="BC130">
        <v>497</v>
      </c>
      <c r="BD130" t="s">
        <v>74</v>
      </c>
      <c r="BE130" t="s">
        <v>2901</v>
      </c>
      <c r="BF130" t="str">
        <f>HYPERLINK("http://dx.doi.org/10.1007/978-3-319-77703-0_48","http://dx.doi.org/10.1007/978-3-319-77703-0_48")</f>
        <v>http://dx.doi.org/10.1007/978-3-319-77703-0_48</v>
      </c>
      <c r="BG130" t="s">
        <v>74</v>
      </c>
      <c r="BH130" t="s">
        <v>74</v>
      </c>
      <c r="BI130">
        <v>8</v>
      </c>
      <c r="BJ130" t="s">
        <v>2902</v>
      </c>
      <c r="BK130" t="s">
        <v>203</v>
      </c>
      <c r="BL130" t="s">
        <v>103</v>
      </c>
      <c r="BM130" t="s">
        <v>2903</v>
      </c>
      <c r="BN130" t="s">
        <v>74</v>
      </c>
      <c r="BO130" t="s">
        <v>74</v>
      </c>
      <c r="BP130" t="s">
        <v>74</v>
      </c>
      <c r="BQ130" t="s">
        <v>74</v>
      </c>
      <c r="BR130" t="s">
        <v>106</v>
      </c>
      <c r="BS130" t="s">
        <v>2904</v>
      </c>
      <c r="BT130" t="str">
        <f>HYPERLINK("https%3A%2F%2Fwww.webofscience.com%2Fwos%2Fwoscc%2Ffull-record%2FWOS:001299716300048","View Full Record in Web of Science")</f>
        <v>View Full Record in Web of Science</v>
      </c>
    </row>
    <row r="131" spans="1:72" x14ac:dyDescent="0.25">
      <c r="A131" t="s">
        <v>108</v>
      </c>
      <c r="B131" t="s">
        <v>2905</v>
      </c>
      <c r="C131" t="s">
        <v>74</v>
      </c>
      <c r="D131" t="s">
        <v>74</v>
      </c>
      <c r="E131" t="s">
        <v>465</v>
      </c>
      <c r="F131" t="s">
        <v>2906</v>
      </c>
      <c r="G131" t="s">
        <v>74</v>
      </c>
      <c r="H131" t="s">
        <v>74</v>
      </c>
      <c r="I131" t="s">
        <v>2907</v>
      </c>
      <c r="J131" t="s">
        <v>468</v>
      </c>
      <c r="K131" t="s">
        <v>469</v>
      </c>
      <c r="L131" t="s">
        <v>74</v>
      </c>
      <c r="M131" t="s">
        <v>78</v>
      </c>
      <c r="N131" t="s">
        <v>115</v>
      </c>
      <c r="O131" t="s">
        <v>470</v>
      </c>
      <c r="P131" t="s">
        <v>471</v>
      </c>
      <c r="Q131" t="s">
        <v>472</v>
      </c>
      <c r="R131" t="s">
        <v>473</v>
      </c>
      <c r="S131" t="s">
        <v>74</v>
      </c>
      <c r="T131" t="s">
        <v>2908</v>
      </c>
      <c r="U131" t="s">
        <v>74</v>
      </c>
      <c r="V131" t="s">
        <v>2909</v>
      </c>
      <c r="W131" t="s">
        <v>2910</v>
      </c>
      <c r="X131" t="s">
        <v>2911</v>
      </c>
      <c r="Y131" t="s">
        <v>2912</v>
      </c>
      <c r="Z131" t="s">
        <v>2913</v>
      </c>
      <c r="AA131" t="s">
        <v>2914</v>
      </c>
      <c r="AB131" t="s">
        <v>74</v>
      </c>
      <c r="AC131" t="s">
        <v>74</v>
      </c>
      <c r="AD131" t="s">
        <v>74</v>
      </c>
      <c r="AE131" t="s">
        <v>74</v>
      </c>
      <c r="AF131" t="s">
        <v>74</v>
      </c>
      <c r="AG131">
        <v>40</v>
      </c>
      <c r="AH131">
        <v>0</v>
      </c>
      <c r="AI131">
        <v>0</v>
      </c>
      <c r="AJ131">
        <v>2</v>
      </c>
      <c r="AK131">
        <v>2</v>
      </c>
      <c r="AL131" t="s">
        <v>465</v>
      </c>
      <c r="AM131" t="s">
        <v>92</v>
      </c>
      <c r="AN131" t="s">
        <v>480</v>
      </c>
      <c r="AO131" t="s">
        <v>481</v>
      </c>
      <c r="AP131" t="s">
        <v>74</v>
      </c>
      <c r="AQ131" t="s">
        <v>482</v>
      </c>
      <c r="AR131" t="s">
        <v>483</v>
      </c>
      <c r="AS131" t="s">
        <v>74</v>
      </c>
      <c r="AT131" t="s">
        <v>74</v>
      </c>
      <c r="AU131">
        <v>2025</v>
      </c>
      <c r="AV131" t="s">
        <v>74</v>
      </c>
      <c r="AW131" t="s">
        <v>74</v>
      </c>
      <c r="AX131" t="s">
        <v>74</v>
      </c>
      <c r="AY131" t="s">
        <v>74</v>
      </c>
      <c r="AZ131" t="s">
        <v>74</v>
      </c>
      <c r="BA131" t="s">
        <v>74</v>
      </c>
      <c r="BB131" t="s">
        <v>74</v>
      </c>
      <c r="BC131" t="s">
        <v>74</v>
      </c>
      <c r="BD131" t="s">
        <v>74</v>
      </c>
      <c r="BE131" t="s">
        <v>2915</v>
      </c>
      <c r="BF131" t="str">
        <f>HYPERLINK("http://dx.doi.org/10.1109/WEEF-GEDC66748.2025.11256242","http://dx.doi.org/10.1109/WEEF-GEDC66748.2025.11256242")</f>
        <v>http://dx.doi.org/10.1109/WEEF-GEDC66748.2025.11256242</v>
      </c>
      <c r="BG131" t="s">
        <v>74</v>
      </c>
      <c r="BH131" t="s">
        <v>74</v>
      </c>
      <c r="BI131">
        <v>7</v>
      </c>
      <c r="BJ131" t="s">
        <v>485</v>
      </c>
      <c r="BK131" t="s">
        <v>203</v>
      </c>
      <c r="BL131" t="s">
        <v>486</v>
      </c>
      <c r="BM131" t="s">
        <v>487</v>
      </c>
      <c r="BN131" t="s">
        <v>74</v>
      </c>
      <c r="BO131" t="s">
        <v>74</v>
      </c>
      <c r="BP131" t="s">
        <v>74</v>
      </c>
      <c r="BQ131" t="s">
        <v>74</v>
      </c>
      <c r="BR131" t="s">
        <v>106</v>
      </c>
      <c r="BS131" t="s">
        <v>2916</v>
      </c>
      <c r="BT131" t="str">
        <f>HYPERLINK("https%3A%2F%2Fwww.webofscience.com%2Fwos%2Fwoscc%2Ffull-record%2FWOS:001669704400018","View Full Record in Web of Science")</f>
        <v>View Full Record in Web of Science</v>
      </c>
    </row>
    <row r="132" spans="1:72" x14ac:dyDescent="0.25">
      <c r="A132" t="s">
        <v>72</v>
      </c>
      <c r="B132" t="s">
        <v>2917</v>
      </c>
      <c r="C132" t="s">
        <v>74</v>
      </c>
      <c r="D132" t="s">
        <v>74</v>
      </c>
      <c r="E132" t="s">
        <v>74</v>
      </c>
      <c r="F132" t="s">
        <v>2918</v>
      </c>
      <c r="G132" t="s">
        <v>74</v>
      </c>
      <c r="H132" t="s">
        <v>74</v>
      </c>
      <c r="I132" t="s">
        <v>2919</v>
      </c>
      <c r="J132" t="s">
        <v>377</v>
      </c>
      <c r="K132" t="s">
        <v>74</v>
      </c>
      <c r="L132" t="s">
        <v>74</v>
      </c>
      <c r="M132" t="s">
        <v>78</v>
      </c>
      <c r="N132" t="s">
        <v>79</v>
      </c>
      <c r="O132" t="s">
        <v>74</v>
      </c>
      <c r="P132" t="s">
        <v>74</v>
      </c>
      <c r="Q132" t="s">
        <v>74</v>
      </c>
      <c r="R132" t="s">
        <v>74</v>
      </c>
      <c r="S132" t="s">
        <v>74</v>
      </c>
      <c r="T132" t="s">
        <v>2920</v>
      </c>
      <c r="U132" t="s">
        <v>2921</v>
      </c>
      <c r="V132" t="s">
        <v>2922</v>
      </c>
      <c r="W132" t="s">
        <v>2923</v>
      </c>
      <c r="X132" t="s">
        <v>2924</v>
      </c>
      <c r="Y132" t="s">
        <v>2925</v>
      </c>
      <c r="Z132" t="s">
        <v>2926</v>
      </c>
      <c r="AA132" t="s">
        <v>2927</v>
      </c>
      <c r="AB132" t="s">
        <v>2928</v>
      </c>
      <c r="AC132" t="s">
        <v>2929</v>
      </c>
      <c r="AD132" t="s">
        <v>2929</v>
      </c>
      <c r="AE132" t="s">
        <v>2930</v>
      </c>
      <c r="AF132" t="s">
        <v>74</v>
      </c>
      <c r="AG132">
        <v>91</v>
      </c>
      <c r="AH132">
        <v>14</v>
      </c>
      <c r="AI132">
        <v>20</v>
      </c>
      <c r="AJ132">
        <v>3</v>
      </c>
      <c r="AK132">
        <v>50</v>
      </c>
      <c r="AL132" t="s">
        <v>389</v>
      </c>
      <c r="AM132" t="s">
        <v>390</v>
      </c>
      <c r="AN132" t="s">
        <v>391</v>
      </c>
      <c r="AO132" t="s">
        <v>74</v>
      </c>
      <c r="AP132" t="s">
        <v>392</v>
      </c>
      <c r="AQ132" t="s">
        <v>74</v>
      </c>
      <c r="AR132" t="s">
        <v>393</v>
      </c>
      <c r="AS132" t="s">
        <v>394</v>
      </c>
      <c r="AT132" t="s">
        <v>2931</v>
      </c>
      <c r="AU132">
        <v>2023</v>
      </c>
      <c r="AV132">
        <v>8</v>
      </c>
      <c r="AW132" t="s">
        <v>74</v>
      </c>
      <c r="AX132" t="s">
        <v>74</v>
      </c>
      <c r="AY132" t="s">
        <v>74</v>
      </c>
      <c r="AZ132" t="s">
        <v>74</v>
      </c>
      <c r="BA132" t="s">
        <v>74</v>
      </c>
      <c r="BB132" t="s">
        <v>74</v>
      </c>
      <c r="BC132" t="s">
        <v>74</v>
      </c>
      <c r="BD132">
        <v>1250461</v>
      </c>
      <c r="BE132" t="s">
        <v>2932</v>
      </c>
      <c r="BF132" t="str">
        <f>HYPERLINK("http://dx.doi.org/10.3389/feduc.2023.1250461","http://dx.doi.org/10.3389/feduc.2023.1250461")</f>
        <v>http://dx.doi.org/10.3389/feduc.2023.1250461</v>
      </c>
      <c r="BG132" t="s">
        <v>74</v>
      </c>
      <c r="BH132" t="s">
        <v>74</v>
      </c>
      <c r="BI132">
        <v>14</v>
      </c>
      <c r="BJ132" t="s">
        <v>318</v>
      </c>
      <c r="BK132" t="s">
        <v>102</v>
      </c>
      <c r="BL132" t="s">
        <v>318</v>
      </c>
      <c r="BM132" t="s">
        <v>2933</v>
      </c>
      <c r="BN132" t="s">
        <v>74</v>
      </c>
      <c r="BO132" t="s">
        <v>398</v>
      </c>
      <c r="BP132" t="s">
        <v>74</v>
      </c>
      <c r="BQ132" t="s">
        <v>74</v>
      </c>
      <c r="BR132" t="s">
        <v>106</v>
      </c>
      <c r="BS132" t="s">
        <v>2934</v>
      </c>
      <c r="BT132" t="str">
        <f>HYPERLINK("https%3A%2F%2Fwww.webofscience.com%2Fwos%2Fwoscc%2Ffull-record%2FWOS:001059144000001","View Full Record in Web of Science")</f>
        <v>View Full Record in Web of Science</v>
      </c>
    </row>
    <row r="133" spans="1:72" x14ac:dyDescent="0.25">
      <c r="A133" t="s">
        <v>72</v>
      </c>
      <c r="B133" t="s">
        <v>2935</v>
      </c>
      <c r="C133" t="s">
        <v>74</v>
      </c>
      <c r="D133" t="s">
        <v>74</v>
      </c>
      <c r="E133" t="s">
        <v>74</v>
      </c>
      <c r="F133" t="s">
        <v>2936</v>
      </c>
      <c r="G133" t="s">
        <v>74</v>
      </c>
      <c r="H133" t="s">
        <v>74</v>
      </c>
      <c r="I133" t="s">
        <v>2937</v>
      </c>
      <c r="J133" t="s">
        <v>2938</v>
      </c>
      <c r="K133" t="s">
        <v>74</v>
      </c>
      <c r="L133" t="s">
        <v>74</v>
      </c>
      <c r="M133" t="s">
        <v>78</v>
      </c>
      <c r="N133" t="s">
        <v>79</v>
      </c>
      <c r="O133" t="s">
        <v>74</v>
      </c>
      <c r="P133" t="s">
        <v>74</v>
      </c>
      <c r="Q133" t="s">
        <v>74</v>
      </c>
      <c r="R133" t="s">
        <v>74</v>
      </c>
      <c r="S133" t="s">
        <v>74</v>
      </c>
      <c r="T133" t="s">
        <v>74</v>
      </c>
      <c r="U133" t="s">
        <v>2939</v>
      </c>
      <c r="V133" t="s">
        <v>2940</v>
      </c>
      <c r="W133" t="s">
        <v>2941</v>
      </c>
      <c r="X133" t="s">
        <v>2942</v>
      </c>
      <c r="Y133" t="s">
        <v>524</v>
      </c>
      <c r="Z133" t="s">
        <v>2943</v>
      </c>
      <c r="AA133" t="s">
        <v>2944</v>
      </c>
      <c r="AB133" t="s">
        <v>2945</v>
      </c>
      <c r="AC133" t="s">
        <v>74</v>
      </c>
      <c r="AD133" t="s">
        <v>74</v>
      </c>
      <c r="AE133" t="s">
        <v>74</v>
      </c>
      <c r="AF133" t="s">
        <v>74</v>
      </c>
      <c r="AG133">
        <v>256</v>
      </c>
      <c r="AH133">
        <v>8</v>
      </c>
      <c r="AI133">
        <v>8</v>
      </c>
      <c r="AJ133">
        <v>0</v>
      </c>
      <c r="AK133">
        <v>40</v>
      </c>
      <c r="AL133" t="s">
        <v>2946</v>
      </c>
      <c r="AM133" t="s">
        <v>2947</v>
      </c>
      <c r="AN133" t="s">
        <v>2948</v>
      </c>
      <c r="AO133" t="s">
        <v>2949</v>
      </c>
      <c r="AP133" t="s">
        <v>2950</v>
      </c>
      <c r="AQ133" t="s">
        <v>74</v>
      </c>
      <c r="AR133" t="s">
        <v>2951</v>
      </c>
      <c r="AS133" t="s">
        <v>2952</v>
      </c>
      <c r="AT133" t="s">
        <v>74</v>
      </c>
      <c r="AU133">
        <v>2020</v>
      </c>
      <c r="AV133">
        <v>14</v>
      </c>
      <c r="AW133">
        <v>5</v>
      </c>
      <c r="AX133" t="s">
        <v>74</v>
      </c>
      <c r="AY133" t="s">
        <v>74</v>
      </c>
      <c r="AZ133" t="s">
        <v>74</v>
      </c>
      <c r="BA133" t="s">
        <v>74</v>
      </c>
      <c r="BB133">
        <v>445</v>
      </c>
      <c r="BC133">
        <v>617</v>
      </c>
      <c r="BD133" t="s">
        <v>74</v>
      </c>
      <c r="BE133" t="s">
        <v>2953</v>
      </c>
      <c r="BF133" t="str">
        <f>HYPERLINK("http://dx.doi.org/10.1561/1500000078","http://dx.doi.org/10.1561/1500000078")</f>
        <v>http://dx.doi.org/10.1561/1500000078</v>
      </c>
      <c r="BG133" t="s">
        <v>74</v>
      </c>
      <c r="BH133" t="s">
        <v>74</v>
      </c>
      <c r="BI133">
        <v>173</v>
      </c>
      <c r="BJ133" t="s">
        <v>852</v>
      </c>
      <c r="BK133" t="s">
        <v>745</v>
      </c>
      <c r="BL133" t="s">
        <v>103</v>
      </c>
      <c r="BM133" t="s">
        <v>2954</v>
      </c>
      <c r="BN133" t="s">
        <v>74</v>
      </c>
      <c r="BO133" t="s">
        <v>74</v>
      </c>
      <c r="BP133" t="s">
        <v>74</v>
      </c>
      <c r="BQ133" t="s">
        <v>74</v>
      </c>
      <c r="BR133" t="s">
        <v>106</v>
      </c>
      <c r="BS133" t="s">
        <v>2955</v>
      </c>
      <c r="BT133" t="str">
        <f>HYPERLINK("https%3A%2F%2Fwww.webofscience.com%2Fwos%2Fwoscc%2Ffull-record%2FWOS:000589380300001","View Full Record in Web of Science")</f>
        <v>View Full Record in Web of Science</v>
      </c>
    </row>
    <row r="134" spans="1:72" x14ac:dyDescent="0.25">
      <c r="A134" t="s">
        <v>72</v>
      </c>
      <c r="B134" t="s">
        <v>2956</v>
      </c>
      <c r="C134" t="s">
        <v>74</v>
      </c>
      <c r="D134" t="s">
        <v>74</v>
      </c>
      <c r="E134" t="s">
        <v>74</v>
      </c>
      <c r="F134" t="s">
        <v>2957</v>
      </c>
      <c r="G134" t="s">
        <v>74</v>
      </c>
      <c r="H134" t="s">
        <v>74</v>
      </c>
      <c r="I134" t="s">
        <v>2958</v>
      </c>
      <c r="J134" t="s">
        <v>2959</v>
      </c>
      <c r="K134" t="s">
        <v>74</v>
      </c>
      <c r="L134" t="s">
        <v>74</v>
      </c>
      <c r="M134" t="s">
        <v>78</v>
      </c>
      <c r="N134" t="s">
        <v>79</v>
      </c>
      <c r="O134" t="s">
        <v>74</v>
      </c>
      <c r="P134" t="s">
        <v>74</v>
      </c>
      <c r="Q134" t="s">
        <v>74</v>
      </c>
      <c r="R134" t="s">
        <v>74</v>
      </c>
      <c r="S134" t="s">
        <v>74</v>
      </c>
      <c r="T134" t="s">
        <v>2960</v>
      </c>
      <c r="U134" t="s">
        <v>74</v>
      </c>
      <c r="V134" t="s">
        <v>2961</v>
      </c>
      <c r="W134" t="s">
        <v>2962</v>
      </c>
      <c r="X134" t="s">
        <v>2963</v>
      </c>
      <c r="Y134" t="s">
        <v>2964</v>
      </c>
      <c r="Z134" t="s">
        <v>2965</v>
      </c>
      <c r="AA134" t="s">
        <v>2966</v>
      </c>
      <c r="AB134" t="s">
        <v>2967</v>
      </c>
      <c r="AC134" t="s">
        <v>2968</v>
      </c>
      <c r="AD134" t="s">
        <v>2969</v>
      </c>
      <c r="AE134" t="s">
        <v>2970</v>
      </c>
      <c r="AF134" t="s">
        <v>74</v>
      </c>
      <c r="AG134">
        <v>23</v>
      </c>
      <c r="AH134">
        <v>12</v>
      </c>
      <c r="AI134">
        <v>12</v>
      </c>
      <c r="AJ134">
        <v>0</v>
      </c>
      <c r="AK134">
        <v>18</v>
      </c>
      <c r="AL134" t="s">
        <v>362</v>
      </c>
      <c r="AM134" t="s">
        <v>363</v>
      </c>
      <c r="AN134" t="s">
        <v>364</v>
      </c>
      <c r="AO134" t="s">
        <v>2971</v>
      </c>
      <c r="AP134" t="s">
        <v>2972</v>
      </c>
      <c r="AQ134" t="s">
        <v>74</v>
      </c>
      <c r="AR134" t="s">
        <v>2973</v>
      </c>
      <c r="AS134" t="s">
        <v>2974</v>
      </c>
      <c r="AT134" t="s">
        <v>223</v>
      </c>
      <c r="AU134">
        <v>2017</v>
      </c>
      <c r="AV134">
        <v>108</v>
      </c>
      <c r="AW134" t="s">
        <v>74</v>
      </c>
      <c r="AX134" t="s">
        <v>74</v>
      </c>
      <c r="AY134" t="s">
        <v>74</v>
      </c>
      <c r="AZ134" t="s">
        <v>74</v>
      </c>
      <c r="BA134" t="s">
        <v>74</v>
      </c>
      <c r="BB134">
        <v>15</v>
      </c>
      <c r="BC134">
        <v>29</v>
      </c>
      <c r="BD134" t="s">
        <v>74</v>
      </c>
      <c r="BE134" t="s">
        <v>2975</v>
      </c>
      <c r="BF134" t="str">
        <f>HYPERLINK("http://dx.doi.org/10.1016/j.datak.2016.12.003","http://dx.doi.org/10.1016/j.datak.2016.12.003")</f>
        <v>http://dx.doi.org/10.1016/j.datak.2016.12.003</v>
      </c>
      <c r="BG134" t="s">
        <v>74</v>
      </c>
      <c r="BH134" t="s">
        <v>74</v>
      </c>
      <c r="BI134">
        <v>15</v>
      </c>
      <c r="BJ134" t="s">
        <v>202</v>
      </c>
      <c r="BK134" t="s">
        <v>902</v>
      </c>
      <c r="BL134" t="s">
        <v>103</v>
      </c>
      <c r="BM134" t="s">
        <v>2976</v>
      </c>
      <c r="BN134" t="s">
        <v>74</v>
      </c>
      <c r="BO134" t="s">
        <v>2977</v>
      </c>
      <c r="BP134" t="s">
        <v>74</v>
      </c>
      <c r="BQ134" t="s">
        <v>74</v>
      </c>
      <c r="BR134" t="s">
        <v>106</v>
      </c>
      <c r="BS134" t="s">
        <v>2978</v>
      </c>
      <c r="BT134" t="str">
        <f>HYPERLINK("https%3A%2F%2Fwww.webofscience.com%2Fwos%2Fwoscc%2Ffull-record%2FWOS:000399849000002","View Full Record in Web of Science")</f>
        <v>View Full Record in Web of Science</v>
      </c>
    </row>
    <row r="135" spans="1:72" x14ac:dyDescent="0.25">
      <c r="A135" t="s">
        <v>108</v>
      </c>
      <c r="B135" t="s">
        <v>2979</v>
      </c>
      <c r="C135" t="s">
        <v>74</v>
      </c>
      <c r="D135" t="s">
        <v>2980</v>
      </c>
      <c r="E135" t="s">
        <v>74</v>
      </c>
      <c r="F135" t="s">
        <v>2981</v>
      </c>
      <c r="G135" t="s">
        <v>74</v>
      </c>
      <c r="H135" t="s">
        <v>74</v>
      </c>
      <c r="I135" t="s">
        <v>2982</v>
      </c>
      <c r="J135" t="s">
        <v>2983</v>
      </c>
      <c r="K135" t="s">
        <v>114</v>
      </c>
      <c r="L135" t="s">
        <v>74</v>
      </c>
      <c r="M135" t="s">
        <v>78</v>
      </c>
      <c r="N135" t="s">
        <v>115</v>
      </c>
      <c r="O135" t="s">
        <v>2984</v>
      </c>
      <c r="P135" t="s">
        <v>2985</v>
      </c>
      <c r="Q135" t="s">
        <v>2986</v>
      </c>
      <c r="R135" t="s">
        <v>2987</v>
      </c>
      <c r="S135" t="s">
        <v>74</v>
      </c>
      <c r="T135" t="s">
        <v>2988</v>
      </c>
      <c r="U135" t="s">
        <v>74</v>
      </c>
      <c r="V135" t="s">
        <v>2989</v>
      </c>
      <c r="W135" t="s">
        <v>2990</v>
      </c>
      <c r="X135" t="s">
        <v>2991</v>
      </c>
      <c r="Y135" t="s">
        <v>2992</v>
      </c>
      <c r="Z135" t="s">
        <v>2993</v>
      </c>
      <c r="AA135" t="s">
        <v>2994</v>
      </c>
      <c r="AB135" t="s">
        <v>2995</v>
      </c>
      <c r="AC135" t="s">
        <v>74</v>
      </c>
      <c r="AD135" t="s">
        <v>74</v>
      </c>
      <c r="AE135" t="s">
        <v>74</v>
      </c>
      <c r="AF135" t="s">
        <v>74</v>
      </c>
      <c r="AG135">
        <v>12</v>
      </c>
      <c r="AH135">
        <v>0</v>
      </c>
      <c r="AI135">
        <v>0</v>
      </c>
      <c r="AJ135">
        <v>0</v>
      </c>
      <c r="AK135">
        <v>0</v>
      </c>
      <c r="AL135" t="s">
        <v>2996</v>
      </c>
      <c r="AM135" t="s">
        <v>1814</v>
      </c>
      <c r="AN135" t="s">
        <v>2997</v>
      </c>
      <c r="AO135" t="s">
        <v>132</v>
      </c>
      <c r="AP135" t="s">
        <v>133</v>
      </c>
      <c r="AQ135" t="s">
        <v>2998</v>
      </c>
      <c r="AR135" t="s">
        <v>135</v>
      </c>
      <c r="AS135" t="s">
        <v>74</v>
      </c>
      <c r="AT135" t="s">
        <v>74</v>
      </c>
      <c r="AU135">
        <v>2024</v>
      </c>
      <c r="AV135">
        <v>14888</v>
      </c>
      <c r="AW135" t="s">
        <v>74</v>
      </c>
      <c r="AX135" t="s">
        <v>74</v>
      </c>
      <c r="AY135" t="s">
        <v>74</v>
      </c>
      <c r="AZ135" t="s">
        <v>74</v>
      </c>
      <c r="BA135" t="s">
        <v>74</v>
      </c>
      <c r="BB135">
        <v>134</v>
      </c>
      <c r="BC135">
        <v>143</v>
      </c>
      <c r="BD135" t="s">
        <v>74</v>
      </c>
      <c r="BE135" t="s">
        <v>2999</v>
      </c>
      <c r="BF135" t="str">
        <f>HYPERLINK("http://dx.doi.org/10.1007/978-981-97-5489-2_12","http://dx.doi.org/10.1007/978-981-97-5489-2_12")</f>
        <v>http://dx.doi.org/10.1007/978-981-97-5489-2_12</v>
      </c>
      <c r="BG135" t="s">
        <v>74</v>
      </c>
      <c r="BH135" t="s">
        <v>74</v>
      </c>
      <c r="BI135">
        <v>10</v>
      </c>
      <c r="BJ135" t="s">
        <v>461</v>
      </c>
      <c r="BK135" t="s">
        <v>203</v>
      </c>
      <c r="BL135" t="s">
        <v>103</v>
      </c>
      <c r="BM135" t="s">
        <v>3000</v>
      </c>
      <c r="BN135" t="s">
        <v>74</v>
      </c>
      <c r="BO135" t="s">
        <v>74</v>
      </c>
      <c r="BP135" t="s">
        <v>74</v>
      </c>
      <c r="BQ135" t="s">
        <v>74</v>
      </c>
      <c r="BR135" t="s">
        <v>106</v>
      </c>
      <c r="BS135" t="s">
        <v>3001</v>
      </c>
      <c r="BT135" t="str">
        <f>HYPERLINK("https%3A%2F%2Fwww.webofscience.com%2Fwos%2Fwoscc%2Ffull-record%2FWOS:001295202900012","View Full Record in Web of Science")</f>
        <v>View Full Record in Web of Science</v>
      </c>
    </row>
    <row r="136" spans="1:72" x14ac:dyDescent="0.25">
      <c r="A136" t="s">
        <v>72</v>
      </c>
      <c r="B136" t="s">
        <v>3002</v>
      </c>
      <c r="C136" t="s">
        <v>74</v>
      </c>
      <c r="D136" t="s">
        <v>74</v>
      </c>
      <c r="E136" t="s">
        <v>74</v>
      </c>
      <c r="F136" t="s">
        <v>3003</v>
      </c>
      <c r="G136" t="s">
        <v>74</v>
      </c>
      <c r="H136" t="s">
        <v>74</v>
      </c>
      <c r="I136" t="s">
        <v>3004</v>
      </c>
      <c r="J136" t="s">
        <v>3005</v>
      </c>
      <c r="K136" t="s">
        <v>74</v>
      </c>
      <c r="L136" t="s">
        <v>74</v>
      </c>
      <c r="M136" t="s">
        <v>78</v>
      </c>
      <c r="N136" t="s">
        <v>79</v>
      </c>
      <c r="O136" t="s">
        <v>74</v>
      </c>
      <c r="P136" t="s">
        <v>74</v>
      </c>
      <c r="Q136" t="s">
        <v>74</v>
      </c>
      <c r="R136" t="s">
        <v>74</v>
      </c>
      <c r="S136" t="s">
        <v>74</v>
      </c>
      <c r="T136" t="s">
        <v>3006</v>
      </c>
      <c r="U136" t="s">
        <v>3007</v>
      </c>
      <c r="V136" t="s">
        <v>3008</v>
      </c>
      <c r="W136" t="s">
        <v>3009</v>
      </c>
      <c r="X136" t="s">
        <v>3010</v>
      </c>
      <c r="Y136" t="s">
        <v>3011</v>
      </c>
      <c r="Z136" t="s">
        <v>3012</v>
      </c>
      <c r="AA136" t="s">
        <v>74</v>
      </c>
      <c r="AB136" t="s">
        <v>74</v>
      </c>
      <c r="AC136" t="s">
        <v>74</v>
      </c>
      <c r="AD136" t="s">
        <v>74</v>
      </c>
      <c r="AE136" t="s">
        <v>74</v>
      </c>
      <c r="AF136" t="s">
        <v>74</v>
      </c>
      <c r="AG136">
        <v>39</v>
      </c>
      <c r="AH136">
        <v>41</v>
      </c>
      <c r="AI136">
        <v>50</v>
      </c>
      <c r="AJ136">
        <v>0</v>
      </c>
      <c r="AK136">
        <v>68</v>
      </c>
      <c r="AL136" t="s">
        <v>947</v>
      </c>
      <c r="AM136" t="s">
        <v>948</v>
      </c>
      <c r="AN136" t="s">
        <v>2346</v>
      </c>
      <c r="AO136" t="s">
        <v>3013</v>
      </c>
      <c r="AP136" t="s">
        <v>74</v>
      </c>
      <c r="AQ136" t="s">
        <v>74</v>
      </c>
      <c r="AR136" t="s">
        <v>3014</v>
      </c>
      <c r="AS136" t="s">
        <v>3015</v>
      </c>
      <c r="AT136" t="s">
        <v>3016</v>
      </c>
      <c r="AU136">
        <v>2017</v>
      </c>
      <c r="AV136">
        <v>10</v>
      </c>
      <c r="AW136">
        <v>1</v>
      </c>
      <c r="AX136" t="s">
        <v>74</v>
      </c>
      <c r="AY136" t="s">
        <v>74</v>
      </c>
      <c r="AZ136" t="s">
        <v>74</v>
      </c>
      <c r="BA136" t="s">
        <v>74</v>
      </c>
      <c r="BB136">
        <v>104</v>
      </c>
      <c r="BC136">
        <v>114</v>
      </c>
      <c r="BD136" t="s">
        <v>74</v>
      </c>
      <c r="BE136" t="s">
        <v>3017</v>
      </c>
      <c r="BF136" t="str">
        <f>HYPERLINK("http://dx.doi.org/10.1109/TLT.2015.2487977","http://dx.doi.org/10.1109/TLT.2015.2487977")</f>
        <v>http://dx.doi.org/10.1109/TLT.2015.2487977</v>
      </c>
      <c r="BG136" t="s">
        <v>74</v>
      </c>
      <c r="BH136" t="s">
        <v>74</v>
      </c>
      <c r="BI136">
        <v>11</v>
      </c>
      <c r="BJ136" t="s">
        <v>744</v>
      </c>
      <c r="BK136" t="s">
        <v>745</v>
      </c>
      <c r="BL136" t="s">
        <v>139</v>
      </c>
      <c r="BM136" t="s">
        <v>3018</v>
      </c>
      <c r="BN136" t="s">
        <v>74</v>
      </c>
      <c r="BO136" t="s">
        <v>74</v>
      </c>
      <c r="BP136" t="s">
        <v>74</v>
      </c>
      <c r="BQ136" t="s">
        <v>74</v>
      </c>
      <c r="BR136" t="s">
        <v>106</v>
      </c>
      <c r="BS136" t="s">
        <v>3019</v>
      </c>
      <c r="BT136" t="str">
        <f>HYPERLINK("https%3A%2F%2Fwww.webofscience.com%2Fwos%2Fwoscc%2Ffull-record%2FWOS:000396399600009","View Full Record in Web of Science")</f>
        <v>View Full Record in Web of Science</v>
      </c>
    </row>
    <row r="137" spans="1:72" x14ac:dyDescent="0.25">
      <c r="A137" t="s">
        <v>72</v>
      </c>
      <c r="B137" t="s">
        <v>3020</v>
      </c>
      <c r="C137" t="s">
        <v>74</v>
      </c>
      <c r="D137" t="s">
        <v>74</v>
      </c>
      <c r="E137" t="s">
        <v>74</v>
      </c>
      <c r="F137" t="s">
        <v>3020</v>
      </c>
      <c r="G137" t="s">
        <v>74</v>
      </c>
      <c r="H137" t="s">
        <v>74</v>
      </c>
      <c r="I137" t="s">
        <v>3021</v>
      </c>
      <c r="J137" t="s">
        <v>3022</v>
      </c>
      <c r="K137" t="s">
        <v>74</v>
      </c>
      <c r="L137" t="s">
        <v>74</v>
      </c>
      <c r="M137" t="s">
        <v>78</v>
      </c>
      <c r="N137" t="s">
        <v>79</v>
      </c>
      <c r="O137" t="s">
        <v>74</v>
      </c>
      <c r="P137" t="s">
        <v>74</v>
      </c>
      <c r="Q137" t="s">
        <v>74</v>
      </c>
      <c r="R137" t="s">
        <v>74</v>
      </c>
      <c r="S137" t="s">
        <v>74</v>
      </c>
      <c r="T137" t="s">
        <v>3023</v>
      </c>
      <c r="U137" t="s">
        <v>3024</v>
      </c>
      <c r="V137" t="s">
        <v>3025</v>
      </c>
      <c r="W137" t="s">
        <v>3026</v>
      </c>
      <c r="X137" t="s">
        <v>3027</v>
      </c>
      <c r="Y137" t="s">
        <v>3028</v>
      </c>
      <c r="Z137" t="s">
        <v>74</v>
      </c>
      <c r="AA137" t="s">
        <v>74</v>
      </c>
      <c r="AB137" t="s">
        <v>74</v>
      </c>
      <c r="AC137" t="s">
        <v>74</v>
      </c>
      <c r="AD137" t="s">
        <v>74</v>
      </c>
      <c r="AE137" t="s">
        <v>74</v>
      </c>
      <c r="AF137" t="s">
        <v>74</v>
      </c>
      <c r="AG137">
        <v>44</v>
      </c>
      <c r="AH137">
        <v>79</v>
      </c>
      <c r="AI137">
        <v>118</v>
      </c>
      <c r="AJ137">
        <v>0</v>
      </c>
      <c r="AK137">
        <v>60</v>
      </c>
      <c r="AL137" t="s">
        <v>3029</v>
      </c>
      <c r="AM137" t="s">
        <v>3030</v>
      </c>
      <c r="AN137" t="s">
        <v>3031</v>
      </c>
      <c r="AO137" t="s">
        <v>3032</v>
      </c>
      <c r="AP137" t="s">
        <v>74</v>
      </c>
      <c r="AQ137" t="s">
        <v>74</v>
      </c>
      <c r="AR137" t="s">
        <v>3033</v>
      </c>
      <c r="AS137" t="s">
        <v>3034</v>
      </c>
      <c r="AT137" t="s">
        <v>1375</v>
      </c>
      <c r="AU137">
        <v>2001</v>
      </c>
      <c r="AV137">
        <v>72</v>
      </c>
      <c r="AW137">
        <v>2</v>
      </c>
      <c r="AX137" t="s">
        <v>74</v>
      </c>
      <c r="AY137" t="s">
        <v>74</v>
      </c>
      <c r="AZ137" t="s">
        <v>74</v>
      </c>
      <c r="BA137" t="s">
        <v>74</v>
      </c>
      <c r="BB137">
        <v>150</v>
      </c>
      <c r="BC137">
        <v>164</v>
      </c>
      <c r="BD137" t="s">
        <v>74</v>
      </c>
      <c r="BE137" t="s">
        <v>3035</v>
      </c>
      <c r="BF137" t="str">
        <f>HYPERLINK("http://dx.doi.org/10.1080/02701367.2001.10608945","http://dx.doi.org/10.1080/02701367.2001.10608945")</f>
        <v>http://dx.doi.org/10.1080/02701367.2001.10608945</v>
      </c>
      <c r="BG137" t="s">
        <v>74</v>
      </c>
      <c r="BH137" t="s">
        <v>74</v>
      </c>
      <c r="BI137">
        <v>15</v>
      </c>
      <c r="BJ137" t="s">
        <v>3036</v>
      </c>
      <c r="BK137" t="s">
        <v>745</v>
      </c>
      <c r="BL137" t="s">
        <v>3037</v>
      </c>
      <c r="BM137" t="s">
        <v>3038</v>
      </c>
      <c r="BN137">
        <v>11393878</v>
      </c>
      <c r="BO137" t="s">
        <v>74</v>
      </c>
      <c r="BP137" t="s">
        <v>74</v>
      </c>
      <c r="BQ137" t="s">
        <v>74</v>
      </c>
      <c r="BR137" t="s">
        <v>106</v>
      </c>
      <c r="BS137" t="s">
        <v>3039</v>
      </c>
      <c r="BT137" t="str">
        <f>HYPERLINK("https%3A%2F%2Fwww.webofscience.com%2Fwos%2Fwoscc%2Ffull-record%2FWOS:000169003500007","View Full Record in Web of Science")</f>
        <v>View Full Record in Web of Science</v>
      </c>
    </row>
    <row r="138" spans="1:72" x14ac:dyDescent="0.25">
      <c r="A138" t="s">
        <v>108</v>
      </c>
      <c r="B138" t="s">
        <v>3040</v>
      </c>
      <c r="C138" t="s">
        <v>74</v>
      </c>
      <c r="D138" t="s">
        <v>3041</v>
      </c>
      <c r="E138" t="s">
        <v>74</v>
      </c>
      <c r="F138" t="s">
        <v>3042</v>
      </c>
      <c r="G138" t="s">
        <v>74</v>
      </c>
      <c r="H138" t="s">
        <v>74</v>
      </c>
      <c r="I138" t="s">
        <v>3043</v>
      </c>
      <c r="J138" t="s">
        <v>3044</v>
      </c>
      <c r="K138" t="s">
        <v>74</v>
      </c>
      <c r="L138" t="s">
        <v>74</v>
      </c>
      <c r="M138" t="s">
        <v>78</v>
      </c>
      <c r="N138" t="s">
        <v>115</v>
      </c>
      <c r="O138" t="s">
        <v>3045</v>
      </c>
      <c r="P138" t="s">
        <v>3046</v>
      </c>
      <c r="Q138" t="s">
        <v>3047</v>
      </c>
      <c r="R138" t="s">
        <v>3048</v>
      </c>
      <c r="S138" t="s">
        <v>3049</v>
      </c>
      <c r="T138" t="s">
        <v>3050</v>
      </c>
      <c r="U138" t="s">
        <v>74</v>
      </c>
      <c r="V138" t="s">
        <v>3051</v>
      </c>
      <c r="W138" t="s">
        <v>3052</v>
      </c>
      <c r="X138" t="s">
        <v>3053</v>
      </c>
      <c r="Y138" t="s">
        <v>3054</v>
      </c>
      <c r="Z138" t="s">
        <v>3055</v>
      </c>
      <c r="AA138" t="s">
        <v>74</v>
      </c>
      <c r="AB138" t="s">
        <v>74</v>
      </c>
      <c r="AC138" t="s">
        <v>3056</v>
      </c>
      <c r="AD138" t="s">
        <v>3057</v>
      </c>
      <c r="AE138" t="s">
        <v>3058</v>
      </c>
      <c r="AF138" t="s">
        <v>74</v>
      </c>
      <c r="AG138">
        <v>19</v>
      </c>
      <c r="AH138">
        <v>0</v>
      </c>
      <c r="AI138">
        <v>0</v>
      </c>
      <c r="AJ138">
        <v>0</v>
      </c>
      <c r="AK138">
        <v>7</v>
      </c>
      <c r="AL138" t="s">
        <v>3059</v>
      </c>
      <c r="AM138" t="s">
        <v>3060</v>
      </c>
      <c r="AN138" t="s">
        <v>3061</v>
      </c>
      <c r="AO138" t="s">
        <v>74</v>
      </c>
      <c r="AP138" t="s">
        <v>74</v>
      </c>
      <c r="AQ138" t="s">
        <v>3062</v>
      </c>
      <c r="AR138" t="s">
        <v>74</v>
      </c>
      <c r="AS138" t="s">
        <v>74</v>
      </c>
      <c r="AT138" t="s">
        <v>74</v>
      </c>
      <c r="AU138">
        <v>2018</v>
      </c>
      <c r="AV138" t="s">
        <v>74</v>
      </c>
      <c r="AW138" t="s">
        <v>74</v>
      </c>
      <c r="AX138" t="s">
        <v>74</v>
      </c>
      <c r="AY138" t="s">
        <v>74</v>
      </c>
      <c r="AZ138" t="s">
        <v>74</v>
      </c>
      <c r="BA138" t="s">
        <v>74</v>
      </c>
      <c r="BB138">
        <v>449</v>
      </c>
      <c r="BC138">
        <v>456</v>
      </c>
      <c r="BD138" t="s">
        <v>74</v>
      </c>
      <c r="BE138" t="s">
        <v>74</v>
      </c>
      <c r="BF138" t="s">
        <v>74</v>
      </c>
      <c r="BG138" t="s">
        <v>74</v>
      </c>
      <c r="BH138" t="s">
        <v>74</v>
      </c>
      <c r="BI138">
        <v>8</v>
      </c>
      <c r="BJ138" t="s">
        <v>3063</v>
      </c>
      <c r="BK138" t="s">
        <v>1042</v>
      </c>
      <c r="BL138" t="s">
        <v>3064</v>
      </c>
      <c r="BM138" t="s">
        <v>3065</v>
      </c>
      <c r="BN138" t="s">
        <v>74</v>
      </c>
      <c r="BO138" t="s">
        <v>74</v>
      </c>
      <c r="BP138" t="s">
        <v>74</v>
      </c>
      <c r="BQ138" t="s">
        <v>74</v>
      </c>
      <c r="BR138" t="s">
        <v>106</v>
      </c>
      <c r="BS138" t="s">
        <v>3066</v>
      </c>
      <c r="BT138" t="str">
        <f>HYPERLINK("https%3A%2F%2Fwww.webofscience.com%2Fwos%2Fwoscc%2Ffull-record%2FWOS:000470795600056","View Full Record in Web of Science")</f>
        <v>View Full Record in Web of Science</v>
      </c>
    </row>
    <row r="139" spans="1:72" x14ac:dyDescent="0.25">
      <c r="A139" t="s">
        <v>72</v>
      </c>
      <c r="B139" t="s">
        <v>3067</v>
      </c>
      <c r="C139" t="s">
        <v>74</v>
      </c>
      <c r="D139" t="s">
        <v>74</v>
      </c>
      <c r="E139" t="s">
        <v>74</v>
      </c>
      <c r="F139" t="s">
        <v>3068</v>
      </c>
      <c r="G139" t="s">
        <v>74</v>
      </c>
      <c r="H139" t="s">
        <v>74</v>
      </c>
      <c r="I139" t="s">
        <v>3069</v>
      </c>
      <c r="J139" t="s">
        <v>2480</v>
      </c>
      <c r="K139" t="s">
        <v>74</v>
      </c>
      <c r="L139" t="s">
        <v>74</v>
      </c>
      <c r="M139" t="s">
        <v>78</v>
      </c>
      <c r="N139" t="s">
        <v>79</v>
      </c>
      <c r="O139" t="s">
        <v>74</v>
      </c>
      <c r="P139" t="s">
        <v>74</v>
      </c>
      <c r="Q139" t="s">
        <v>74</v>
      </c>
      <c r="R139" t="s">
        <v>74</v>
      </c>
      <c r="S139" t="s">
        <v>74</v>
      </c>
      <c r="T139" t="s">
        <v>3070</v>
      </c>
      <c r="U139" t="s">
        <v>3071</v>
      </c>
      <c r="V139" t="s">
        <v>3072</v>
      </c>
      <c r="W139" t="s">
        <v>3073</v>
      </c>
      <c r="X139" t="s">
        <v>3074</v>
      </c>
      <c r="Y139" t="s">
        <v>3075</v>
      </c>
      <c r="Z139" t="s">
        <v>3076</v>
      </c>
      <c r="AA139" t="s">
        <v>922</v>
      </c>
      <c r="AB139" t="s">
        <v>923</v>
      </c>
      <c r="AC139" t="s">
        <v>3077</v>
      </c>
      <c r="AD139" t="s">
        <v>3077</v>
      </c>
      <c r="AE139" t="s">
        <v>3078</v>
      </c>
      <c r="AF139" t="s">
        <v>74</v>
      </c>
      <c r="AG139">
        <v>50</v>
      </c>
      <c r="AH139">
        <v>1</v>
      </c>
      <c r="AI139">
        <v>3</v>
      </c>
      <c r="AJ139">
        <v>0</v>
      </c>
      <c r="AK139">
        <v>12</v>
      </c>
      <c r="AL139" t="s">
        <v>178</v>
      </c>
      <c r="AM139" t="s">
        <v>1005</v>
      </c>
      <c r="AN139" t="s">
        <v>1006</v>
      </c>
      <c r="AO139" t="s">
        <v>2489</v>
      </c>
      <c r="AP139" t="s">
        <v>3079</v>
      </c>
      <c r="AQ139" t="s">
        <v>74</v>
      </c>
      <c r="AR139" t="s">
        <v>2490</v>
      </c>
      <c r="AS139" t="s">
        <v>2491</v>
      </c>
      <c r="AT139" t="s">
        <v>1950</v>
      </c>
      <c r="AU139">
        <v>2022</v>
      </c>
      <c r="AV139">
        <v>81</v>
      </c>
      <c r="AW139">
        <v>5</v>
      </c>
      <c r="AX139" t="s">
        <v>74</v>
      </c>
      <c r="AY139" t="s">
        <v>74</v>
      </c>
      <c r="AZ139" t="s">
        <v>74</v>
      </c>
      <c r="BA139" t="s">
        <v>74</v>
      </c>
      <c r="BB139">
        <v>6599</v>
      </c>
      <c r="BC139">
        <v>6631</v>
      </c>
      <c r="BD139" t="s">
        <v>74</v>
      </c>
      <c r="BE139" t="s">
        <v>3080</v>
      </c>
      <c r="BF139" t="str">
        <f>HYPERLINK("http://dx.doi.org/10.1007/s11042-021-11780-5","http://dx.doi.org/10.1007/s11042-021-11780-5")</f>
        <v>http://dx.doi.org/10.1007/s11042-021-11780-5</v>
      </c>
      <c r="BG139" t="s">
        <v>74</v>
      </c>
      <c r="BH139" t="s">
        <v>3081</v>
      </c>
      <c r="BI139">
        <v>33</v>
      </c>
      <c r="BJ139" t="s">
        <v>2493</v>
      </c>
      <c r="BK139" t="s">
        <v>902</v>
      </c>
      <c r="BL139" t="s">
        <v>953</v>
      </c>
      <c r="BM139" t="s">
        <v>3082</v>
      </c>
      <c r="BN139" t="s">
        <v>74</v>
      </c>
      <c r="BO139" t="s">
        <v>74</v>
      </c>
      <c r="BP139" t="s">
        <v>74</v>
      </c>
      <c r="BQ139" t="s">
        <v>74</v>
      </c>
      <c r="BR139" t="s">
        <v>106</v>
      </c>
      <c r="BS139" t="s">
        <v>3083</v>
      </c>
      <c r="BT139" t="str">
        <f>HYPERLINK("https%3A%2F%2Fwww.webofscience.com%2Fwos%2Fwoscc%2Ffull-record%2FWOS:000742803700001","View Full Record in Web of Science")</f>
        <v>View Full Record in Web of Science</v>
      </c>
    </row>
    <row r="140" spans="1:72" x14ac:dyDescent="0.25">
      <c r="A140" t="s">
        <v>72</v>
      </c>
      <c r="B140" t="s">
        <v>3084</v>
      </c>
      <c r="C140" t="s">
        <v>74</v>
      </c>
      <c r="D140" t="s">
        <v>74</v>
      </c>
      <c r="E140" t="s">
        <v>74</v>
      </c>
      <c r="F140" t="s">
        <v>3085</v>
      </c>
      <c r="G140" t="s">
        <v>74</v>
      </c>
      <c r="H140" t="s">
        <v>74</v>
      </c>
      <c r="I140" t="s">
        <v>3086</v>
      </c>
      <c r="J140" t="s">
        <v>3087</v>
      </c>
      <c r="K140" t="s">
        <v>74</v>
      </c>
      <c r="L140" t="s">
        <v>74</v>
      </c>
      <c r="M140" t="s">
        <v>78</v>
      </c>
      <c r="N140" t="s">
        <v>79</v>
      </c>
      <c r="O140" t="s">
        <v>74</v>
      </c>
      <c r="P140" t="s">
        <v>74</v>
      </c>
      <c r="Q140" t="s">
        <v>74</v>
      </c>
      <c r="R140" t="s">
        <v>74</v>
      </c>
      <c r="S140" t="s">
        <v>74</v>
      </c>
      <c r="T140" t="s">
        <v>3088</v>
      </c>
      <c r="U140" t="s">
        <v>3089</v>
      </c>
      <c r="V140" t="s">
        <v>3090</v>
      </c>
      <c r="W140" t="s">
        <v>3091</v>
      </c>
      <c r="X140" t="s">
        <v>3092</v>
      </c>
      <c r="Y140" t="s">
        <v>3093</v>
      </c>
      <c r="Z140" t="s">
        <v>3094</v>
      </c>
      <c r="AA140" t="s">
        <v>3095</v>
      </c>
      <c r="AB140" t="s">
        <v>74</v>
      </c>
      <c r="AC140" t="s">
        <v>3096</v>
      </c>
      <c r="AD140" t="s">
        <v>2463</v>
      </c>
      <c r="AE140" t="s">
        <v>3097</v>
      </c>
      <c r="AF140" t="s">
        <v>74</v>
      </c>
      <c r="AG140">
        <v>46</v>
      </c>
      <c r="AH140">
        <v>4</v>
      </c>
      <c r="AI140">
        <v>4</v>
      </c>
      <c r="AJ140">
        <v>3</v>
      </c>
      <c r="AK140">
        <v>35</v>
      </c>
      <c r="AL140" t="s">
        <v>1272</v>
      </c>
      <c r="AM140" t="s">
        <v>1273</v>
      </c>
      <c r="AN140" t="s">
        <v>3098</v>
      </c>
      <c r="AO140" t="s">
        <v>74</v>
      </c>
      <c r="AP140" t="s">
        <v>3099</v>
      </c>
      <c r="AQ140" t="s">
        <v>74</v>
      </c>
      <c r="AR140" t="s">
        <v>3100</v>
      </c>
      <c r="AS140" t="s">
        <v>3101</v>
      </c>
      <c r="AT140" t="s">
        <v>1375</v>
      </c>
      <c r="AU140">
        <v>2023</v>
      </c>
      <c r="AV140">
        <v>25</v>
      </c>
      <c r="AW140">
        <v>6</v>
      </c>
      <c r="AX140" t="s">
        <v>74</v>
      </c>
      <c r="AY140" t="s">
        <v>74</v>
      </c>
      <c r="AZ140" t="s">
        <v>74</v>
      </c>
      <c r="BA140" t="s">
        <v>74</v>
      </c>
      <c r="BB140" t="s">
        <v>74</v>
      </c>
      <c r="BC140" t="s">
        <v>74</v>
      </c>
      <c r="BD140">
        <v>926</v>
      </c>
      <c r="BE140" t="s">
        <v>3102</v>
      </c>
      <c r="BF140" t="str">
        <f>HYPERLINK("http://dx.doi.org/10.3390/e25060926","http://dx.doi.org/10.3390/e25060926")</f>
        <v>http://dx.doi.org/10.3390/e25060926</v>
      </c>
      <c r="BG140" t="s">
        <v>74</v>
      </c>
      <c r="BH140" t="s">
        <v>74</v>
      </c>
      <c r="BI140">
        <v>22</v>
      </c>
      <c r="BJ140" t="s">
        <v>3103</v>
      </c>
      <c r="BK140" t="s">
        <v>902</v>
      </c>
      <c r="BL140" t="s">
        <v>3104</v>
      </c>
      <c r="BM140" t="s">
        <v>3105</v>
      </c>
      <c r="BN140" t="s">
        <v>74</v>
      </c>
      <c r="BO140" t="s">
        <v>398</v>
      </c>
      <c r="BP140" t="s">
        <v>74</v>
      </c>
      <c r="BQ140" t="s">
        <v>74</v>
      </c>
      <c r="BR140" t="s">
        <v>106</v>
      </c>
      <c r="BS140" t="s">
        <v>3106</v>
      </c>
      <c r="BT140" t="str">
        <f>HYPERLINK("https%3A%2F%2Fwww.webofscience.com%2Fwos%2Fwoscc%2Ffull-record%2FWOS:001015184500001","View Full Record in Web of Science")</f>
        <v>View Full Record in Web of Science</v>
      </c>
    </row>
    <row r="141" spans="1:72" x14ac:dyDescent="0.25">
      <c r="A141" t="s">
        <v>108</v>
      </c>
      <c r="B141" t="s">
        <v>785</v>
      </c>
      <c r="C141" t="s">
        <v>74</v>
      </c>
      <c r="D141" t="s">
        <v>3107</v>
      </c>
      <c r="E141" t="s">
        <v>74</v>
      </c>
      <c r="F141" t="s">
        <v>787</v>
      </c>
      <c r="G141" t="s">
        <v>74</v>
      </c>
      <c r="H141" t="s">
        <v>74</v>
      </c>
      <c r="I141" t="s">
        <v>3108</v>
      </c>
      <c r="J141" t="s">
        <v>3109</v>
      </c>
      <c r="K141" t="s">
        <v>3110</v>
      </c>
      <c r="L141" t="s">
        <v>74</v>
      </c>
      <c r="M141" t="s">
        <v>78</v>
      </c>
      <c r="N141" t="s">
        <v>115</v>
      </c>
      <c r="O141" t="s">
        <v>3111</v>
      </c>
      <c r="P141" t="s">
        <v>3112</v>
      </c>
      <c r="Q141" t="s">
        <v>3113</v>
      </c>
      <c r="R141" t="s">
        <v>3114</v>
      </c>
      <c r="S141" t="s">
        <v>74</v>
      </c>
      <c r="T141" t="s">
        <v>3115</v>
      </c>
      <c r="U141" t="s">
        <v>3116</v>
      </c>
      <c r="V141" t="s">
        <v>3117</v>
      </c>
      <c r="W141" t="s">
        <v>797</v>
      </c>
      <c r="X141" t="s">
        <v>798</v>
      </c>
      <c r="Y141" t="s">
        <v>799</v>
      </c>
      <c r="Z141" t="s">
        <v>800</v>
      </c>
      <c r="AA141" t="s">
        <v>3118</v>
      </c>
      <c r="AB141" t="s">
        <v>3119</v>
      </c>
      <c r="AC141" t="s">
        <v>74</v>
      </c>
      <c r="AD141" t="s">
        <v>74</v>
      </c>
      <c r="AE141" t="s">
        <v>74</v>
      </c>
      <c r="AF141" t="s">
        <v>74</v>
      </c>
      <c r="AG141">
        <v>31</v>
      </c>
      <c r="AH141">
        <v>1</v>
      </c>
      <c r="AI141">
        <v>2</v>
      </c>
      <c r="AJ141">
        <v>0</v>
      </c>
      <c r="AK141">
        <v>2</v>
      </c>
      <c r="AL141" t="s">
        <v>197</v>
      </c>
      <c r="AM141" t="s">
        <v>198</v>
      </c>
      <c r="AN141" t="s">
        <v>199</v>
      </c>
      <c r="AO141" t="s">
        <v>3120</v>
      </c>
      <c r="AP141" t="s">
        <v>74</v>
      </c>
      <c r="AQ141" t="s">
        <v>3121</v>
      </c>
      <c r="AR141" t="s">
        <v>3122</v>
      </c>
      <c r="AS141" t="s">
        <v>74</v>
      </c>
      <c r="AT141" t="s">
        <v>74</v>
      </c>
      <c r="AU141">
        <v>2017</v>
      </c>
      <c r="AV141">
        <v>299</v>
      </c>
      <c r="AW141" t="s">
        <v>74</v>
      </c>
      <c r="AX141" t="s">
        <v>74</v>
      </c>
      <c r="AY141" t="s">
        <v>74</v>
      </c>
      <c r="AZ141" t="s">
        <v>74</v>
      </c>
      <c r="BA141" t="s">
        <v>74</v>
      </c>
      <c r="BB141">
        <v>54</v>
      </c>
      <c r="BC141">
        <v>67</v>
      </c>
      <c r="BD141" t="s">
        <v>74</v>
      </c>
      <c r="BE141" t="s">
        <v>3123</v>
      </c>
      <c r="BF141" t="str">
        <f>HYPERLINK("http://dx.doi.org/10.1007/978-3-319-65930-5_5","http://dx.doi.org/10.1007/978-3-319-65930-5_5")</f>
        <v>http://dx.doi.org/10.1007/978-3-319-65930-5_5</v>
      </c>
      <c r="BG141" t="s">
        <v>74</v>
      </c>
      <c r="BH141" t="s">
        <v>74</v>
      </c>
      <c r="BI141">
        <v>14</v>
      </c>
      <c r="BJ141" t="s">
        <v>696</v>
      </c>
      <c r="BK141" t="s">
        <v>203</v>
      </c>
      <c r="BL141" t="s">
        <v>103</v>
      </c>
      <c r="BM141" t="s">
        <v>3124</v>
      </c>
      <c r="BN141" t="s">
        <v>74</v>
      </c>
      <c r="BO141" t="s">
        <v>74</v>
      </c>
      <c r="BP141" t="s">
        <v>74</v>
      </c>
      <c r="BQ141" t="s">
        <v>74</v>
      </c>
      <c r="BR141" t="s">
        <v>106</v>
      </c>
      <c r="BS141" t="s">
        <v>3125</v>
      </c>
      <c r="BT141" t="str">
        <f>HYPERLINK("https%3A%2F%2Fwww.webofscience.com%2Fwos%2Fwoscc%2Ffull-record%2FWOS:000432839500005","View Full Record in Web of Science")</f>
        <v>View Full Record in Web of Science</v>
      </c>
    </row>
    <row r="142" spans="1:72" x14ac:dyDescent="0.25">
      <c r="A142" t="s">
        <v>72</v>
      </c>
      <c r="B142" t="s">
        <v>3126</v>
      </c>
      <c r="C142" t="s">
        <v>74</v>
      </c>
      <c r="D142" t="s">
        <v>74</v>
      </c>
      <c r="E142" t="s">
        <v>74</v>
      </c>
      <c r="F142" t="s">
        <v>3127</v>
      </c>
      <c r="G142" t="s">
        <v>74</v>
      </c>
      <c r="H142" t="s">
        <v>74</v>
      </c>
      <c r="I142" t="s">
        <v>3128</v>
      </c>
      <c r="J142" t="s">
        <v>3129</v>
      </c>
      <c r="K142" t="s">
        <v>74</v>
      </c>
      <c r="L142" t="s">
        <v>74</v>
      </c>
      <c r="M142" t="s">
        <v>78</v>
      </c>
      <c r="N142" t="s">
        <v>79</v>
      </c>
      <c r="O142" t="s">
        <v>74</v>
      </c>
      <c r="P142" t="s">
        <v>74</v>
      </c>
      <c r="Q142" t="s">
        <v>74</v>
      </c>
      <c r="R142" t="s">
        <v>74</v>
      </c>
      <c r="S142" t="s">
        <v>74</v>
      </c>
      <c r="T142" t="s">
        <v>3130</v>
      </c>
      <c r="U142" t="s">
        <v>3131</v>
      </c>
      <c r="V142" t="s">
        <v>3132</v>
      </c>
      <c r="W142" t="s">
        <v>3133</v>
      </c>
      <c r="X142" t="s">
        <v>3134</v>
      </c>
      <c r="Y142" t="s">
        <v>3135</v>
      </c>
      <c r="Z142" t="s">
        <v>3136</v>
      </c>
      <c r="AA142" t="s">
        <v>74</v>
      </c>
      <c r="AB142" t="s">
        <v>74</v>
      </c>
      <c r="AC142" t="s">
        <v>74</v>
      </c>
      <c r="AD142" t="s">
        <v>74</v>
      </c>
      <c r="AE142" t="s">
        <v>74</v>
      </c>
      <c r="AF142" t="s">
        <v>74</v>
      </c>
      <c r="AG142">
        <v>27</v>
      </c>
      <c r="AH142">
        <v>17</v>
      </c>
      <c r="AI142">
        <v>28</v>
      </c>
      <c r="AJ142">
        <v>1</v>
      </c>
      <c r="AK142">
        <v>26</v>
      </c>
      <c r="AL142" t="s">
        <v>178</v>
      </c>
      <c r="AM142" t="s">
        <v>92</v>
      </c>
      <c r="AN142" t="s">
        <v>222</v>
      </c>
      <c r="AO142" t="s">
        <v>3137</v>
      </c>
      <c r="AP142" t="s">
        <v>3138</v>
      </c>
      <c r="AQ142" t="s">
        <v>74</v>
      </c>
      <c r="AR142" t="s">
        <v>3139</v>
      </c>
      <c r="AS142" t="s">
        <v>3140</v>
      </c>
      <c r="AT142" t="s">
        <v>98</v>
      </c>
      <c r="AU142">
        <v>2018</v>
      </c>
      <c r="AV142">
        <v>66</v>
      </c>
      <c r="AW142">
        <v>6</v>
      </c>
      <c r="AX142" t="s">
        <v>74</v>
      </c>
      <c r="AY142" t="s">
        <v>74</v>
      </c>
      <c r="AZ142" t="s">
        <v>74</v>
      </c>
      <c r="BA142" t="s">
        <v>74</v>
      </c>
      <c r="BB142">
        <v>1387</v>
      </c>
      <c r="BC142">
        <v>1397</v>
      </c>
      <c r="BD142" t="s">
        <v>74</v>
      </c>
      <c r="BE142" t="s">
        <v>3141</v>
      </c>
      <c r="BF142" t="str">
        <f>HYPERLINK("http://dx.doi.org/10.1007/s11423-018-9588-8","http://dx.doi.org/10.1007/s11423-018-9588-8")</f>
        <v>http://dx.doi.org/10.1007/s11423-018-9588-8</v>
      </c>
      <c r="BG142" t="s">
        <v>74</v>
      </c>
      <c r="BH142" t="s">
        <v>74</v>
      </c>
      <c r="BI142">
        <v>11</v>
      </c>
      <c r="BJ142" t="s">
        <v>318</v>
      </c>
      <c r="BK142" t="s">
        <v>250</v>
      </c>
      <c r="BL142" t="s">
        <v>318</v>
      </c>
      <c r="BM142" t="s">
        <v>3142</v>
      </c>
      <c r="BN142" t="s">
        <v>74</v>
      </c>
      <c r="BO142" t="s">
        <v>74</v>
      </c>
      <c r="BP142" t="s">
        <v>74</v>
      </c>
      <c r="BQ142" t="s">
        <v>74</v>
      </c>
      <c r="BR142" t="s">
        <v>106</v>
      </c>
      <c r="BS142" t="s">
        <v>3143</v>
      </c>
      <c r="BT142" t="str">
        <f>HYPERLINK("https%3A%2F%2Fwww.webofscience.com%2Fwos%2Fwoscc%2Ffull-record%2FWOS:000450808100004","View Full Record in Web of Science")</f>
        <v>View Full Record in Web of Science</v>
      </c>
    </row>
    <row r="143" spans="1:72" x14ac:dyDescent="0.25">
      <c r="A143" t="s">
        <v>72</v>
      </c>
      <c r="B143" t="s">
        <v>3144</v>
      </c>
      <c r="C143" t="s">
        <v>74</v>
      </c>
      <c r="D143" t="s">
        <v>74</v>
      </c>
      <c r="E143" t="s">
        <v>74</v>
      </c>
      <c r="F143" t="s">
        <v>3145</v>
      </c>
      <c r="G143" t="s">
        <v>74</v>
      </c>
      <c r="H143" t="s">
        <v>74</v>
      </c>
      <c r="I143" t="s">
        <v>3146</v>
      </c>
      <c r="J143" t="s">
        <v>3147</v>
      </c>
      <c r="K143" t="s">
        <v>74</v>
      </c>
      <c r="L143" t="s">
        <v>74</v>
      </c>
      <c r="M143" t="s">
        <v>78</v>
      </c>
      <c r="N143" t="s">
        <v>79</v>
      </c>
      <c r="O143" t="s">
        <v>74</v>
      </c>
      <c r="P143" t="s">
        <v>74</v>
      </c>
      <c r="Q143" t="s">
        <v>74</v>
      </c>
      <c r="R143" t="s">
        <v>74</v>
      </c>
      <c r="S143" t="s">
        <v>74</v>
      </c>
      <c r="T143" t="s">
        <v>3148</v>
      </c>
      <c r="U143" t="s">
        <v>3149</v>
      </c>
      <c r="V143" t="s">
        <v>3150</v>
      </c>
      <c r="W143" t="s">
        <v>3151</v>
      </c>
      <c r="X143" t="s">
        <v>3152</v>
      </c>
      <c r="Y143" t="s">
        <v>3153</v>
      </c>
      <c r="Z143" t="s">
        <v>3154</v>
      </c>
      <c r="AA143" t="s">
        <v>3155</v>
      </c>
      <c r="AB143" t="s">
        <v>3156</v>
      </c>
      <c r="AC143" t="s">
        <v>74</v>
      </c>
      <c r="AD143" t="s">
        <v>74</v>
      </c>
      <c r="AE143" t="s">
        <v>74</v>
      </c>
      <c r="AF143" t="s">
        <v>74</v>
      </c>
      <c r="AG143">
        <v>38</v>
      </c>
      <c r="AH143">
        <v>1</v>
      </c>
      <c r="AI143">
        <v>1</v>
      </c>
      <c r="AJ143">
        <v>1</v>
      </c>
      <c r="AK143">
        <v>30</v>
      </c>
      <c r="AL143" t="s">
        <v>3157</v>
      </c>
      <c r="AM143" t="s">
        <v>3158</v>
      </c>
      <c r="AN143" t="s">
        <v>3159</v>
      </c>
      <c r="AO143" t="s">
        <v>3160</v>
      </c>
      <c r="AP143" t="s">
        <v>3161</v>
      </c>
      <c r="AQ143" t="s">
        <v>74</v>
      </c>
      <c r="AR143" t="s">
        <v>3162</v>
      </c>
      <c r="AS143" t="s">
        <v>3163</v>
      </c>
      <c r="AT143" t="s">
        <v>74</v>
      </c>
      <c r="AU143">
        <v>2021</v>
      </c>
      <c r="AV143">
        <v>16</v>
      </c>
      <c r="AW143">
        <v>3</v>
      </c>
      <c r="AX143" t="s">
        <v>74</v>
      </c>
      <c r="AY143" t="s">
        <v>74</v>
      </c>
      <c r="AZ143" t="s">
        <v>74</v>
      </c>
      <c r="BA143" t="s">
        <v>74</v>
      </c>
      <c r="BB143">
        <v>181</v>
      </c>
      <c r="BC143">
        <v>196</v>
      </c>
      <c r="BD143" t="s">
        <v>74</v>
      </c>
      <c r="BE143" t="s">
        <v>74</v>
      </c>
      <c r="BF143" t="s">
        <v>74</v>
      </c>
      <c r="BG143" t="s">
        <v>74</v>
      </c>
      <c r="BH143" t="s">
        <v>74</v>
      </c>
      <c r="BI143">
        <v>16</v>
      </c>
      <c r="BJ143" t="s">
        <v>318</v>
      </c>
      <c r="BK143" t="s">
        <v>102</v>
      </c>
      <c r="BL143" t="s">
        <v>318</v>
      </c>
      <c r="BM143" t="s">
        <v>3164</v>
      </c>
      <c r="BN143" t="s">
        <v>74</v>
      </c>
      <c r="BO143" t="s">
        <v>74</v>
      </c>
      <c r="BP143" t="s">
        <v>74</v>
      </c>
      <c r="BQ143" t="s">
        <v>74</v>
      </c>
      <c r="BR143" t="s">
        <v>106</v>
      </c>
      <c r="BS143" t="s">
        <v>3165</v>
      </c>
      <c r="BT143" t="str">
        <f>HYPERLINK("https%3A%2F%2Fwww.webofscience.com%2Fwos%2Fwoscc%2Ffull-record%2FWOS:000727616300001","View Full Record in Web of Science")</f>
        <v>View Full Record in Web of Science</v>
      </c>
    </row>
    <row r="144" spans="1:72" x14ac:dyDescent="0.25">
      <c r="A144" t="s">
        <v>108</v>
      </c>
      <c r="B144" t="s">
        <v>3166</v>
      </c>
      <c r="C144" t="s">
        <v>74</v>
      </c>
      <c r="D144" t="s">
        <v>3167</v>
      </c>
      <c r="E144" t="s">
        <v>74</v>
      </c>
      <c r="F144" t="s">
        <v>3168</v>
      </c>
      <c r="G144" t="s">
        <v>74</v>
      </c>
      <c r="H144" t="s">
        <v>74</v>
      </c>
      <c r="I144" t="s">
        <v>3169</v>
      </c>
      <c r="J144" t="s">
        <v>3170</v>
      </c>
      <c r="K144" t="s">
        <v>74</v>
      </c>
      <c r="L144" t="s">
        <v>74</v>
      </c>
      <c r="M144" t="s">
        <v>78</v>
      </c>
      <c r="N144" t="s">
        <v>115</v>
      </c>
      <c r="O144" t="s">
        <v>3171</v>
      </c>
      <c r="P144" t="s">
        <v>3172</v>
      </c>
      <c r="Q144" t="s">
        <v>3173</v>
      </c>
      <c r="R144" t="s">
        <v>3174</v>
      </c>
      <c r="S144" t="s">
        <v>74</v>
      </c>
      <c r="T144" t="s">
        <v>3175</v>
      </c>
      <c r="U144" t="s">
        <v>74</v>
      </c>
      <c r="V144" t="s">
        <v>3176</v>
      </c>
      <c r="W144" t="s">
        <v>3177</v>
      </c>
      <c r="X144" t="s">
        <v>3178</v>
      </c>
      <c r="Y144" t="s">
        <v>3179</v>
      </c>
      <c r="Z144" t="s">
        <v>3180</v>
      </c>
      <c r="AA144" t="s">
        <v>3181</v>
      </c>
      <c r="AB144" t="s">
        <v>3182</v>
      </c>
      <c r="AC144" t="s">
        <v>3183</v>
      </c>
      <c r="AD144" t="s">
        <v>3184</v>
      </c>
      <c r="AE144" t="s">
        <v>3185</v>
      </c>
      <c r="AF144" t="s">
        <v>74</v>
      </c>
      <c r="AG144">
        <v>20</v>
      </c>
      <c r="AH144">
        <v>1</v>
      </c>
      <c r="AI144">
        <v>1</v>
      </c>
      <c r="AJ144">
        <v>0</v>
      </c>
      <c r="AK144">
        <v>1</v>
      </c>
      <c r="AL144" t="s">
        <v>947</v>
      </c>
      <c r="AM144" t="s">
        <v>948</v>
      </c>
      <c r="AN144" t="s">
        <v>949</v>
      </c>
      <c r="AO144" t="s">
        <v>74</v>
      </c>
      <c r="AP144" t="s">
        <v>74</v>
      </c>
      <c r="AQ144" t="s">
        <v>3186</v>
      </c>
      <c r="AR144" t="s">
        <v>74</v>
      </c>
      <c r="AS144" t="s">
        <v>74</v>
      </c>
      <c r="AT144" t="s">
        <v>74</v>
      </c>
      <c r="AU144">
        <v>2010</v>
      </c>
      <c r="AV144" t="s">
        <v>74</v>
      </c>
      <c r="AW144" t="s">
        <v>74</v>
      </c>
      <c r="AX144" t="s">
        <v>74</v>
      </c>
      <c r="AY144" t="s">
        <v>74</v>
      </c>
      <c r="AZ144" t="s">
        <v>74</v>
      </c>
      <c r="BA144" t="s">
        <v>74</v>
      </c>
      <c r="BB144">
        <v>360</v>
      </c>
      <c r="BC144">
        <v>364</v>
      </c>
      <c r="BD144" t="s">
        <v>74</v>
      </c>
      <c r="BE144" t="s">
        <v>3187</v>
      </c>
      <c r="BF144" t="str">
        <f>HYPERLINK("http://dx.doi.org/10.1109/ASONAM.2010.67","http://dx.doi.org/10.1109/ASONAM.2010.67")</f>
        <v>http://dx.doi.org/10.1109/ASONAM.2010.67</v>
      </c>
      <c r="BG144" t="s">
        <v>74</v>
      </c>
      <c r="BH144" t="s">
        <v>74</v>
      </c>
      <c r="BI144">
        <v>5</v>
      </c>
      <c r="BJ144" t="s">
        <v>202</v>
      </c>
      <c r="BK144" t="s">
        <v>203</v>
      </c>
      <c r="BL144" t="s">
        <v>103</v>
      </c>
      <c r="BM144" t="s">
        <v>3188</v>
      </c>
      <c r="BN144" t="s">
        <v>74</v>
      </c>
      <c r="BO144" t="s">
        <v>74</v>
      </c>
      <c r="BP144" t="s">
        <v>74</v>
      </c>
      <c r="BQ144" t="s">
        <v>74</v>
      </c>
      <c r="BR144" t="s">
        <v>106</v>
      </c>
      <c r="BS144" t="s">
        <v>3189</v>
      </c>
      <c r="BT144" t="str">
        <f>HYPERLINK("https%3A%2F%2Fwww.webofscience.com%2Fwos%2Fwoscc%2Ffull-record%2FWOS:000393301300053","View Full Record in Web of Science")</f>
        <v>View Full Record in Web of Science</v>
      </c>
    </row>
    <row r="145" spans="1:72" x14ac:dyDescent="0.25">
      <c r="A145" t="s">
        <v>108</v>
      </c>
      <c r="B145" t="s">
        <v>3190</v>
      </c>
      <c r="C145" t="s">
        <v>74</v>
      </c>
      <c r="D145" t="s">
        <v>74</v>
      </c>
      <c r="E145" t="s">
        <v>3191</v>
      </c>
      <c r="F145" t="s">
        <v>3192</v>
      </c>
      <c r="G145" t="s">
        <v>74</v>
      </c>
      <c r="H145" t="s">
        <v>74</v>
      </c>
      <c r="I145" t="s">
        <v>3193</v>
      </c>
      <c r="J145" t="s">
        <v>3194</v>
      </c>
      <c r="K145" t="s">
        <v>1509</v>
      </c>
      <c r="L145" t="s">
        <v>74</v>
      </c>
      <c r="M145" t="s">
        <v>78</v>
      </c>
      <c r="N145" t="s">
        <v>115</v>
      </c>
      <c r="O145" t="s">
        <v>3195</v>
      </c>
      <c r="P145" t="s">
        <v>3196</v>
      </c>
      <c r="Q145" t="s">
        <v>3197</v>
      </c>
      <c r="R145" t="s">
        <v>3198</v>
      </c>
      <c r="S145" t="s">
        <v>3199</v>
      </c>
      <c r="T145" t="s">
        <v>74</v>
      </c>
      <c r="U145" t="s">
        <v>74</v>
      </c>
      <c r="V145" t="s">
        <v>3200</v>
      </c>
      <c r="W145" t="s">
        <v>3201</v>
      </c>
      <c r="X145" t="s">
        <v>3202</v>
      </c>
      <c r="Y145" t="s">
        <v>3203</v>
      </c>
      <c r="Z145" t="s">
        <v>3204</v>
      </c>
      <c r="AA145" t="s">
        <v>3205</v>
      </c>
      <c r="AB145" t="s">
        <v>3206</v>
      </c>
      <c r="AC145" t="s">
        <v>3202</v>
      </c>
      <c r="AD145" t="s">
        <v>3202</v>
      </c>
      <c r="AE145" t="s">
        <v>3207</v>
      </c>
      <c r="AF145" t="s">
        <v>74</v>
      </c>
      <c r="AG145">
        <v>10</v>
      </c>
      <c r="AH145">
        <v>0</v>
      </c>
      <c r="AI145">
        <v>0</v>
      </c>
      <c r="AJ145">
        <v>0</v>
      </c>
      <c r="AK145">
        <v>4</v>
      </c>
      <c r="AL145" t="s">
        <v>1518</v>
      </c>
      <c r="AM145" t="s">
        <v>1519</v>
      </c>
      <c r="AN145" t="s">
        <v>1520</v>
      </c>
      <c r="AO145" t="s">
        <v>1521</v>
      </c>
      <c r="AP145" t="s">
        <v>1522</v>
      </c>
      <c r="AQ145" t="s">
        <v>74</v>
      </c>
      <c r="AR145" t="s">
        <v>1523</v>
      </c>
      <c r="AS145" t="s">
        <v>74</v>
      </c>
      <c r="AT145" t="s">
        <v>74</v>
      </c>
      <c r="AU145">
        <v>2018</v>
      </c>
      <c r="AV145">
        <v>953</v>
      </c>
      <c r="AW145" t="s">
        <v>74</v>
      </c>
      <c r="AX145" t="s">
        <v>74</v>
      </c>
      <c r="AY145" t="s">
        <v>74</v>
      </c>
      <c r="AZ145" t="s">
        <v>74</v>
      </c>
      <c r="BA145" t="s">
        <v>74</v>
      </c>
      <c r="BB145" t="s">
        <v>74</v>
      </c>
      <c r="BC145" t="s">
        <v>74</v>
      </c>
      <c r="BD145">
        <v>12172</v>
      </c>
      <c r="BE145" t="s">
        <v>3208</v>
      </c>
      <c r="BF145" t="str">
        <f>HYPERLINK("http://dx.doi.org/10.1088/1742-6596/953/1/012172","http://dx.doi.org/10.1088/1742-6596/953/1/012172")</f>
        <v>http://dx.doi.org/10.1088/1742-6596/953/1/012172</v>
      </c>
      <c r="BG145" t="s">
        <v>74</v>
      </c>
      <c r="BH145" t="s">
        <v>74</v>
      </c>
      <c r="BI145">
        <v>6</v>
      </c>
      <c r="BJ145" t="s">
        <v>3209</v>
      </c>
      <c r="BK145" t="s">
        <v>203</v>
      </c>
      <c r="BL145" t="s">
        <v>3104</v>
      </c>
      <c r="BM145" t="s">
        <v>3210</v>
      </c>
      <c r="BN145" t="s">
        <v>74</v>
      </c>
      <c r="BO145" t="s">
        <v>372</v>
      </c>
      <c r="BP145" t="s">
        <v>74</v>
      </c>
      <c r="BQ145" t="s">
        <v>74</v>
      </c>
      <c r="BR145" t="s">
        <v>106</v>
      </c>
      <c r="BS145" t="s">
        <v>3211</v>
      </c>
      <c r="BT145" t="str">
        <f>HYPERLINK("https%3A%2F%2Fwww.webofscience.com%2Fwos%2Fwoscc%2Ffull-record%2FWOS:000446204400171","View Full Record in Web of Science")</f>
        <v>View Full Record in Web of Science</v>
      </c>
    </row>
    <row r="146" spans="1:72" x14ac:dyDescent="0.25">
      <c r="A146" t="s">
        <v>72</v>
      </c>
      <c r="B146" t="s">
        <v>3212</v>
      </c>
      <c r="C146" t="s">
        <v>74</v>
      </c>
      <c r="D146" t="s">
        <v>74</v>
      </c>
      <c r="E146" t="s">
        <v>74</v>
      </c>
      <c r="F146" t="s">
        <v>3213</v>
      </c>
      <c r="G146" t="s">
        <v>74</v>
      </c>
      <c r="H146" t="s">
        <v>74</v>
      </c>
      <c r="I146" t="s">
        <v>3214</v>
      </c>
      <c r="J146" t="s">
        <v>3215</v>
      </c>
      <c r="K146" t="s">
        <v>74</v>
      </c>
      <c r="L146" t="s">
        <v>74</v>
      </c>
      <c r="M146" t="s">
        <v>78</v>
      </c>
      <c r="N146" t="s">
        <v>79</v>
      </c>
      <c r="O146" t="s">
        <v>74</v>
      </c>
      <c r="P146" t="s">
        <v>74</v>
      </c>
      <c r="Q146" t="s">
        <v>74</v>
      </c>
      <c r="R146" t="s">
        <v>74</v>
      </c>
      <c r="S146" t="s">
        <v>74</v>
      </c>
      <c r="T146" t="s">
        <v>3216</v>
      </c>
      <c r="U146" t="s">
        <v>3217</v>
      </c>
      <c r="V146" t="s">
        <v>3218</v>
      </c>
      <c r="W146" t="s">
        <v>3219</v>
      </c>
      <c r="X146" t="s">
        <v>3220</v>
      </c>
      <c r="Y146" t="s">
        <v>3221</v>
      </c>
      <c r="Z146" t="s">
        <v>3222</v>
      </c>
      <c r="AA146" t="s">
        <v>3223</v>
      </c>
      <c r="AB146" t="s">
        <v>3224</v>
      </c>
      <c r="AC146" t="s">
        <v>3225</v>
      </c>
      <c r="AD146" t="s">
        <v>3226</v>
      </c>
      <c r="AE146" t="s">
        <v>3227</v>
      </c>
      <c r="AF146" t="s">
        <v>74</v>
      </c>
      <c r="AG146">
        <v>50</v>
      </c>
      <c r="AH146">
        <v>14</v>
      </c>
      <c r="AI146">
        <v>17</v>
      </c>
      <c r="AJ146">
        <v>2</v>
      </c>
      <c r="AK146">
        <v>60</v>
      </c>
      <c r="AL146" t="s">
        <v>310</v>
      </c>
      <c r="AM146" t="s">
        <v>311</v>
      </c>
      <c r="AN146" t="s">
        <v>312</v>
      </c>
      <c r="AO146" t="s">
        <v>3228</v>
      </c>
      <c r="AP146" t="s">
        <v>3229</v>
      </c>
      <c r="AQ146" t="s">
        <v>74</v>
      </c>
      <c r="AR146" t="s">
        <v>3230</v>
      </c>
      <c r="AS146" t="s">
        <v>3231</v>
      </c>
      <c r="AT146" t="s">
        <v>3232</v>
      </c>
      <c r="AU146">
        <v>2021</v>
      </c>
      <c r="AV146">
        <v>41</v>
      </c>
      <c r="AW146">
        <v>3</v>
      </c>
      <c r="AX146" t="s">
        <v>74</v>
      </c>
      <c r="AY146" t="s">
        <v>74</v>
      </c>
      <c r="AZ146" t="s">
        <v>74</v>
      </c>
      <c r="BA146" t="s">
        <v>74</v>
      </c>
      <c r="BB146">
        <v>574</v>
      </c>
      <c r="BC146">
        <v>593</v>
      </c>
      <c r="BD146" t="s">
        <v>74</v>
      </c>
      <c r="BE146" t="s">
        <v>3233</v>
      </c>
      <c r="BF146" t="str">
        <f>HYPERLINK("http://dx.doi.org/10.1080/02188791.2020.1832043","http://dx.doi.org/10.1080/02188791.2020.1832043")</f>
        <v>http://dx.doi.org/10.1080/02188791.2020.1832043</v>
      </c>
      <c r="BG146" t="s">
        <v>74</v>
      </c>
      <c r="BH146" t="s">
        <v>3234</v>
      </c>
      <c r="BI146">
        <v>20</v>
      </c>
      <c r="BJ146" t="s">
        <v>318</v>
      </c>
      <c r="BK146" t="s">
        <v>250</v>
      </c>
      <c r="BL146" t="s">
        <v>318</v>
      </c>
      <c r="BM146" t="s">
        <v>3235</v>
      </c>
      <c r="BN146" t="s">
        <v>74</v>
      </c>
      <c r="BO146" t="s">
        <v>74</v>
      </c>
      <c r="BP146" t="s">
        <v>74</v>
      </c>
      <c r="BQ146" t="s">
        <v>74</v>
      </c>
      <c r="BR146" t="s">
        <v>106</v>
      </c>
      <c r="BS146" t="s">
        <v>3236</v>
      </c>
      <c r="BT146" t="str">
        <f>HYPERLINK("https%3A%2F%2Fwww.webofscience.com%2Fwos%2Fwoscc%2Ffull-record%2FWOS:000585414300001","View Full Record in Web of Science")</f>
        <v>View Full Record in Web of Science</v>
      </c>
    </row>
    <row r="147" spans="1:72" x14ac:dyDescent="0.25">
      <c r="A147" t="s">
        <v>72</v>
      </c>
      <c r="B147" t="s">
        <v>3237</v>
      </c>
      <c r="C147" t="s">
        <v>74</v>
      </c>
      <c r="D147" t="s">
        <v>74</v>
      </c>
      <c r="E147" t="s">
        <v>74</v>
      </c>
      <c r="F147" t="s">
        <v>3238</v>
      </c>
      <c r="G147" t="s">
        <v>74</v>
      </c>
      <c r="H147" t="s">
        <v>74</v>
      </c>
      <c r="I147" t="s">
        <v>3239</v>
      </c>
      <c r="J147" t="s">
        <v>3240</v>
      </c>
      <c r="K147" t="s">
        <v>74</v>
      </c>
      <c r="L147" t="s">
        <v>74</v>
      </c>
      <c r="M147" t="s">
        <v>78</v>
      </c>
      <c r="N147" t="s">
        <v>79</v>
      </c>
      <c r="O147" t="s">
        <v>74</v>
      </c>
      <c r="P147" t="s">
        <v>74</v>
      </c>
      <c r="Q147" t="s">
        <v>74</v>
      </c>
      <c r="R147" t="s">
        <v>74</v>
      </c>
      <c r="S147" t="s">
        <v>74</v>
      </c>
      <c r="T147" t="s">
        <v>3241</v>
      </c>
      <c r="U147" t="s">
        <v>3242</v>
      </c>
      <c r="V147" t="s">
        <v>3243</v>
      </c>
      <c r="W147" t="s">
        <v>3244</v>
      </c>
      <c r="X147" t="s">
        <v>3245</v>
      </c>
      <c r="Y147" t="s">
        <v>3246</v>
      </c>
      <c r="Z147" t="s">
        <v>3247</v>
      </c>
      <c r="AA147" t="s">
        <v>74</v>
      </c>
      <c r="AB147" t="s">
        <v>3248</v>
      </c>
      <c r="AC147" t="s">
        <v>3249</v>
      </c>
      <c r="AD147" t="s">
        <v>3250</v>
      </c>
      <c r="AE147" t="s">
        <v>3251</v>
      </c>
      <c r="AF147" t="s">
        <v>74</v>
      </c>
      <c r="AG147">
        <v>47</v>
      </c>
      <c r="AH147">
        <v>8</v>
      </c>
      <c r="AI147">
        <v>9</v>
      </c>
      <c r="AJ147">
        <v>0</v>
      </c>
      <c r="AK147">
        <v>14</v>
      </c>
      <c r="AL147" t="s">
        <v>362</v>
      </c>
      <c r="AM147" t="s">
        <v>363</v>
      </c>
      <c r="AN147" t="s">
        <v>364</v>
      </c>
      <c r="AO147" t="s">
        <v>3252</v>
      </c>
      <c r="AP147" t="s">
        <v>3253</v>
      </c>
      <c r="AQ147" t="s">
        <v>74</v>
      </c>
      <c r="AR147" t="s">
        <v>3254</v>
      </c>
      <c r="AS147" t="s">
        <v>3255</v>
      </c>
      <c r="AT147" t="s">
        <v>3256</v>
      </c>
      <c r="AU147">
        <v>2021</v>
      </c>
      <c r="AV147">
        <v>230</v>
      </c>
      <c r="AW147" t="s">
        <v>74</v>
      </c>
      <c r="AX147" t="s">
        <v>74</v>
      </c>
      <c r="AY147" t="s">
        <v>74</v>
      </c>
      <c r="AZ147" t="s">
        <v>74</v>
      </c>
      <c r="BA147" t="s">
        <v>74</v>
      </c>
      <c r="BB147" t="s">
        <v>74</v>
      </c>
      <c r="BC147" t="s">
        <v>74</v>
      </c>
      <c r="BD147">
        <v>107402</v>
      </c>
      <c r="BE147" t="s">
        <v>3257</v>
      </c>
      <c r="BF147" t="str">
        <f>HYPERLINK("http://dx.doi.org/10.1016/j.knosys.2021.107402","http://dx.doi.org/10.1016/j.knosys.2021.107402")</f>
        <v>http://dx.doi.org/10.1016/j.knosys.2021.107402</v>
      </c>
      <c r="BG147" t="s">
        <v>74</v>
      </c>
      <c r="BH147" t="s">
        <v>3258</v>
      </c>
      <c r="BI147">
        <v>13</v>
      </c>
      <c r="BJ147" t="s">
        <v>807</v>
      </c>
      <c r="BK147" t="s">
        <v>902</v>
      </c>
      <c r="BL147" t="s">
        <v>103</v>
      </c>
      <c r="BM147" t="s">
        <v>3259</v>
      </c>
      <c r="BN147" t="s">
        <v>74</v>
      </c>
      <c r="BO147" t="s">
        <v>74</v>
      </c>
      <c r="BP147" t="s">
        <v>74</v>
      </c>
      <c r="BQ147" t="s">
        <v>74</v>
      </c>
      <c r="BR147" t="s">
        <v>106</v>
      </c>
      <c r="BS147" t="s">
        <v>3260</v>
      </c>
      <c r="BT147" t="str">
        <f>HYPERLINK("https%3A%2F%2Fwww.webofscience.com%2Fwos%2Fwoscc%2Ffull-record%2FWOS:000697004300006","View Full Record in Web of Science")</f>
        <v>View Full Record in Web of Science</v>
      </c>
    </row>
    <row r="148" spans="1:72" x14ac:dyDescent="0.25">
      <c r="A148" t="s">
        <v>108</v>
      </c>
      <c r="B148" t="s">
        <v>3261</v>
      </c>
      <c r="C148" t="s">
        <v>74</v>
      </c>
      <c r="D148" t="s">
        <v>74</v>
      </c>
      <c r="E148" t="s">
        <v>322</v>
      </c>
      <c r="F148" t="s">
        <v>3262</v>
      </c>
      <c r="G148" t="s">
        <v>74</v>
      </c>
      <c r="H148" t="s">
        <v>74</v>
      </c>
      <c r="I148" t="s">
        <v>3263</v>
      </c>
      <c r="J148" t="s">
        <v>3264</v>
      </c>
      <c r="K148" t="s">
        <v>74</v>
      </c>
      <c r="L148" t="s">
        <v>74</v>
      </c>
      <c r="M148" t="s">
        <v>78</v>
      </c>
      <c r="N148" t="s">
        <v>115</v>
      </c>
      <c r="O148" t="s">
        <v>3265</v>
      </c>
      <c r="P148" t="s">
        <v>3266</v>
      </c>
      <c r="Q148" t="s">
        <v>3267</v>
      </c>
      <c r="R148" t="s">
        <v>74</v>
      </c>
      <c r="S148" t="s">
        <v>3268</v>
      </c>
      <c r="T148" t="s">
        <v>3269</v>
      </c>
      <c r="U148" t="s">
        <v>74</v>
      </c>
      <c r="V148" t="s">
        <v>3270</v>
      </c>
      <c r="W148" t="s">
        <v>3271</v>
      </c>
      <c r="X148" t="s">
        <v>3272</v>
      </c>
      <c r="Y148" t="s">
        <v>3273</v>
      </c>
      <c r="Z148" t="s">
        <v>3274</v>
      </c>
      <c r="AA148" t="s">
        <v>74</v>
      </c>
      <c r="AB148" t="s">
        <v>3275</v>
      </c>
      <c r="AC148" t="s">
        <v>74</v>
      </c>
      <c r="AD148" t="s">
        <v>74</v>
      </c>
      <c r="AE148" t="s">
        <v>74</v>
      </c>
      <c r="AF148" t="s">
        <v>74</v>
      </c>
      <c r="AG148">
        <v>28</v>
      </c>
      <c r="AH148">
        <v>1</v>
      </c>
      <c r="AI148">
        <v>1</v>
      </c>
      <c r="AJ148">
        <v>0</v>
      </c>
      <c r="AK148">
        <v>5</v>
      </c>
      <c r="AL148" t="s">
        <v>291</v>
      </c>
      <c r="AM148" t="s">
        <v>92</v>
      </c>
      <c r="AN148" t="s">
        <v>292</v>
      </c>
      <c r="AO148" t="s">
        <v>74</v>
      </c>
      <c r="AP148" t="s">
        <v>74</v>
      </c>
      <c r="AQ148" t="s">
        <v>3276</v>
      </c>
      <c r="AR148" t="s">
        <v>74</v>
      </c>
      <c r="AS148" t="s">
        <v>74</v>
      </c>
      <c r="AT148" t="s">
        <v>74</v>
      </c>
      <c r="AU148">
        <v>2016</v>
      </c>
      <c r="AV148" t="s">
        <v>74</v>
      </c>
      <c r="AW148" t="s">
        <v>74</v>
      </c>
      <c r="AX148" t="s">
        <v>74</v>
      </c>
      <c r="AY148" t="s">
        <v>74</v>
      </c>
      <c r="AZ148" t="s">
        <v>74</v>
      </c>
      <c r="BA148" t="s">
        <v>74</v>
      </c>
      <c r="BB148">
        <v>146</v>
      </c>
      <c r="BC148">
        <v>151</v>
      </c>
      <c r="BD148" t="s">
        <v>74</v>
      </c>
      <c r="BE148" t="s">
        <v>3277</v>
      </c>
      <c r="BF148" t="str">
        <f>HYPERLINK("http://dx.doi.org/10.1145/3007669.3007692","http://dx.doi.org/10.1145/3007669.3007692")</f>
        <v>http://dx.doi.org/10.1145/3007669.3007692</v>
      </c>
      <c r="BG148" t="s">
        <v>74</v>
      </c>
      <c r="BH148" t="s">
        <v>74</v>
      </c>
      <c r="BI148">
        <v>6</v>
      </c>
      <c r="BJ148" t="s">
        <v>696</v>
      </c>
      <c r="BK148" t="s">
        <v>203</v>
      </c>
      <c r="BL148" t="s">
        <v>103</v>
      </c>
      <c r="BM148" t="s">
        <v>3278</v>
      </c>
      <c r="BN148" t="s">
        <v>74</v>
      </c>
      <c r="BO148" t="s">
        <v>346</v>
      </c>
      <c r="BP148" t="s">
        <v>74</v>
      </c>
      <c r="BQ148" t="s">
        <v>74</v>
      </c>
      <c r="BR148" t="s">
        <v>106</v>
      </c>
      <c r="BS148" t="s">
        <v>3279</v>
      </c>
      <c r="BT148" t="str">
        <f>HYPERLINK("https%3A%2F%2Fwww.webofscience.com%2Fwos%2Fwoscc%2Ffull-record%2FWOS:000403663900033","View Full Record in Web of Science")</f>
        <v>View Full Record in Web of Science</v>
      </c>
    </row>
    <row r="149" spans="1:72" x14ac:dyDescent="0.25">
      <c r="A149" t="s">
        <v>72</v>
      </c>
      <c r="B149" t="s">
        <v>3280</v>
      </c>
      <c r="C149" t="s">
        <v>74</v>
      </c>
      <c r="D149" t="s">
        <v>74</v>
      </c>
      <c r="E149" t="s">
        <v>74</v>
      </c>
      <c r="F149" t="s">
        <v>3281</v>
      </c>
      <c r="G149" t="s">
        <v>74</v>
      </c>
      <c r="H149" t="s">
        <v>74</v>
      </c>
      <c r="I149" t="s">
        <v>3282</v>
      </c>
      <c r="J149" t="s">
        <v>3283</v>
      </c>
      <c r="K149" t="s">
        <v>74</v>
      </c>
      <c r="L149" t="s">
        <v>74</v>
      </c>
      <c r="M149" t="s">
        <v>78</v>
      </c>
      <c r="N149" t="s">
        <v>79</v>
      </c>
      <c r="O149" t="s">
        <v>74</v>
      </c>
      <c r="P149" t="s">
        <v>74</v>
      </c>
      <c r="Q149" t="s">
        <v>74</v>
      </c>
      <c r="R149" t="s">
        <v>74</v>
      </c>
      <c r="S149" t="s">
        <v>74</v>
      </c>
      <c r="T149" t="s">
        <v>3284</v>
      </c>
      <c r="U149" t="s">
        <v>3285</v>
      </c>
      <c r="V149" t="s">
        <v>3286</v>
      </c>
      <c r="W149" t="s">
        <v>3287</v>
      </c>
      <c r="X149" t="s">
        <v>3288</v>
      </c>
      <c r="Y149" t="s">
        <v>3289</v>
      </c>
      <c r="Z149" t="s">
        <v>3290</v>
      </c>
      <c r="AA149" t="s">
        <v>74</v>
      </c>
      <c r="AB149" t="s">
        <v>74</v>
      </c>
      <c r="AC149" t="s">
        <v>3291</v>
      </c>
      <c r="AD149" t="s">
        <v>3292</v>
      </c>
      <c r="AE149" t="s">
        <v>3293</v>
      </c>
      <c r="AF149" t="s">
        <v>74</v>
      </c>
      <c r="AG149">
        <v>34</v>
      </c>
      <c r="AH149">
        <v>12</v>
      </c>
      <c r="AI149">
        <v>20</v>
      </c>
      <c r="AJ149">
        <v>0</v>
      </c>
      <c r="AK149">
        <v>34</v>
      </c>
      <c r="AL149" t="s">
        <v>178</v>
      </c>
      <c r="AM149" t="s">
        <v>1005</v>
      </c>
      <c r="AN149" t="s">
        <v>1006</v>
      </c>
      <c r="AO149" t="s">
        <v>3294</v>
      </c>
      <c r="AP149" t="s">
        <v>3295</v>
      </c>
      <c r="AQ149" t="s">
        <v>74</v>
      </c>
      <c r="AR149" t="s">
        <v>3296</v>
      </c>
      <c r="AS149" t="s">
        <v>3297</v>
      </c>
      <c r="AT149" t="s">
        <v>98</v>
      </c>
      <c r="AU149">
        <v>2017</v>
      </c>
      <c r="AV149">
        <v>45</v>
      </c>
      <c r="AW149">
        <v>6</v>
      </c>
      <c r="AX149" t="s">
        <v>74</v>
      </c>
      <c r="AY149" t="s">
        <v>74</v>
      </c>
      <c r="AZ149" t="s">
        <v>74</v>
      </c>
      <c r="BA149" t="s">
        <v>74</v>
      </c>
      <c r="BB149">
        <v>789</v>
      </c>
      <c r="BC149">
        <v>804</v>
      </c>
      <c r="BD149" t="s">
        <v>74</v>
      </c>
      <c r="BE149" t="s">
        <v>3298</v>
      </c>
      <c r="BF149" t="str">
        <f>HYPERLINK("http://dx.doi.org/10.1007/s11251-017-9427-z","http://dx.doi.org/10.1007/s11251-017-9427-z")</f>
        <v>http://dx.doi.org/10.1007/s11251-017-9427-z</v>
      </c>
      <c r="BG149" t="s">
        <v>74</v>
      </c>
      <c r="BH149" t="s">
        <v>74</v>
      </c>
      <c r="BI149">
        <v>16</v>
      </c>
      <c r="BJ149" t="s">
        <v>664</v>
      </c>
      <c r="BK149" t="s">
        <v>250</v>
      </c>
      <c r="BL149" t="s">
        <v>665</v>
      </c>
      <c r="BM149" t="s">
        <v>3299</v>
      </c>
      <c r="BN149" t="s">
        <v>74</v>
      </c>
      <c r="BO149" t="s">
        <v>74</v>
      </c>
      <c r="BP149" t="s">
        <v>74</v>
      </c>
      <c r="BQ149" t="s">
        <v>74</v>
      </c>
      <c r="BR149" t="s">
        <v>106</v>
      </c>
      <c r="BS149" t="s">
        <v>3300</v>
      </c>
      <c r="BT149" t="str">
        <f>HYPERLINK("https%3A%2F%2Fwww.webofscience.com%2Fwos%2Fwoscc%2Ffull-record%2FWOS:000414418300005","View Full Record in Web of Science")</f>
        <v>View Full Record in Web of Science</v>
      </c>
    </row>
    <row r="150" spans="1:72" x14ac:dyDescent="0.25">
      <c r="A150" t="s">
        <v>72</v>
      </c>
      <c r="B150" t="s">
        <v>3301</v>
      </c>
      <c r="C150" t="s">
        <v>74</v>
      </c>
      <c r="D150" t="s">
        <v>74</v>
      </c>
      <c r="E150" t="s">
        <v>74</v>
      </c>
      <c r="F150" t="s">
        <v>3302</v>
      </c>
      <c r="G150" t="s">
        <v>74</v>
      </c>
      <c r="H150" t="s">
        <v>74</v>
      </c>
      <c r="I150" t="s">
        <v>3303</v>
      </c>
      <c r="J150" t="s">
        <v>3304</v>
      </c>
      <c r="K150" t="s">
        <v>74</v>
      </c>
      <c r="L150" t="s">
        <v>74</v>
      </c>
      <c r="M150" t="s">
        <v>78</v>
      </c>
      <c r="N150" t="s">
        <v>79</v>
      </c>
      <c r="O150" t="s">
        <v>74</v>
      </c>
      <c r="P150" t="s">
        <v>74</v>
      </c>
      <c r="Q150" t="s">
        <v>74</v>
      </c>
      <c r="R150" t="s">
        <v>74</v>
      </c>
      <c r="S150" t="s">
        <v>74</v>
      </c>
      <c r="T150" t="s">
        <v>3305</v>
      </c>
      <c r="U150" t="s">
        <v>74</v>
      </c>
      <c r="V150" t="s">
        <v>3306</v>
      </c>
      <c r="W150" t="s">
        <v>3307</v>
      </c>
      <c r="X150" t="s">
        <v>74</v>
      </c>
      <c r="Y150" t="s">
        <v>3308</v>
      </c>
      <c r="Z150" t="s">
        <v>3309</v>
      </c>
      <c r="AA150" t="s">
        <v>74</v>
      </c>
      <c r="AB150" t="s">
        <v>3310</v>
      </c>
      <c r="AC150" t="s">
        <v>3311</v>
      </c>
      <c r="AD150" t="s">
        <v>3311</v>
      </c>
      <c r="AE150" t="s">
        <v>3312</v>
      </c>
      <c r="AF150" t="s">
        <v>74</v>
      </c>
      <c r="AG150">
        <v>8</v>
      </c>
      <c r="AH150">
        <v>1</v>
      </c>
      <c r="AI150">
        <v>1</v>
      </c>
      <c r="AJ150">
        <v>0</v>
      </c>
      <c r="AK150">
        <v>9</v>
      </c>
      <c r="AL150" t="s">
        <v>3313</v>
      </c>
      <c r="AM150" t="s">
        <v>3314</v>
      </c>
      <c r="AN150" t="s">
        <v>3315</v>
      </c>
      <c r="AO150" t="s">
        <v>3316</v>
      </c>
      <c r="AP150" t="s">
        <v>74</v>
      </c>
      <c r="AQ150" t="s">
        <v>74</v>
      </c>
      <c r="AR150" t="s">
        <v>3317</v>
      </c>
      <c r="AS150" t="s">
        <v>3318</v>
      </c>
      <c r="AT150" t="s">
        <v>74</v>
      </c>
      <c r="AU150">
        <v>2012</v>
      </c>
      <c r="AV150">
        <v>9</v>
      </c>
      <c r="AW150">
        <v>2</v>
      </c>
      <c r="AX150" t="s">
        <v>74</v>
      </c>
      <c r="AY150" t="s">
        <v>74</v>
      </c>
      <c r="AZ150" t="s">
        <v>74</v>
      </c>
      <c r="BA150" t="s">
        <v>74</v>
      </c>
      <c r="BB150">
        <v>57</v>
      </c>
      <c r="BC150">
        <v>60</v>
      </c>
      <c r="BD150" t="s">
        <v>74</v>
      </c>
      <c r="BE150" t="s">
        <v>74</v>
      </c>
      <c r="BF150" t="s">
        <v>74</v>
      </c>
      <c r="BG150" t="s">
        <v>74</v>
      </c>
      <c r="BH150" t="s">
        <v>74</v>
      </c>
      <c r="BI150">
        <v>4</v>
      </c>
      <c r="BJ150" t="s">
        <v>3319</v>
      </c>
      <c r="BK150" t="s">
        <v>902</v>
      </c>
      <c r="BL150" t="s">
        <v>3320</v>
      </c>
      <c r="BM150" t="s">
        <v>3321</v>
      </c>
      <c r="BN150" t="s">
        <v>74</v>
      </c>
      <c r="BO150" t="s">
        <v>74</v>
      </c>
      <c r="BP150" t="s">
        <v>74</v>
      </c>
      <c r="BQ150" t="s">
        <v>74</v>
      </c>
      <c r="BR150" t="s">
        <v>106</v>
      </c>
      <c r="BS150" t="s">
        <v>3322</v>
      </c>
      <c r="BT150" t="str">
        <f>HYPERLINK("https%3A%2F%2Fwww.webofscience.com%2Fwos%2Fwoscc%2Ffull-record%2FWOS:000309728600011","View Full Record in Web of Science")</f>
        <v>View Full Record in Web of Science</v>
      </c>
    </row>
    <row r="151" spans="1:72" x14ac:dyDescent="0.25">
      <c r="A151" t="s">
        <v>108</v>
      </c>
      <c r="B151" t="s">
        <v>3323</v>
      </c>
      <c r="C151" t="s">
        <v>74</v>
      </c>
      <c r="D151" t="s">
        <v>3324</v>
      </c>
      <c r="E151" t="s">
        <v>74</v>
      </c>
      <c r="F151" t="s">
        <v>3325</v>
      </c>
      <c r="G151" t="s">
        <v>74</v>
      </c>
      <c r="H151" t="s">
        <v>74</v>
      </c>
      <c r="I151" t="s">
        <v>3326</v>
      </c>
      <c r="J151" t="s">
        <v>3327</v>
      </c>
      <c r="K151" t="s">
        <v>3328</v>
      </c>
      <c r="L151" t="s">
        <v>74</v>
      </c>
      <c r="M151" t="s">
        <v>78</v>
      </c>
      <c r="N151" t="s">
        <v>115</v>
      </c>
      <c r="O151" t="s">
        <v>3329</v>
      </c>
      <c r="P151" t="s">
        <v>3330</v>
      </c>
      <c r="Q151" t="s">
        <v>2643</v>
      </c>
      <c r="R151" t="s">
        <v>3331</v>
      </c>
      <c r="S151" t="s">
        <v>74</v>
      </c>
      <c r="T151" t="s">
        <v>3332</v>
      </c>
      <c r="U151" t="s">
        <v>74</v>
      </c>
      <c r="V151" t="s">
        <v>3333</v>
      </c>
      <c r="W151" t="s">
        <v>3334</v>
      </c>
      <c r="X151" t="s">
        <v>3335</v>
      </c>
      <c r="Y151" t="s">
        <v>3336</v>
      </c>
      <c r="Z151" t="s">
        <v>3337</v>
      </c>
      <c r="AA151" t="s">
        <v>74</v>
      </c>
      <c r="AB151" t="s">
        <v>74</v>
      </c>
      <c r="AC151" t="s">
        <v>3338</v>
      </c>
      <c r="AD151" t="s">
        <v>3339</v>
      </c>
      <c r="AE151" t="s">
        <v>3340</v>
      </c>
      <c r="AF151" t="s">
        <v>74</v>
      </c>
      <c r="AG151">
        <v>19</v>
      </c>
      <c r="AH151">
        <v>0</v>
      </c>
      <c r="AI151">
        <v>0</v>
      </c>
      <c r="AJ151">
        <v>0</v>
      </c>
      <c r="AK151">
        <v>0</v>
      </c>
      <c r="AL151" t="s">
        <v>947</v>
      </c>
      <c r="AM151" t="s">
        <v>948</v>
      </c>
      <c r="AN151" t="s">
        <v>949</v>
      </c>
      <c r="AO151" t="s">
        <v>3341</v>
      </c>
      <c r="AP151" t="s">
        <v>74</v>
      </c>
      <c r="AQ151" t="s">
        <v>3342</v>
      </c>
      <c r="AR151" t="s">
        <v>3343</v>
      </c>
      <c r="AS151" t="s">
        <v>74</v>
      </c>
      <c r="AT151" t="s">
        <v>74</v>
      </c>
      <c r="AU151">
        <v>2019</v>
      </c>
      <c r="AV151" t="s">
        <v>74</v>
      </c>
      <c r="AW151" t="s">
        <v>74</v>
      </c>
      <c r="AX151" t="s">
        <v>74</v>
      </c>
      <c r="AY151" t="s">
        <v>74</v>
      </c>
      <c r="AZ151" t="s">
        <v>74</v>
      </c>
      <c r="BA151" t="s">
        <v>74</v>
      </c>
      <c r="BB151">
        <v>665</v>
      </c>
      <c r="BC151">
        <v>672</v>
      </c>
      <c r="BD151" t="s">
        <v>74</v>
      </c>
      <c r="BE151" t="s">
        <v>3344</v>
      </c>
      <c r="BF151" t="str">
        <f>HYPERLINK("http://dx.doi.org/10.1109/ICDMW.2019.00101","http://dx.doi.org/10.1109/ICDMW.2019.00101")</f>
        <v>http://dx.doi.org/10.1109/ICDMW.2019.00101</v>
      </c>
      <c r="BG151" t="s">
        <v>74</v>
      </c>
      <c r="BH151" t="s">
        <v>74</v>
      </c>
      <c r="BI151">
        <v>8</v>
      </c>
      <c r="BJ151" t="s">
        <v>3345</v>
      </c>
      <c r="BK151" t="s">
        <v>203</v>
      </c>
      <c r="BL151" t="s">
        <v>103</v>
      </c>
      <c r="BM151" t="s">
        <v>3346</v>
      </c>
      <c r="BN151" t="s">
        <v>74</v>
      </c>
      <c r="BO151" t="s">
        <v>346</v>
      </c>
      <c r="BP151" t="s">
        <v>74</v>
      </c>
      <c r="BQ151" t="s">
        <v>74</v>
      </c>
      <c r="BR151" t="s">
        <v>106</v>
      </c>
      <c r="BS151" t="s">
        <v>3347</v>
      </c>
      <c r="BT151" t="str">
        <f>HYPERLINK("https%3A%2F%2Fwww.webofscience.com%2Fwos%2Fwoscc%2Ffull-record%2FWOS:001463475000093","View Full Record in Web of Science")</f>
        <v>View Full Record in Web of Science</v>
      </c>
    </row>
    <row r="152" spans="1:72" x14ac:dyDescent="0.25">
      <c r="A152" t="s">
        <v>108</v>
      </c>
      <c r="B152" t="s">
        <v>3348</v>
      </c>
      <c r="C152" t="s">
        <v>74</v>
      </c>
      <c r="D152" t="s">
        <v>3349</v>
      </c>
      <c r="E152" t="s">
        <v>74</v>
      </c>
      <c r="F152" t="s">
        <v>3350</v>
      </c>
      <c r="G152" t="s">
        <v>74</v>
      </c>
      <c r="H152" t="s">
        <v>74</v>
      </c>
      <c r="I152" t="s">
        <v>3351</v>
      </c>
      <c r="J152" t="s">
        <v>3352</v>
      </c>
      <c r="K152" t="s">
        <v>114</v>
      </c>
      <c r="L152" t="s">
        <v>74</v>
      </c>
      <c r="M152" t="s">
        <v>78</v>
      </c>
      <c r="N152" t="s">
        <v>115</v>
      </c>
      <c r="O152" t="s">
        <v>3353</v>
      </c>
      <c r="P152" t="s">
        <v>3354</v>
      </c>
      <c r="Q152" t="s">
        <v>3355</v>
      </c>
      <c r="R152" t="s">
        <v>3356</v>
      </c>
      <c r="S152" t="s">
        <v>3357</v>
      </c>
      <c r="T152" t="s">
        <v>3358</v>
      </c>
      <c r="U152" t="s">
        <v>1421</v>
      </c>
      <c r="V152" t="s">
        <v>3359</v>
      </c>
      <c r="W152" t="s">
        <v>3360</v>
      </c>
      <c r="X152" t="s">
        <v>3361</v>
      </c>
      <c r="Y152" t="s">
        <v>3362</v>
      </c>
      <c r="Z152" t="s">
        <v>3363</v>
      </c>
      <c r="AA152" t="s">
        <v>3364</v>
      </c>
      <c r="AB152" t="s">
        <v>3365</v>
      </c>
      <c r="AC152" t="s">
        <v>74</v>
      </c>
      <c r="AD152" t="s">
        <v>74</v>
      </c>
      <c r="AE152" t="s">
        <v>74</v>
      </c>
      <c r="AF152" t="s">
        <v>74</v>
      </c>
      <c r="AG152">
        <v>14</v>
      </c>
      <c r="AH152">
        <v>1</v>
      </c>
      <c r="AI152">
        <v>1</v>
      </c>
      <c r="AJ152">
        <v>0</v>
      </c>
      <c r="AK152">
        <v>3</v>
      </c>
      <c r="AL152" t="s">
        <v>197</v>
      </c>
      <c r="AM152" t="s">
        <v>198</v>
      </c>
      <c r="AN152" t="s">
        <v>199</v>
      </c>
      <c r="AO152" t="s">
        <v>159</v>
      </c>
      <c r="AP152" t="s">
        <v>133</v>
      </c>
      <c r="AQ152" t="s">
        <v>3366</v>
      </c>
      <c r="AR152" t="s">
        <v>135</v>
      </c>
      <c r="AS152" t="s">
        <v>74</v>
      </c>
      <c r="AT152" t="s">
        <v>74</v>
      </c>
      <c r="AU152">
        <v>2015</v>
      </c>
      <c r="AV152">
        <v>9414</v>
      </c>
      <c r="AW152" t="s">
        <v>74</v>
      </c>
      <c r="AX152" t="s">
        <v>74</v>
      </c>
      <c r="AY152" t="s">
        <v>74</v>
      </c>
      <c r="AZ152" t="s">
        <v>74</v>
      </c>
      <c r="BA152" t="s">
        <v>74</v>
      </c>
      <c r="BB152">
        <v>533</v>
      </c>
      <c r="BC152">
        <v>546</v>
      </c>
      <c r="BD152" t="s">
        <v>74</v>
      </c>
      <c r="BE152" t="s">
        <v>3367</v>
      </c>
      <c r="BF152" t="str">
        <f>HYPERLINK("http://dx.doi.org/10.1007/978-3-319-27101-9_41","http://dx.doi.org/10.1007/978-3-319-27101-9_41")</f>
        <v>http://dx.doi.org/10.1007/978-3-319-27101-9_41</v>
      </c>
      <c r="BG152" t="s">
        <v>74</v>
      </c>
      <c r="BH152" t="s">
        <v>74</v>
      </c>
      <c r="BI152">
        <v>14</v>
      </c>
      <c r="BJ152" t="s">
        <v>3368</v>
      </c>
      <c r="BK152" t="s">
        <v>203</v>
      </c>
      <c r="BL152" t="s">
        <v>3369</v>
      </c>
      <c r="BM152" t="s">
        <v>3370</v>
      </c>
      <c r="BN152" t="s">
        <v>74</v>
      </c>
      <c r="BO152" t="s">
        <v>74</v>
      </c>
      <c r="BP152" t="s">
        <v>74</v>
      </c>
      <c r="BQ152" t="s">
        <v>74</v>
      </c>
      <c r="BR152" t="s">
        <v>106</v>
      </c>
      <c r="BS152" t="s">
        <v>3371</v>
      </c>
      <c r="BT152" t="str">
        <f>HYPERLINK("https%3A%2F%2Fwww.webofscience.com%2Fwos%2Fwoscc%2Ffull-record%2FWOS:000367681400041","View Full Record in Web of Science")</f>
        <v>View Full Record in Web of Science</v>
      </c>
    </row>
    <row r="153" spans="1:72" x14ac:dyDescent="0.25">
      <c r="A153" t="s">
        <v>108</v>
      </c>
      <c r="B153" t="s">
        <v>3372</v>
      </c>
      <c r="C153" t="s">
        <v>74</v>
      </c>
      <c r="D153" t="s">
        <v>3373</v>
      </c>
      <c r="E153" t="s">
        <v>74</v>
      </c>
      <c r="F153" t="s">
        <v>3374</v>
      </c>
      <c r="G153" t="s">
        <v>74</v>
      </c>
      <c r="H153" t="s">
        <v>74</v>
      </c>
      <c r="I153" t="s">
        <v>3375</v>
      </c>
      <c r="J153" t="s">
        <v>3376</v>
      </c>
      <c r="K153" t="s">
        <v>74</v>
      </c>
      <c r="L153" t="s">
        <v>74</v>
      </c>
      <c r="M153" t="s">
        <v>78</v>
      </c>
      <c r="N153" t="s">
        <v>115</v>
      </c>
      <c r="O153" t="s">
        <v>3377</v>
      </c>
      <c r="P153" t="s">
        <v>3378</v>
      </c>
      <c r="Q153" t="s">
        <v>3379</v>
      </c>
      <c r="R153" t="s">
        <v>3380</v>
      </c>
      <c r="S153" t="s">
        <v>74</v>
      </c>
      <c r="T153" t="s">
        <v>3381</v>
      </c>
      <c r="U153" t="s">
        <v>74</v>
      </c>
      <c r="V153" t="s">
        <v>3382</v>
      </c>
      <c r="W153" t="s">
        <v>3383</v>
      </c>
      <c r="X153" t="s">
        <v>3384</v>
      </c>
      <c r="Y153" t="s">
        <v>3385</v>
      </c>
      <c r="Z153" t="s">
        <v>3386</v>
      </c>
      <c r="AA153" t="s">
        <v>3387</v>
      </c>
      <c r="AB153" t="s">
        <v>3388</v>
      </c>
      <c r="AC153" t="s">
        <v>3389</v>
      </c>
      <c r="AD153" t="s">
        <v>3390</v>
      </c>
      <c r="AE153" t="s">
        <v>3391</v>
      </c>
      <c r="AF153" t="s">
        <v>74</v>
      </c>
      <c r="AG153">
        <v>34</v>
      </c>
      <c r="AH153">
        <v>7</v>
      </c>
      <c r="AI153">
        <v>8</v>
      </c>
      <c r="AJ153">
        <v>0</v>
      </c>
      <c r="AK153">
        <v>11</v>
      </c>
      <c r="AL153" t="s">
        <v>465</v>
      </c>
      <c r="AM153" t="s">
        <v>92</v>
      </c>
      <c r="AN153" t="s">
        <v>480</v>
      </c>
      <c r="AO153" t="s">
        <v>74</v>
      </c>
      <c r="AP153" t="s">
        <v>74</v>
      </c>
      <c r="AQ153" t="s">
        <v>3392</v>
      </c>
      <c r="AR153" t="s">
        <v>74</v>
      </c>
      <c r="AS153" t="s">
        <v>74</v>
      </c>
      <c r="AT153" t="s">
        <v>74</v>
      </c>
      <c r="AU153">
        <v>2016</v>
      </c>
      <c r="AV153" t="s">
        <v>74</v>
      </c>
      <c r="AW153" t="s">
        <v>74</v>
      </c>
      <c r="AX153" t="s">
        <v>74</v>
      </c>
      <c r="AY153" t="s">
        <v>74</v>
      </c>
      <c r="AZ153" t="s">
        <v>74</v>
      </c>
      <c r="BA153" t="s">
        <v>74</v>
      </c>
      <c r="BB153">
        <v>3913</v>
      </c>
      <c r="BC153">
        <v>3921</v>
      </c>
      <c r="BD153" t="s">
        <v>74</v>
      </c>
      <c r="BE153" t="s">
        <v>74</v>
      </c>
      <c r="BF153" t="s">
        <v>74</v>
      </c>
      <c r="BG153" t="s">
        <v>74</v>
      </c>
      <c r="BH153" t="s">
        <v>74</v>
      </c>
      <c r="BI153">
        <v>9</v>
      </c>
      <c r="BJ153" t="s">
        <v>696</v>
      </c>
      <c r="BK153" t="s">
        <v>203</v>
      </c>
      <c r="BL153" t="s">
        <v>103</v>
      </c>
      <c r="BM153" t="s">
        <v>3393</v>
      </c>
      <c r="BN153" t="s">
        <v>74</v>
      </c>
      <c r="BO153" t="s">
        <v>74</v>
      </c>
      <c r="BP153" t="s">
        <v>74</v>
      </c>
      <c r="BQ153" t="s">
        <v>74</v>
      </c>
      <c r="BR153" t="s">
        <v>106</v>
      </c>
      <c r="BS153" t="s">
        <v>3394</v>
      </c>
      <c r="BT153" t="str">
        <f>HYPERLINK("https%3A%2F%2Fwww.webofscience.com%2Fwos%2Fwoscc%2Ffull-record%2FWOS:000399115003121","View Full Record in Web of Science")</f>
        <v>View Full Record in Web of Science</v>
      </c>
    </row>
    <row r="154" spans="1:72" x14ac:dyDescent="0.25">
      <c r="A154" t="s">
        <v>72</v>
      </c>
      <c r="B154" t="s">
        <v>3395</v>
      </c>
      <c r="C154" t="s">
        <v>74</v>
      </c>
      <c r="D154" t="s">
        <v>74</v>
      </c>
      <c r="E154" t="s">
        <v>74</v>
      </c>
      <c r="F154" t="s">
        <v>3396</v>
      </c>
      <c r="G154" t="s">
        <v>74</v>
      </c>
      <c r="H154" t="s">
        <v>74</v>
      </c>
      <c r="I154" t="s">
        <v>3397</v>
      </c>
      <c r="J154" t="s">
        <v>3398</v>
      </c>
      <c r="K154" t="s">
        <v>74</v>
      </c>
      <c r="L154" t="s">
        <v>74</v>
      </c>
      <c r="M154" t="s">
        <v>78</v>
      </c>
      <c r="N154" t="s">
        <v>79</v>
      </c>
      <c r="O154" t="s">
        <v>74</v>
      </c>
      <c r="P154" t="s">
        <v>74</v>
      </c>
      <c r="Q154" t="s">
        <v>74</v>
      </c>
      <c r="R154" t="s">
        <v>74</v>
      </c>
      <c r="S154" t="s">
        <v>74</v>
      </c>
      <c r="T154" t="s">
        <v>3399</v>
      </c>
      <c r="U154" t="s">
        <v>3400</v>
      </c>
      <c r="V154" t="s">
        <v>3401</v>
      </c>
      <c r="W154" t="s">
        <v>3402</v>
      </c>
      <c r="X154" t="s">
        <v>3403</v>
      </c>
      <c r="Y154" t="s">
        <v>3404</v>
      </c>
      <c r="Z154" t="s">
        <v>3405</v>
      </c>
      <c r="AA154" t="s">
        <v>3406</v>
      </c>
      <c r="AB154" t="s">
        <v>3407</v>
      </c>
      <c r="AC154" t="s">
        <v>74</v>
      </c>
      <c r="AD154" t="s">
        <v>74</v>
      </c>
      <c r="AE154" t="s">
        <v>74</v>
      </c>
      <c r="AF154" t="s">
        <v>74</v>
      </c>
      <c r="AG154">
        <v>24</v>
      </c>
      <c r="AH154">
        <v>3</v>
      </c>
      <c r="AI154">
        <v>3</v>
      </c>
      <c r="AJ154">
        <v>0</v>
      </c>
      <c r="AK154">
        <v>7</v>
      </c>
      <c r="AL154" t="s">
        <v>178</v>
      </c>
      <c r="AM154" t="s">
        <v>92</v>
      </c>
      <c r="AN154" t="s">
        <v>179</v>
      </c>
      <c r="AO154" t="s">
        <v>3408</v>
      </c>
      <c r="AP154" t="s">
        <v>3409</v>
      </c>
      <c r="AQ154" t="s">
        <v>74</v>
      </c>
      <c r="AR154" t="s">
        <v>3410</v>
      </c>
      <c r="AS154" t="s">
        <v>3411</v>
      </c>
      <c r="AT154" t="s">
        <v>246</v>
      </c>
      <c r="AU154">
        <v>2019</v>
      </c>
      <c r="AV154">
        <v>22</v>
      </c>
      <c r="AW154" t="s">
        <v>74</v>
      </c>
      <c r="AX154" t="s">
        <v>74</v>
      </c>
      <c r="AY154">
        <v>6</v>
      </c>
      <c r="AZ154" t="s">
        <v>74</v>
      </c>
      <c r="BA154" t="s">
        <v>74</v>
      </c>
      <c r="BB154">
        <v>14625</v>
      </c>
      <c r="BC154">
        <v>14635</v>
      </c>
      <c r="BD154" t="s">
        <v>74</v>
      </c>
      <c r="BE154" t="s">
        <v>3412</v>
      </c>
      <c r="BF154" t="str">
        <f>HYPERLINK("http://dx.doi.org/10.1007/s10586-018-2374-x","http://dx.doi.org/10.1007/s10586-018-2374-x")</f>
        <v>http://dx.doi.org/10.1007/s10586-018-2374-x</v>
      </c>
      <c r="BG154" t="s">
        <v>74</v>
      </c>
      <c r="BH154" t="s">
        <v>74</v>
      </c>
      <c r="BI154">
        <v>11</v>
      </c>
      <c r="BJ154" t="s">
        <v>696</v>
      </c>
      <c r="BK154" t="s">
        <v>902</v>
      </c>
      <c r="BL154" t="s">
        <v>103</v>
      </c>
      <c r="BM154" t="s">
        <v>3413</v>
      </c>
      <c r="BN154" t="s">
        <v>74</v>
      </c>
      <c r="BO154" t="s">
        <v>74</v>
      </c>
      <c r="BP154" t="s">
        <v>74</v>
      </c>
      <c r="BQ154" t="s">
        <v>74</v>
      </c>
      <c r="BR154" t="s">
        <v>106</v>
      </c>
      <c r="BS154" t="s">
        <v>3414</v>
      </c>
      <c r="BT154" t="str">
        <f>HYPERLINK("https%3A%2F%2Fwww.webofscience.com%2Fwos%2Fwoscc%2Ffull-record%2FWOS:000501745700153","View Full Record in Web of Science")</f>
        <v>View Full Record in Web of Science</v>
      </c>
    </row>
    <row r="155" spans="1:72" x14ac:dyDescent="0.25">
      <c r="A155" t="s">
        <v>72</v>
      </c>
      <c r="B155" t="s">
        <v>3415</v>
      </c>
      <c r="C155" t="s">
        <v>74</v>
      </c>
      <c r="D155" t="s">
        <v>74</v>
      </c>
      <c r="E155" t="s">
        <v>74</v>
      </c>
      <c r="F155" t="s">
        <v>3416</v>
      </c>
      <c r="G155" t="s">
        <v>74</v>
      </c>
      <c r="H155" t="s">
        <v>74</v>
      </c>
      <c r="I155" t="s">
        <v>3417</v>
      </c>
      <c r="J155" t="s">
        <v>3418</v>
      </c>
      <c r="K155" t="s">
        <v>74</v>
      </c>
      <c r="L155" t="s">
        <v>74</v>
      </c>
      <c r="M155" t="s">
        <v>78</v>
      </c>
      <c r="N155" t="s">
        <v>79</v>
      </c>
      <c r="O155" t="s">
        <v>74</v>
      </c>
      <c r="P155" t="s">
        <v>74</v>
      </c>
      <c r="Q155" t="s">
        <v>74</v>
      </c>
      <c r="R155" t="s">
        <v>74</v>
      </c>
      <c r="S155" t="s">
        <v>74</v>
      </c>
      <c r="T155" t="s">
        <v>3419</v>
      </c>
      <c r="U155" t="s">
        <v>2505</v>
      </c>
      <c r="V155" t="s">
        <v>3420</v>
      </c>
      <c r="W155" t="s">
        <v>3421</v>
      </c>
      <c r="X155" t="s">
        <v>3422</v>
      </c>
      <c r="Y155" t="s">
        <v>3423</v>
      </c>
      <c r="Z155" t="s">
        <v>3424</v>
      </c>
      <c r="AA155" t="s">
        <v>3425</v>
      </c>
      <c r="AB155" t="s">
        <v>3426</v>
      </c>
      <c r="AC155" t="s">
        <v>74</v>
      </c>
      <c r="AD155" t="s">
        <v>74</v>
      </c>
      <c r="AE155" t="s">
        <v>74</v>
      </c>
      <c r="AF155" t="s">
        <v>74</v>
      </c>
      <c r="AG155">
        <v>49</v>
      </c>
      <c r="AH155">
        <v>37</v>
      </c>
      <c r="AI155">
        <v>40</v>
      </c>
      <c r="AJ155">
        <v>0</v>
      </c>
      <c r="AK155">
        <v>10</v>
      </c>
      <c r="AL155" t="s">
        <v>3427</v>
      </c>
      <c r="AM155" t="s">
        <v>3428</v>
      </c>
      <c r="AN155" t="s">
        <v>3429</v>
      </c>
      <c r="AO155" t="s">
        <v>3430</v>
      </c>
      <c r="AP155" t="s">
        <v>3431</v>
      </c>
      <c r="AQ155" t="s">
        <v>74</v>
      </c>
      <c r="AR155" t="s">
        <v>3432</v>
      </c>
      <c r="AS155" t="s">
        <v>3433</v>
      </c>
      <c r="AT155" t="s">
        <v>3434</v>
      </c>
      <c r="AU155">
        <v>2019</v>
      </c>
      <c r="AV155">
        <v>10</v>
      </c>
      <c r="AW155">
        <v>1</v>
      </c>
      <c r="AX155" t="s">
        <v>74</v>
      </c>
      <c r="AY155" t="s">
        <v>74</v>
      </c>
      <c r="AZ155" t="s">
        <v>74</v>
      </c>
      <c r="BA155" t="s">
        <v>74</v>
      </c>
      <c r="BB155" t="s">
        <v>74</v>
      </c>
      <c r="BC155" t="s">
        <v>74</v>
      </c>
      <c r="BD155">
        <v>8</v>
      </c>
      <c r="BE155" t="s">
        <v>3435</v>
      </c>
      <c r="BF155" t="str">
        <f>HYPERLINK("http://dx.doi.org/10.1007/s13278-019-0621-7","http://dx.doi.org/10.1007/s13278-019-0621-7")</f>
        <v>http://dx.doi.org/10.1007/s13278-019-0621-7</v>
      </c>
      <c r="BG155" t="s">
        <v>74</v>
      </c>
      <c r="BH155" t="s">
        <v>74</v>
      </c>
      <c r="BI155">
        <v>18</v>
      </c>
      <c r="BJ155" t="s">
        <v>852</v>
      </c>
      <c r="BK155" t="s">
        <v>102</v>
      </c>
      <c r="BL155" t="s">
        <v>103</v>
      </c>
      <c r="BM155" t="s">
        <v>3436</v>
      </c>
      <c r="BN155" t="s">
        <v>74</v>
      </c>
      <c r="BO155" t="s">
        <v>74</v>
      </c>
      <c r="BP155" t="s">
        <v>74</v>
      </c>
      <c r="BQ155" t="s">
        <v>74</v>
      </c>
      <c r="BR155" t="s">
        <v>106</v>
      </c>
      <c r="BS155" t="s">
        <v>3437</v>
      </c>
      <c r="BT155" t="str">
        <f>HYPERLINK("https%3A%2F%2Fwww.webofscience.com%2Fwos%2Fwoscc%2Ffull-record%2FWOS:000513503000002","View Full Record in Web of Science")</f>
        <v>View Full Record in Web of Science</v>
      </c>
    </row>
    <row r="156" spans="1:72" x14ac:dyDescent="0.25">
      <c r="A156" t="s">
        <v>72</v>
      </c>
      <c r="B156" t="s">
        <v>3438</v>
      </c>
      <c r="C156" t="s">
        <v>74</v>
      </c>
      <c r="D156" t="s">
        <v>74</v>
      </c>
      <c r="E156" t="s">
        <v>74</v>
      </c>
      <c r="F156" t="s">
        <v>3439</v>
      </c>
      <c r="G156" t="s">
        <v>74</v>
      </c>
      <c r="H156" t="s">
        <v>74</v>
      </c>
      <c r="I156" t="s">
        <v>3440</v>
      </c>
      <c r="J156" t="s">
        <v>3441</v>
      </c>
      <c r="K156" t="s">
        <v>74</v>
      </c>
      <c r="L156" t="s">
        <v>74</v>
      </c>
      <c r="M156" t="s">
        <v>78</v>
      </c>
      <c r="N156" t="s">
        <v>79</v>
      </c>
      <c r="O156" t="s">
        <v>74</v>
      </c>
      <c r="P156" t="s">
        <v>74</v>
      </c>
      <c r="Q156" t="s">
        <v>74</v>
      </c>
      <c r="R156" t="s">
        <v>74</v>
      </c>
      <c r="S156" t="s">
        <v>74</v>
      </c>
      <c r="T156" t="s">
        <v>3442</v>
      </c>
      <c r="U156" t="s">
        <v>74</v>
      </c>
      <c r="V156" t="s">
        <v>3443</v>
      </c>
      <c r="W156" t="s">
        <v>3444</v>
      </c>
      <c r="X156" t="s">
        <v>3445</v>
      </c>
      <c r="Y156" t="s">
        <v>3446</v>
      </c>
      <c r="Z156" t="s">
        <v>3447</v>
      </c>
      <c r="AA156" t="s">
        <v>74</v>
      </c>
      <c r="AB156" t="s">
        <v>74</v>
      </c>
      <c r="AC156" t="s">
        <v>3448</v>
      </c>
      <c r="AD156" t="s">
        <v>3449</v>
      </c>
      <c r="AE156" t="s">
        <v>3450</v>
      </c>
      <c r="AF156" t="s">
        <v>74</v>
      </c>
      <c r="AG156">
        <v>27</v>
      </c>
      <c r="AH156">
        <v>1</v>
      </c>
      <c r="AI156">
        <v>1</v>
      </c>
      <c r="AJ156">
        <v>0</v>
      </c>
      <c r="AK156">
        <v>4</v>
      </c>
      <c r="AL156" t="s">
        <v>895</v>
      </c>
      <c r="AM156" t="s">
        <v>896</v>
      </c>
      <c r="AN156" t="s">
        <v>897</v>
      </c>
      <c r="AO156" t="s">
        <v>3451</v>
      </c>
      <c r="AP156" t="s">
        <v>3452</v>
      </c>
      <c r="AQ156" t="s">
        <v>74</v>
      </c>
      <c r="AR156" t="s">
        <v>3453</v>
      </c>
      <c r="AS156" t="s">
        <v>3454</v>
      </c>
      <c r="AT156" t="s">
        <v>368</v>
      </c>
      <c r="AU156">
        <v>2024</v>
      </c>
      <c r="AV156">
        <v>33</v>
      </c>
      <c r="AW156">
        <v>3</v>
      </c>
      <c r="AX156" t="s">
        <v>74</v>
      </c>
      <c r="AY156" t="s">
        <v>74</v>
      </c>
      <c r="AZ156" t="s">
        <v>74</v>
      </c>
      <c r="BA156" t="s">
        <v>74</v>
      </c>
      <c r="BB156">
        <v>708</v>
      </c>
      <c r="BC156">
        <v>720</v>
      </c>
      <c r="BD156" t="s">
        <v>74</v>
      </c>
      <c r="BE156" t="s">
        <v>3455</v>
      </c>
      <c r="BF156" t="str">
        <f>HYPERLINK("http://dx.doi.org/10.23919/cje.2022.00.363","http://dx.doi.org/10.23919/cje.2022.00.363")</f>
        <v>http://dx.doi.org/10.23919/cje.2022.00.363</v>
      </c>
      <c r="BG156" t="s">
        <v>74</v>
      </c>
      <c r="BH156" t="s">
        <v>74</v>
      </c>
      <c r="BI156">
        <v>13</v>
      </c>
      <c r="BJ156" t="s">
        <v>1736</v>
      </c>
      <c r="BK156" t="s">
        <v>902</v>
      </c>
      <c r="BL156" t="s">
        <v>1737</v>
      </c>
      <c r="BM156" t="s">
        <v>3456</v>
      </c>
      <c r="BN156" t="s">
        <v>74</v>
      </c>
      <c r="BO156" t="s">
        <v>74</v>
      </c>
      <c r="BP156" t="s">
        <v>74</v>
      </c>
      <c r="BQ156" t="s">
        <v>74</v>
      </c>
      <c r="BR156" t="s">
        <v>106</v>
      </c>
      <c r="BS156" t="s">
        <v>3457</v>
      </c>
      <c r="BT156" t="str">
        <f>HYPERLINK("https%3A%2F%2Fwww.webofscience.com%2Fwos%2Fwoscc%2Ffull-record%2FWOS:001236795500015","View Full Record in Web of Science")</f>
        <v>View Full Record in Web of Science</v>
      </c>
    </row>
    <row r="157" spans="1:72" x14ac:dyDescent="0.25">
      <c r="A157" t="s">
        <v>72</v>
      </c>
      <c r="B157" t="s">
        <v>3458</v>
      </c>
      <c r="C157" t="s">
        <v>74</v>
      </c>
      <c r="D157" t="s">
        <v>74</v>
      </c>
      <c r="E157" t="s">
        <v>74</v>
      </c>
      <c r="F157" t="s">
        <v>3459</v>
      </c>
      <c r="G157" t="s">
        <v>74</v>
      </c>
      <c r="H157" t="s">
        <v>74</v>
      </c>
      <c r="I157" t="s">
        <v>3460</v>
      </c>
      <c r="J157" t="s">
        <v>3461</v>
      </c>
      <c r="K157" t="s">
        <v>74</v>
      </c>
      <c r="L157" t="s">
        <v>74</v>
      </c>
      <c r="M157" t="s">
        <v>78</v>
      </c>
      <c r="N157" t="s">
        <v>79</v>
      </c>
      <c r="O157" t="s">
        <v>74</v>
      </c>
      <c r="P157" t="s">
        <v>74</v>
      </c>
      <c r="Q157" t="s">
        <v>74</v>
      </c>
      <c r="R157" t="s">
        <v>74</v>
      </c>
      <c r="S157" t="s">
        <v>74</v>
      </c>
      <c r="T157" t="s">
        <v>3462</v>
      </c>
      <c r="U157" t="s">
        <v>74</v>
      </c>
      <c r="V157" t="s">
        <v>3463</v>
      </c>
      <c r="W157" t="s">
        <v>3464</v>
      </c>
      <c r="X157" t="s">
        <v>3465</v>
      </c>
      <c r="Y157" t="s">
        <v>3466</v>
      </c>
      <c r="Z157" t="s">
        <v>3467</v>
      </c>
      <c r="AA157" t="s">
        <v>74</v>
      </c>
      <c r="AB157" t="s">
        <v>3468</v>
      </c>
      <c r="AC157" t="s">
        <v>3469</v>
      </c>
      <c r="AD157" t="s">
        <v>3470</v>
      </c>
      <c r="AE157" t="s">
        <v>3471</v>
      </c>
      <c r="AF157" t="s">
        <v>74</v>
      </c>
      <c r="AG157">
        <v>41</v>
      </c>
      <c r="AH157">
        <v>24</v>
      </c>
      <c r="AI157">
        <v>24</v>
      </c>
      <c r="AJ157">
        <v>0</v>
      </c>
      <c r="AK157">
        <v>13</v>
      </c>
      <c r="AL157" t="s">
        <v>291</v>
      </c>
      <c r="AM157" t="s">
        <v>92</v>
      </c>
      <c r="AN157" t="s">
        <v>847</v>
      </c>
      <c r="AO157" t="s">
        <v>3472</v>
      </c>
      <c r="AP157" t="s">
        <v>3473</v>
      </c>
      <c r="AQ157" t="s">
        <v>74</v>
      </c>
      <c r="AR157" t="s">
        <v>3474</v>
      </c>
      <c r="AS157" t="s">
        <v>3475</v>
      </c>
      <c r="AT157" t="s">
        <v>1251</v>
      </c>
      <c r="AU157">
        <v>2014</v>
      </c>
      <c r="AV157">
        <v>5</v>
      </c>
      <c r="AW157">
        <v>2</v>
      </c>
      <c r="AX157" t="s">
        <v>74</v>
      </c>
      <c r="AY157" t="s">
        <v>74</v>
      </c>
      <c r="AZ157" t="s">
        <v>247</v>
      </c>
      <c r="BA157" t="s">
        <v>74</v>
      </c>
      <c r="BB157" t="s">
        <v>74</v>
      </c>
      <c r="BC157" t="s">
        <v>74</v>
      </c>
      <c r="BD157">
        <v>23</v>
      </c>
      <c r="BE157" t="s">
        <v>3476</v>
      </c>
      <c r="BF157" t="str">
        <f>HYPERLINK("http://dx.doi.org/10.1145/2499380","http://dx.doi.org/10.1145/2499380")</f>
        <v>http://dx.doi.org/10.1145/2499380</v>
      </c>
      <c r="BG157" t="s">
        <v>74</v>
      </c>
      <c r="BH157" t="s">
        <v>74</v>
      </c>
      <c r="BI157">
        <v>22</v>
      </c>
      <c r="BJ157" t="s">
        <v>202</v>
      </c>
      <c r="BK157" t="s">
        <v>902</v>
      </c>
      <c r="BL157" t="s">
        <v>103</v>
      </c>
      <c r="BM157" t="s">
        <v>3477</v>
      </c>
      <c r="BN157" t="s">
        <v>74</v>
      </c>
      <c r="BO157" t="s">
        <v>74</v>
      </c>
      <c r="BP157" t="s">
        <v>74</v>
      </c>
      <c r="BQ157" t="s">
        <v>74</v>
      </c>
      <c r="BR157" t="s">
        <v>106</v>
      </c>
      <c r="BS157" t="s">
        <v>3478</v>
      </c>
      <c r="BT157" t="str">
        <f>HYPERLINK("https%3A%2F%2Fwww.webofscience.com%2Fwos%2Fwoscc%2Ffull-record%2FWOS:000335576200002","View Full Record in Web of Science")</f>
        <v>View Full Record in Web of Science</v>
      </c>
    </row>
    <row r="158" spans="1:72" x14ac:dyDescent="0.25">
      <c r="A158" t="s">
        <v>108</v>
      </c>
      <c r="B158" t="s">
        <v>3479</v>
      </c>
      <c r="C158" t="s">
        <v>74</v>
      </c>
      <c r="D158" t="s">
        <v>74</v>
      </c>
      <c r="E158" t="s">
        <v>3480</v>
      </c>
      <c r="F158" t="s">
        <v>3481</v>
      </c>
      <c r="G158" t="s">
        <v>74</v>
      </c>
      <c r="H158" t="s">
        <v>74</v>
      </c>
      <c r="I158" t="s">
        <v>3482</v>
      </c>
      <c r="J158" t="s">
        <v>3483</v>
      </c>
      <c r="K158" t="s">
        <v>74</v>
      </c>
      <c r="L158" t="s">
        <v>74</v>
      </c>
      <c r="M158" t="s">
        <v>78</v>
      </c>
      <c r="N158" t="s">
        <v>115</v>
      </c>
      <c r="O158" t="s">
        <v>3484</v>
      </c>
      <c r="P158" t="s">
        <v>3485</v>
      </c>
      <c r="Q158" t="s">
        <v>3486</v>
      </c>
      <c r="R158" t="s">
        <v>3487</v>
      </c>
      <c r="S158" t="s">
        <v>74</v>
      </c>
      <c r="T158" t="s">
        <v>3488</v>
      </c>
      <c r="U158" t="s">
        <v>74</v>
      </c>
      <c r="V158" t="s">
        <v>3489</v>
      </c>
      <c r="W158" t="s">
        <v>3490</v>
      </c>
      <c r="X158" t="s">
        <v>3491</v>
      </c>
      <c r="Y158" t="s">
        <v>3492</v>
      </c>
      <c r="Z158" t="s">
        <v>3493</v>
      </c>
      <c r="AA158" t="s">
        <v>3494</v>
      </c>
      <c r="AB158" t="s">
        <v>3495</v>
      </c>
      <c r="AC158" t="s">
        <v>3496</v>
      </c>
      <c r="AD158" t="s">
        <v>3497</v>
      </c>
      <c r="AE158" t="s">
        <v>3498</v>
      </c>
      <c r="AF158" t="s">
        <v>74</v>
      </c>
      <c r="AG158">
        <v>30</v>
      </c>
      <c r="AH158">
        <v>15</v>
      </c>
      <c r="AI158">
        <v>19</v>
      </c>
      <c r="AJ158">
        <v>1</v>
      </c>
      <c r="AK158">
        <v>4</v>
      </c>
      <c r="AL158" t="s">
        <v>291</v>
      </c>
      <c r="AM158" t="s">
        <v>92</v>
      </c>
      <c r="AN158" t="s">
        <v>292</v>
      </c>
      <c r="AO158" t="s">
        <v>74</v>
      </c>
      <c r="AP158" t="s">
        <v>74</v>
      </c>
      <c r="AQ158" t="s">
        <v>3499</v>
      </c>
      <c r="AR158" t="s">
        <v>74</v>
      </c>
      <c r="AS158" t="s">
        <v>74</v>
      </c>
      <c r="AT158" t="s">
        <v>74</v>
      </c>
      <c r="AU158">
        <v>2017</v>
      </c>
      <c r="AV158" t="s">
        <v>74</v>
      </c>
      <c r="AW158" t="s">
        <v>74</v>
      </c>
      <c r="AX158" t="s">
        <v>74</v>
      </c>
      <c r="AY158" t="s">
        <v>74</v>
      </c>
      <c r="AZ158" t="s">
        <v>74</v>
      </c>
      <c r="BA158" t="s">
        <v>74</v>
      </c>
      <c r="BB158">
        <v>139</v>
      </c>
      <c r="BC158">
        <v>147</v>
      </c>
      <c r="BD158" t="s">
        <v>74</v>
      </c>
      <c r="BE158" t="s">
        <v>3500</v>
      </c>
      <c r="BF158" t="str">
        <f>HYPERLINK("http://dx.doi.org/10.1145/3041021.3054140","http://dx.doi.org/10.1145/3041021.3054140")</f>
        <v>http://dx.doi.org/10.1145/3041021.3054140</v>
      </c>
      <c r="BG158" t="s">
        <v>74</v>
      </c>
      <c r="BH158" t="s">
        <v>74</v>
      </c>
      <c r="BI158">
        <v>9</v>
      </c>
      <c r="BJ158" t="s">
        <v>3501</v>
      </c>
      <c r="BK158" t="s">
        <v>203</v>
      </c>
      <c r="BL158" t="s">
        <v>103</v>
      </c>
      <c r="BM158" t="s">
        <v>3502</v>
      </c>
      <c r="BN158" t="s">
        <v>74</v>
      </c>
      <c r="BO158" t="s">
        <v>74</v>
      </c>
      <c r="BP158" t="s">
        <v>74</v>
      </c>
      <c r="BQ158" t="s">
        <v>74</v>
      </c>
      <c r="BR158" t="s">
        <v>106</v>
      </c>
      <c r="BS158" t="s">
        <v>3503</v>
      </c>
      <c r="BT158" t="str">
        <f>HYPERLINK("https%3A%2F%2Fwww.webofscience.com%2Fwos%2Fwoscc%2Ffull-record%2FWOS:000712212600015","View Full Record in Web of Science")</f>
        <v>View Full Record in Web of Science</v>
      </c>
    </row>
    <row r="159" spans="1:72" x14ac:dyDescent="0.25">
      <c r="A159" t="s">
        <v>108</v>
      </c>
      <c r="B159" t="s">
        <v>3504</v>
      </c>
      <c r="C159" t="s">
        <v>74</v>
      </c>
      <c r="D159" t="s">
        <v>3505</v>
      </c>
      <c r="E159" t="s">
        <v>74</v>
      </c>
      <c r="F159" t="s">
        <v>3506</v>
      </c>
      <c r="G159" t="s">
        <v>74</v>
      </c>
      <c r="H159" t="s">
        <v>74</v>
      </c>
      <c r="I159" t="s">
        <v>3507</v>
      </c>
      <c r="J159" t="s">
        <v>3508</v>
      </c>
      <c r="K159" t="s">
        <v>74</v>
      </c>
      <c r="L159" t="s">
        <v>74</v>
      </c>
      <c r="M159" t="s">
        <v>78</v>
      </c>
      <c r="N159" t="s">
        <v>115</v>
      </c>
      <c r="O159" t="s">
        <v>3509</v>
      </c>
      <c r="P159" t="s">
        <v>3510</v>
      </c>
      <c r="Q159" t="s">
        <v>3511</v>
      </c>
      <c r="R159" t="s">
        <v>3512</v>
      </c>
      <c r="S159" t="s">
        <v>74</v>
      </c>
      <c r="T159" t="s">
        <v>3513</v>
      </c>
      <c r="U159" t="s">
        <v>74</v>
      </c>
      <c r="V159" t="s">
        <v>3514</v>
      </c>
      <c r="W159" t="s">
        <v>3515</v>
      </c>
      <c r="X159" t="s">
        <v>3516</v>
      </c>
      <c r="Y159" t="s">
        <v>3517</v>
      </c>
      <c r="Z159" t="s">
        <v>3518</v>
      </c>
      <c r="AA159" t="s">
        <v>3519</v>
      </c>
      <c r="AB159" t="s">
        <v>3520</v>
      </c>
      <c r="AC159" t="s">
        <v>74</v>
      </c>
      <c r="AD159" t="s">
        <v>74</v>
      </c>
      <c r="AE159" t="s">
        <v>74</v>
      </c>
      <c r="AF159" t="s">
        <v>74</v>
      </c>
      <c r="AG159">
        <v>10</v>
      </c>
      <c r="AH159">
        <v>0</v>
      </c>
      <c r="AI159">
        <v>0</v>
      </c>
      <c r="AJ159">
        <v>0</v>
      </c>
      <c r="AK159">
        <v>0</v>
      </c>
      <c r="AL159" t="s">
        <v>3521</v>
      </c>
      <c r="AM159" t="s">
        <v>2559</v>
      </c>
      <c r="AN159" t="s">
        <v>3522</v>
      </c>
      <c r="AO159" t="s">
        <v>74</v>
      </c>
      <c r="AP159" t="s">
        <v>74</v>
      </c>
      <c r="AQ159" t="s">
        <v>3523</v>
      </c>
      <c r="AR159" t="s">
        <v>74</v>
      </c>
      <c r="AS159" t="s">
        <v>74</v>
      </c>
      <c r="AT159" t="s">
        <v>74</v>
      </c>
      <c r="AU159">
        <v>2009</v>
      </c>
      <c r="AV159" t="s">
        <v>74</v>
      </c>
      <c r="AW159" t="s">
        <v>74</v>
      </c>
      <c r="AX159" t="s">
        <v>74</v>
      </c>
      <c r="AY159" t="s">
        <v>74</v>
      </c>
      <c r="AZ159" t="s">
        <v>74</v>
      </c>
      <c r="BA159" t="s">
        <v>74</v>
      </c>
      <c r="BB159">
        <v>57</v>
      </c>
      <c r="BC159">
        <v>62</v>
      </c>
      <c r="BD159" t="s">
        <v>74</v>
      </c>
      <c r="BE159" t="s">
        <v>74</v>
      </c>
      <c r="BF159" t="s">
        <v>74</v>
      </c>
      <c r="BG159" t="s">
        <v>74</v>
      </c>
      <c r="BH159" t="s">
        <v>74</v>
      </c>
      <c r="BI159">
        <v>6</v>
      </c>
      <c r="BJ159" t="s">
        <v>2674</v>
      </c>
      <c r="BK159" t="s">
        <v>203</v>
      </c>
      <c r="BL159" t="s">
        <v>2422</v>
      </c>
      <c r="BM159" t="s">
        <v>3524</v>
      </c>
      <c r="BN159" t="s">
        <v>74</v>
      </c>
      <c r="BO159" t="s">
        <v>74</v>
      </c>
      <c r="BP159" t="s">
        <v>74</v>
      </c>
      <c r="BQ159" t="s">
        <v>74</v>
      </c>
      <c r="BR159" t="s">
        <v>106</v>
      </c>
      <c r="BS159" t="s">
        <v>3525</v>
      </c>
      <c r="BT159" t="str">
        <f>HYPERLINK("https%3A%2F%2Fwww.webofscience.com%2Fwos%2Fwoscc%2Ffull-record%2FWOS:000273959600014","View Full Record in Web of Science")</f>
        <v>View Full Record in Web of Science</v>
      </c>
    </row>
    <row r="160" spans="1:72" x14ac:dyDescent="0.25">
      <c r="A160" t="s">
        <v>108</v>
      </c>
      <c r="B160" t="s">
        <v>3526</v>
      </c>
      <c r="C160" t="s">
        <v>74</v>
      </c>
      <c r="D160" t="s">
        <v>3527</v>
      </c>
      <c r="E160" t="s">
        <v>74</v>
      </c>
      <c r="F160" t="s">
        <v>3528</v>
      </c>
      <c r="G160" t="s">
        <v>74</v>
      </c>
      <c r="H160" t="s">
        <v>74</v>
      </c>
      <c r="I160" t="s">
        <v>3529</v>
      </c>
      <c r="J160" t="s">
        <v>3530</v>
      </c>
      <c r="K160" t="s">
        <v>3531</v>
      </c>
      <c r="L160" t="s">
        <v>74</v>
      </c>
      <c r="M160" t="s">
        <v>78</v>
      </c>
      <c r="N160" t="s">
        <v>115</v>
      </c>
      <c r="O160" t="s">
        <v>3532</v>
      </c>
      <c r="P160" t="s">
        <v>3533</v>
      </c>
      <c r="Q160" t="s">
        <v>3534</v>
      </c>
      <c r="R160" t="s">
        <v>3535</v>
      </c>
      <c r="S160" t="s">
        <v>74</v>
      </c>
      <c r="T160" t="s">
        <v>3536</v>
      </c>
      <c r="U160" t="s">
        <v>74</v>
      </c>
      <c r="V160" t="s">
        <v>3537</v>
      </c>
      <c r="W160" t="s">
        <v>3538</v>
      </c>
      <c r="X160" t="s">
        <v>3539</v>
      </c>
      <c r="Y160" t="s">
        <v>3540</v>
      </c>
      <c r="Z160" t="s">
        <v>3541</v>
      </c>
      <c r="AA160" t="s">
        <v>74</v>
      </c>
      <c r="AB160" t="s">
        <v>74</v>
      </c>
      <c r="AC160" t="s">
        <v>74</v>
      </c>
      <c r="AD160" t="s">
        <v>74</v>
      </c>
      <c r="AE160" t="s">
        <v>74</v>
      </c>
      <c r="AF160" t="s">
        <v>74</v>
      </c>
      <c r="AG160">
        <v>13</v>
      </c>
      <c r="AH160">
        <v>3</v>
      </c>
      <c r="AI160">
        <v>3</v>
      </c>
      <c r="AJ160">
        <v>0</v>
      </c>
      <c r="AK160">
        <v>4</v>
      </c>
      <c r="AL160" t="s">
        <v>465</v>
      </c>
      <c r="AM160" t="s">
        <v>92</v>
      </c>
      <c r="AN160" t="s">
        <v>480</v>
      </c>
      <c r="AO160" t="s">
        <v>3542</v>
      </c>
      <c r="AP160" t="s">
        <v>74</v>
      </c>
      <c r="AQ160" t="s">
        <v>3543</v>
      </c>
      <c r="AR160" t="s">
        <v>3544</v>
      </c>
      <c r="AS160" t="s">
        <v>74</v>
      </c>
      <c r="AT160" t="s">
        <v>74</v>
      </c>
      <c r="AU160">
        <v>2015</v>
      </c>
      <c r="AV160" t="s">
        <v>74</v>
      </c>
      <c r="AW160" t="s">
        <v>74</v>
      </c>
      <c r="AX160" t="s">
        <v>74</v>
      </c>
      <c r="AY160" t="s">
        <v>74</v>
      </c>
      <c r="AZ160" t="s">
        <v>74</v>
      </c>
      <c r="BA160" t="s">
        <v>74</v>
      </c>
      <c r="BB160">
        <v>1640</v>
      </c>
      <c r="BC160">
        <v>1644</v>
      </c>
      <c r="BD160" t="s">
        <v>74</v>
      </c>
      <c r="BE160" t="s">
        <v>3545</v>
      </c>
      <c r="BF160" t="str">
        <f>HYPERLINK("http://dx.doi.org/10.1109/IMCCC.2015.348","http://dx.doi.org/10.1109/IMCCC.2015.348")</f>
        <v>http://dx.doi.org/10.1109/IMCCC.2015.348</v>
      </c>
      <c r="BG160" t="s">
        <v>74</v>
      </c>
      <c r="BH160" t="s">
        <v>74</v>
      </c>
      <c r="BI160">
        <v>5</v>
      </c>
      <c r="BJ160" t="s">
        <v>3546</v>
      </c>
      <c r="BK160" t="s">
        <v>203</v>
      </c>
      <c r="BL160" t="s">
        <v>3547</v>
      </c>
      <c r="BM160" t="s">
        <v>3548</v>
      </c>
      <c r="BN160" t="s">
        <v>74</v>
      </c>
      <c r="BO160" t="s">
        <v>74</v>
      </c>
      <c r="BP160" t="s">
        <v>74</v>
      </c>
      <c r="BQ160" t="s">
        <v>74</v>
      </c>
      <c r="BR160" t="s">
        <v>106</v>
      </c>
      <c r="BS160" t="s">
        <v>3549</v>
      </c>
      <c r="BT160" t="str">
        <f>HYPERLINK("https%3A%2F%2Fwww.webofscience.com%2Fwos%2Fwoscc%2Ffull-record%2FWOS:000380403700344","View Full Record in Web of Science")</f>
        <v>View Full Record in Web of Science</v>
      </c>
    </row>
    <row r="161" spans="1:72" x14ac:dyDescent="0.25">
      <c r="A161" t="s">
        <v>72</v>
      </c>
      <c r="B161" t="s">
        <v>3550</v>
      </c>
      <c r="C161" t="s">
        <v>74</v>
      </c>
      <c r="D161" t="s">
        <v>74</v>
      </c>
      <c r="E161" t="s">
        <v>74</v>
      </c>
      <c r="F161" t="s">
        <v>3551</v>
      </c>
      <c r="G161" t="s">
        <v>74</v>
      </c>
      <c r="H161" t="s">
        <v>74</v>
      </c>
      <c r="I161" t="s">
        <v>3552</v>
      </c>
      <c r="J161" t="s">
        <v>3240</v>
      </c>
      <c r="K161" t="s">
        <v>74</v>
      </c>
      <c r="L161" t="s">
        <v>74</v>
      </c>
      <c r="M161" t="s">
        <v>78</v>
      </c>
      <c r="N161" t="s">
        <v>79</v>
      </c>
      <c r="O161" t="s">
        <v>74</v>
      </c>
      <c r="P161" t="s">
        <v>74</v>
      </c>
      <c r="Q161" t="s">
        <v>74</v>
      </c>
      <c r="R161" t="s">
        <v>74</v>
      </c>
      <c r="S161" t="s">
        <v>74</v>
      </c>
      <c r="T161" t="s">
        <v>3553</v>
      </c>
      <c r="U161" t="s">
        <v>3554</v>
      </c>
      <c r="V161" t="s">
        <v>3555</v>
      </c>
      <c r="W161" t="s">
        <v>3556</v>
      </c>
      <c r="X161" t="s">
        <v>3557</v>
      </c>
      <c r="Y161" t="s">
        <v>1943</v>
      </c>
      <c r="Z161" t="s">
        <v>3558</v>
      </c>
      <c r="AA161" t="s">
        <v>3559</v>
      </c>
      <c r="AB161" t="s">
        <v>3560</v>
      </c>
      <c r="AC161" t="s">
        <v>3561</v>
      </c>
      <c r="AD161" t="s">
        <v>2463</v>
      </c>
      <c r="AE161" t="s">
        <v>3562</v>
      </c>
      <c r="AF161" t="s">
        <v>74</v>
      </c>
      <c r="AG161">
        <v>63</v>
      </c>
      <c r="AH161">
        <v>48</v>
      </c>
      <c r="AI161">
        <v>52</v>
      </c>
      <c r="AJ161">
        <v>1</v>
      </c>
      <c r="AK161">
        <v>37</v>
      </c>
      <c r="AL161" t="s">
        <v>362</v>
      </c>
      <c r="AM161" t="s">
        <v>363</v>
      </c>
      <c r="AN161" t="s">
        <v>364</v>
      </c>
      <c r="AO161" t="s">
        <v>3252</v>
      </c>
      <c r="AP161" t="s">
        <v>3253</v>
      </c>
      <c r="AQ161" t="s">
        <v>74</v>
      </c>
      <c r="AR161" t="s">
        <v>3254</v>
      </c>
      <c r="AS161" t="s">
        <v>3255</v>
      </c>
      <c r="AT161" t="s">
        <v>3563</v>
      </c>
      <c r="AU161">
        <v>2020</v>
      </c>
      <c r="AV161">
        <v>206</v>
      </c>
      <c r="AW161" t="s">
        <v>74</v>
      </c>
      <c r="AX161" t="s">
        <v>74</v>
      </c>
      <c r="AY161" t="s">
        <v>74</v>
      </c>
      <c r="AZ161" t="s">
        <v>74</v>
      </c>
      <c r="BA161" t="s">
        <v>74</v>
      </c>
      <c r="BB161" t="s">
        <v>74</v>
      </c>
      <c r="BC161" t="s">
        <v>74</v>
      </c>
      <c r="BD161">
        <v>106227</v>
      </c>
      <c r="BE161" t="s">
        <v>3564</v>
      </c>
      <c r="BF161" t="str">
        <f>HYPERLINK("http://dx.doi.org/10.1016/j.knosys.2020.106227","http://dx.doi.org/10.1016/j.knosys.2020.106227")</f>
        <v>http://dx.doi.org/10.1016/j.knosys.2020.106227</v>
      </c>
      <c r="BG161" t="s">
        <v>74</v>
      </c>
      <c r="BH161" t="s">
        <v>74</v>
      </c>
      <c r="BI161">
        <v>16</v>
      </c>
      <c r="BJ161" t="s">
        <v>807</v>
      </c>
      <c r="BK161" t="s">
        <v>745</v>
      </c>
      <c r="BL161" t="s">
        <v>103</v>
      </c>
      <c r="BM161" t="s">
        <v>3565</v>
      </c>
      <c r="BN161" t="s">
        <v>74</v>
      </c>
      <c r="BO161" t="s">
        <v>74</v>
      </c>
      <c r="BP161" t="s">
        <v>74</v>
      </c>
      <c r="BQ161" t="s">
        <v>74</v>
      </c>
      <c r="BR161" t="s">
        <v>106</v>
      </c>
      <c r="BS161" t="s">
        <v>3566</v>
      </c>
      <c r="BT161" t="str">
        <f>HYPERLINK("https%3A%2F%2Fwww.webofscience.com%2Fwos%2Fwoscc%2Ffull-record%2FWOS:000572851100012","View Full Record in Web of Science")</f>
        <v>View Full Record in Web of Science</v>
      </c>
    </row>
    <row r="162" spans="1:72" x14ac:dyDescent="0.25">
      <c r="A162" t="s">
        <v>108</v>
      </c>
      <c r="B162" t="s">
        <v>3567</v>
      </c>
      <c r="C162" t="s">
        <v>74</v>
      </c>
      <c r="D162" t="s">
        <v>74</v>
      </c>
      <c r="E162" t="s">
        <v>465</v>
      </c>
      <c r="F162" t="s">
        <v>3568</v>
      </c>
      <c r="G162" t="s">
        <v>74</v>
      </c>
      <c r="H162" t="s">
        <v>74</v>
      </c>
      <c r="I162" t="s">
        <v>3569</v>
      </c>
      <c r="J162" t="s">
        <v>3570</v>
      </c>
      <c r="K162" t="s">
        <v>2252</v>
      </c>
      <c r="L162" t="s">
        <v>74</v>
      </c>
      <c r="M162" t="s">
        <v>78</v>
      </c>
      <c r="N162" t="s">
        <v>115</v>
      </c>
      <c r="O162" t="s">
        <v>3571</v>
      </c>
      <c r="P162" t="s">
        <v>3572</v>
      </c>
      <c r="Q162" t="s">
        <v>3573</v>
      </c>
      <c r="R162" t="s">
        <v>3574</v>
      </c>
      <c r="S162" t="s">
        <v>3575</v>
      </c>
      <c r="T162" t="s">
        <v>74</v>
      </c>
      <c r="U162" t="s">
        <v>74</v>
      </c>
      <c r="V162" t="s">
        <v>3576</v>
      </c>
      <c r="W162" t="s">
        <v>3577</v>
      </c>
      <c r="X162" t="s">
        <v>544</v>
      </c>
      <c r="Y162" t="s">
        <v>3578</v>
      </c>
      <c r="Z162" t="s">
        <v>3579</v>
      </c>
      <c r="AA162" t="s">
        <v>74</v>
      </c>
      <c r="AB162" t="s">
        <v>74</v>
      </c>
      <c r="AC162" t="s">
        <v>3580</v>
      </c>
      <c r="AD162" t="s">
        <v>3581</v>
      </c>
      <c r="AE162" t="s">
        <v>3582</v>
      </c>
      <c r="AF162" t="s">
        <v>74</v>
      </c>
      <c r="AG162">
        <v>21</v>
      </c>
      <c r="AH162">
        <v>0</v>
      </c>
      <c r="AI162">
        <v>0</v>
      </c>
      <c r="AJ162">
        <v>0</v>
      </c>
      <c r="AK162">
        <v>0</v>
      </c>
      <c r="AL162" t="s">
        <v>465</v>
      </c>
      <c r="AM162" t="s">
        <v>92</v>
      </c>
      <c r="AN162" t="s">
        <v>480</v>
      </c>
      <c r="AO162" t="s">
        <v>2265</v>
      </c>
      <c r="AP162" t="s">
        <v>74</v>
      </c>
      <c r="AQ162" t="s">
        <v>3583</v>
      </c>
      <c r="AR162" t="s">
        <v>2267</v>
      </c>
      <c r="AS162" t="s">
        <v>74</v>
      </c>
      <c r="AT162" t="s">
        <v>74</v>
      </c>
      <c r="AU162">
        <v>2017</v>
      </c>
      <c r="AV162" t="s">
        <v>74</v>
      </c>
      <c r="AW162" t="s">
        <v>74</v>
      </c>
      <c r="AX162" t="s">
        <v>74</v>
      </c>
      <c r="AY162" t="s">
        <v>74</v>
      </c>
      <c r="AZ162" t="s">
        <v>74</v>
      </c>
      <c r="BA162" t="s">
        <v>74</v>
      </c>
      <c r="BB162" t="s">
        <v>74</v>
      </c>
      <c r="BC162" t="s">
        <v>74</v>
      </c>
      <c r="BD162" t="s">
        <v>74</v>
      </c>
      <c r="BE162" t="s">
        <v>74</v>
      </c>
      <c r="BF162" t="s">
        <v>74</v>
      </c>
      <c r="BG162" t="s">
        <v>74</v>
      </c>
      <c r="BH162" t="s">
        <v>74</v>
      </c>
      <c r="BI162">
        <v>6</v>
      </c>
      <c r="BJ162" t="s">
        <v>2268</v>
      </c>
      <c r="BK162" t="s">
        <v>203</v>
      </c>
      <c r="BL162" t="s">
        <v>2269</v>
      </c>
      <c r="BM162" t="s">
        <v>3584</v>
      </c>
      <c r="BN162" t="s">
        <v>74</v>
      </c>
      <c r="BO162" t="s">
        <v>74</v>
      </c>
      <c r="BP162" t="s">
        <v>74</v>
      </c>
      <c r="BQ162" t="s">
        <v>74</v>
      </c>
      <c r="BR162" t="s">
        <v>106</v>
      </c>
      <c r="BS162" t="s">
        <v>3585</v>
      </c>
      <c r="BT162" t="str">
        <f>HYPERLINK("https%3A%2F%2Fwww.webofscience.com%2Fwos%2Fwoscc%2Ffull-record%2FWOS:000428054306033","View Full Record in Web of Science")</f>
        <v>View Full Record in Web of Science</v>
      </c>
    </row>
    <row r="163" spans="1:72" x14ac:dyDescent="0.25">
      <c r="A163" t="s">
        <v>108</v>
      </c>
      <c r="B163" t="s">
        <v>3586</v>
      </c>
      <c r="C163" t="s">
        <v>74</v>
      </c>
      <c r="D163" t="s">
        <v>74</v>
      </c>
      <c r="E163" t="s">
        <v>465</v>
      </c>
      <c r="F163" t="s">
        <v>3587</v>
      </c>
      <c r="G163" t="s">
        <v>74</v>
      </c>
      <c r="H163" t="s">
        <v>74</v>
      </c>
      <c r="I163" t="s">
        <v>3588</v>
      </c>
      <c r="J163" t="s">
        <v>3589</v>
      </c>
      <c r="K163" t="s">
        <v>3590</v>
      </c>
      <c r="L163" t="s">
        <v>74</v>
      </c>
      <c r="M163" t="s">
        <v>78</v>
      </c>
      <c r="N163" t="s">
        <v>115</v>
      </c>
      <c r="O163" t="s">
        <v>3591</v>
      </c>
      <c r="P163" t="s">
        <v>3592</v>
      </c>
      <c r="Q163" t="s">
        <v>3593</v>
      </c>
      <c r="R163" t="s">
        <v>74</v>
      </c>
      <c r="S163" t="s">
        <v>74</v>
      </c>
      <c r="T163" t="s">
        <v>3594</v>
      </c>
      <c r="U163" t="s">
        <v>74</v>
      </c>
      <c r="V163" t="s">
        <v>3595</v>
      </c>
      <c r="W163" t="s">
        <v>3596</v>
      </c>
      <c r="X163" t="s">
        <v>2260</v>
      </c>
      <c r="Y163" t="s">
        <v>3597</v>
      </c>
      <c r="Z163" t="s">
        <v>3598</v>
      </c>
      <c r="AA163" t="s">
        <v>74</v>
      </c>
      <c r="AB163" t="s">
        <v>74</v>
      </c>
      <c r="AC163" t="s">
        <v>74</v>
      </c>
      <c r="AD163" t="s">
        <v>74</v>
      </c>
      <c r="AE163" t="s">
        <v>74</v>
      </c>
      <c r="AF163" t="s">
        <v>74</v>
      </c>
      <c r="AG163">
        <v>22</v>
      </c>
      <c r="AH163">
        <v>6</v>
      </c>
      <c r="AI163">
        <v>6</v>
      </c>
      <c r="AJ163">
        <v>0</v>
      </c>
      <c r="AK163">
        <v>4</v>
      </c>
      <c r="AL163" t="s">
        <v>465</v>
      </c>
      <c r="AM163" t="s">
        <v>92</v>
      </c>
      <c r="AN163" t="s">
        <v>480</v>
      </c>
      <c r="AO163" t="s">
        <v>3599</v>
      </c>
      <c r="AP163" t="s">
        <v>74</v>
      </c>
      <c r="AQ163" t="s">
        <v>3600</v>
      </c>
      <c r="AR163" t="s">
        <v>3601</v>
      </c>
      <c r="AS163" t="s">
        <v>74</v>
      </c>
      <c r="AT163" t="s">
        <v>74</v>
      </c>
      <c r="AU163">
        <v>2013</v>
      </c>
      <c r="AV163" t="s">
        <v>74</v>
      </c>
      <c r="AW163" t="s">
        <v>74</v>
      </c>
      <c r="AX163" t="s">
        <v>74</v>
      </c>
      <c r="AY163" t="s">
        <v>74</v>
      </c>
      <c r="AZ163" t="s">
        <v>74</v>
      </c>
      <c r="BA163" t="s">
        <v>74</v>
      </c>
      <c r="BB163">
        <v>1</v>
      </c>
      <c r="BC163">
        <v>6</v>
      </c>
      <c r="BD163" t="s">
        <v>74</v>
      </c>
      <c r="BE163" t="s">
        <v>74</v>
      </c>
      <c r="BF163" t="s">
        <v>74</v>
      </c>
      <c r="BG163" t="s">
        <v>74</v>
      </c>
      <c r="BH163" t="s">
        <v>74</v>
      </c>
      <c r="BI163">
        <v>6</v>
      </c>
      <c r="BJ163" t="s">
        <v>852</v>
      </c>
      <c r="BK163" t="s">
        <v>203</v>
      </c>
      <c r="BL163" t="s">
        <v>103</v>
      </c>
      <c r="BM163" t="s">
        <v>3602</v>
      </c>
      <c r="BN163" t="s">
        <v>74</v>
      </c>
      <c r="BO163" t="s">
        <v>74</v>
      </c>
      <c r="BP163" t="s">
        <v>74</v>
      </c>
      <c r="BQ163" t="s">
        <v>74</v>
      </c>
      <c r="BR163" t="s">
        <v>106</v>
      </c>
      <c r="BS163" t="s">
        <v>3603</v>
      </c>
      <c r="BT163" t="str">
        <f>HYPERLINK("https%3A%2F%2Fwww.webofscience.com%2Fwos%2Fwoscc%2Ffull-record%2FWOS:000332450200001","View Full Record in Web of Science")</f>
        <v>View Full Record in Web of Science</v>
      </c>
    </row>
    <row r="164" spans="1:72" x14ac:dyDescent="0.25">
      <c r="A164" t="s">
        <v>108</v>
      </c>
      <c r="B164" t="s">
        <v>3348</v>
      </c>
      <c r="C164" t="s">
        <v>74</v>
      </c>
      <c r="D164" t="s">
        <v>3604</v>
      </c>
      <c r="E164" t="s">
        <v>74</v>
      </c>
      <c r="F164" t="s">
        <v>3350</v>
      </c>
      <c r="G164" t="s">
        <v>74</v>
      </c>
      <c r="H164" t="s">
        <v>74</v>
      </c>
      <c r="I164" t="s">
        <v>3605</v>
      </c>
      <c r="J164" t="s">
        <v>3606</v>
      </c>
      <c r="K164" t="s">
        <v>114</v>
      </c>
      <c r="L164" t="s">
        <v>74</v>
      </c>
      <c r="M164" t="s">
        <v>78</v>
      </c>
      <c r="N164" t="s">
        <v>115</v>
      </c>
      <c r="O164" t="s">
        <v>3607</v>
      </c>
      <c r="P164" t="s">
        <v>3608</v>
      </c>
      <c r="Q164" t="s">
        <v>3609</v>
      </c>
      <c r="R164" t="s">
        <v>3610</v>
      </c>
      <c r="S164" t="s">
        <v>74</v>
      </c>
      <c r="T164" t="s">
        <v>3358</v>
      </c>
      <c r="U164" t="s">
        <v>74</v>
      </c>
      <c r="V164" t="s">
        <v>3611</v>
      </c>
      <c r="W164" t="s">
        <v>3360</v>
      </c>
      <c r="X164" t="s">
        <v>3361</v>
      </c>
      <c r="Y164" t="s">
        <v>3362</v>
      </c>
      <c r="Z164" t="s">
        <v>3363</v>
      </c>
      <c r="AA164" t="s">
        <v>3364</v>
      </c>
      <c r="AB164" t="s">
        <v>3365</v>
      </c>
      <c r="AC164" t="s">
        <v>74</v>
      </c>
      <c r="AD164" t="s">
        <v>74</v>
      </c>
      <c r="AE164" t="s">
        <v>74</v>
      </c>
      <c r="AF164" t="s">
        <v>74</v>
      </c>
      <c r="AG164">
        <v>9</v>
      </c>
      <c r="AH164">
        <v>2</v>
      </c>
      <c r="AI164">
        <v>2</v>
      </c>
      <c r="AJ164">
        <v>0</v>
      </c>
      <c r="AK164">
        <v>12</v>
      </c>
      <c r="AL164" t="s">
        <v>197</v>
      </c>
      <c r="AM164" t="s">
        <v>198</v>
      </c>
      <c r="AN164" t="s">
        <v>199</v>
      </c>
      <c r="AO164" t="s">
        <v>159</v>
      </c>
      <c r="AP164" t="s">
        <v>133</v>
      </c>
      <c r="AQ164" t="s">
        <v>3612</v>
      </c>
      <c r="AR164" t="s">
        <v>135</v>
      </c>
      <c r="AS164" t="s">
        <v>74</v>
      </c>
      <c r="AT164" t="s">
        <v>74</v>
      </c>
      <c r="AU164">
        <v>2015</v>
      </c>
      <c r="AV164">
        <v>9324</v>
      </c>
      <c r="AW164" t="s">
        <v>74</v>
      </c>
      <c r="AX164" t="s">
        <v>74</v>
      </c>
      <c r="AY164" t="s">
        <v>74</v>
      </c>
      <c r="AZ164" t="s">
        <v>74</v>
      </c>
      <c r="BA164" t="s">
        <v>74</v>
      </c>
      <c r="BB164">
        <v>264</v>
      </c>
      <c r="BC164">
        <v>270</v>
      </c>
      <c r="BD164" t="s">
        <v>74</v>
      </c>
      <c r="BE164" t="s">
        <v>3613</v>
      </c>
      <c r="BF164" t="str">
        <f>HYPERLINK("http://dx.doi.org/10.1007/978-3-319-24489-1_22","http://dx.doi.org/10.1007/978-3-319-24489-1_22")</f>
        <v>http://dx.doi.org/10.1007/978-3-319-24489-1_22</v>
      </c>
      <c r="BG164" t="s">
        <v>74</v>
      </c>
      <c r="BH164" t="s">
        <v>74</v>
      </c>
      <c r="BI164">
        <v>7</v>
      </c>
      <c r="BJ164" t="s">
        <v>3614</v>
      </c>
      <c r="BK164" t="s">
        <v>203</v>
      </c>
      <c r="BL164" t="s">
        <v>3615</v>
      </c>
      <c r="BM164" t="s">
        <v>3616</v>
      </c>
      <c r="BN164" t="s">
        <v>74</v>
      </c>
      <c r="BO164" t="s">
        <v>74</v>
      </c>
      <c r="BP164" t="s">
        <v>74</v>
      </c>
      <c r="BQ164" t="s">
        <v>74</v>
      </c>
      <c r="BR164" t="s">
        <v>106</v>
      </c>
      <c r="BS164" t="s">
        <v>3617</v>
      </c>
      <c r="BT164" t="str">
        <f>HYPERLINK("https%3A%2F%2Fwww.webofscience.com%2Fwos%2Fwoscc%2Ffull-record%2FWOS:000367594800025","View Full Record in Web of Science")</f>
        <v>View Full Record in Web of Science</v>
      </c>
    </row>
    <row r="165" spans="1:72" x14ac:dyDescent="0.25">
      <c r="A165" t="s">
        <v>72</v>
      </c>
      <c r="B165" t="s">
        <v>3618</v>
      </c>
      <c r="C165" t="s">
        <v>74</v>
      </c>
      <c r="D165" t="s">
        <v>74</v>
      </c>
      <c r="E165" t="s">
        <v>74</v>
      </c>
      <c r="F165" t="s">
        <v>3619</v>
      </c>
      <c r="G165" t="s">
        <v>74</v>
      </c>
      <c r="H165" t="s">
        <v>74</v>
      </c>
      <c r="I165" t="s">
        <v>3620</v>
      </c>
      <c r="J165" t="s">
        <v>3240</v>
      </c>
      <c r="K165" t="s">
        <v>74</v>
      </c>
      <c r="L165" t="s">
        <v>74</v>
      </c>
      <c r="M165" t="s">
        <v>78</v>
      </c>
      <c r="N165" t="s">
        <v>79</v>
      </c>
      <c r="O165" t="s">
        <v>74</v>
      </c>
      <c r="P165" t="s">
        <v>74</v>
      </c>
      <c r="Q165" t="s">
        <v>74</v>
      </c>
      <c r="R165" t="s">
        <v>74</v>
      </c>
      <c r="S165" t="s">
        <v>74</v>
      </c>
      <c r="T165" t="s">
        <v>3621</v>
      </c>
      <c r="U165" t="s">
        <v>3622</v>
      </c>
      <c r="V165" t="s">
        <v>3623</v>
      </c>
      <c r="W165" t="s">
        <v>3624</v>
      </c>
      <c r="X165" t="s">
        <v>3625</v>
      </c>
      <c r="Y165" t="s">
        <v>3626</v>
      </c>
      <c r="Z165" t="s">
        <v>3627</v>
      </c>
      <c r="AA165" t="s">
        <v>74</v>
      </c>
      <c r="AB165" t="s">
        <v>74</v>
      </c>
      <c r="AC165" t="s">
        <v>3628</v>
      </c>
      <c r="AD165" t="s">
        <v>3629</v>
      </c>
      <c r="AE165" t="s">
        <v>3630</v>
      </c>
      <c r="AF165" t="s">
        <v>74</v>
      </c>
      <c r="AG165">
        <v>37</v>
      </c>
      <c r="AH165">
        <v>46</v>
      </c>
      <c r="AI165">
        <v>53</v>
      </c>
      <c r="AJ165">
        <v>0</v>
      </c>
      <c r="AK165">
        <v>55</v>
      </c>
      <c r="AL165" t="s">
        <v>362</v>
      </c>
      <c r="AM165" t="s">
        <v>363</v>
      </c>
      <c r="AN165" t="s">
        <v>364</v>
      </c>
      <c r="AO165" t="s">
        <v>3252</v>
      </c>
      <c r="AP165" t="s">
        <v>3253</v>
      </c>
      <c r="AQ165" t="s">
        <v>74</v>
      </c>
      <c r="AR165" t="s">
        <v>3254</v>
      </c>
      <c r="AS165" t="s">
        <v>3255</v>
      </c>
      <c r="AT165" t="s">
        <v>1278</v>
      </c>
      <c r="AU165">
        <v>2014</v>
      </c>
      <c r="AV165">
        <v>56</v>
      </c>
      <c r="AW165" t="s">
        <v>74</v>
      </c>
      <c r="AX165" t="s">
        <v>74</v>
      </c>
      <c r="AY165" t="s">
        <v>74</v>
      </c>
      <c r="AZ165" t="s">
        <v>74</v>
      </c>
      <c r="BA165" t="s">
        <v>74</v>
      </c>
      <c r="BB165">
        <v>86</v>
      </c>
      <c r="BC165">
        <v>96</v>
      </c>
      <c r="BD165" t="s">
        <v>74</v>
      </c>
      <c r="BE165" t="s">
        <v>3631</v>
      </c>
      <c r="BF165" t="str">
        <f>HYPERLINK("http://dx.doi.org/10.1016/j.knosys.2013.11.001","http://dx.doi.org/10.1016/j.knosys.2013.11.001")</f>
        <v>http://dx.doi.org/10.1016/j.knosys.2013.11.001</v>
      </c>
      <c r="BG165" t="s">
        <v>74</v>
      </c>
      <c r="BH165" t="s">
        <v>74</v>
      </c>
      <c r="BI165">
        <v>11</v>
      </c>
      <c r="BJ165" t="s">
        <v>807</v>
      </c>
      <c r="BK165" t="s">
        <v>902</v>
      </c>
      <c r="BL165" t="s">
        <v>103</v>
      </c>
      <c r="BM165" t="s">
        <v>3632</v>
      </c>
      <c r="BN165" t="s">
        <v>74</v>
      </c>
      <c r="BO165" t="s">
        <v>74</v>
      </c>
      <c r="BP165" t="s">
        <v>74</v>
      </c>
      <c r="BQ165" t="s">
        <v>74</v>
      </c>
      <c r="BR165" t="s">
        <v>106</v>
      </c>
      <c r="BS165" t="s">
        <v>3633</v>
      </c>
      <c r="BT165" t="str">
        <f>HYPERLINK("https%3A%2F%2Fwww.webofscience.com%2Fwos%2Fwoscc%2Ffull-record%2FWOS:000331160200008","View Full Record in Web of Science")</f>
        <v>View Full Record in Web of Science</v>
      </c>
    </row>
    <row r="166" spans="1:72" x14ac:dyDescent="0.25">
      <c r="A166" t="s">
        <v>72</v>
      </c>
      <c r="B166" t="s">
        <v>3634</v>
      </c>
      <c r="C166" t="s">
        <v>74</v>
      </c>
      <c r="D166" t="s">
        <v>74</v>
      </c>
      <c r="E166" t="s">
        <v>74</v>
      </c>
      <c r="F166" t="s">
        <v>3635</v>
      </c>
      <c r="G166" t="s">
        <v>74</v>
      </c>
      <c r="H166" t="s">
        <v>74</v>
      </c>
      <c r="I166" t="s">
        <v>3636</v>
      </c>
      <c r="J166" t="s">
        <v>3637</v>
      </c>
      <c r="K166" t="s">
        <v>74</v>
      </c>
      <c r="L166" t="s">
        <v>74</v>
      </c>
      <c r="M166" t="s">
        <v>78</v>
      </c>
      <c r="N166" t="s">
        <v>79</v>
      </c>
      <c r="O166" t="s">
        <v>74</v>
      </c>
      <c r="P166" t="s">
        <v>74</v>
      </c>
      <c r="Q166" t="s">
        <v>74</v>
      </c>
      <c r="R166" t="s">
        <v>74</v>
      </c>
      <c r="S166" t="s">
        <v>74</v>
      </c>
      <c r="T166" t="s">
        <v>3638</v>
      </c>
      <c r="U166" t="s">
        <v>3639</v>
      </c>
      <c r="V166" t="s">
        <v>3640</v>
      </c>
      <c r="W166" t="s">
        <v>3641</v>
      </c>
      <c r="X166" t="s">
        <v>2647</v>
      </c>
      <c r="Y166" t="s">
        <v>3642</v>
      </c>
      <c r="Z166" t="s">
        <v>3643</v>
      </c>
      <c r="AA166" t="s">
        <v>74</v>
      </c>
      <c r="AB166" t="s">
        <v>74</v>
      </c>
      <c r="AC166" t="s">
        <v>74</v>
      </c>
      <c r="AD166" t="s">
        <v>74</v>
      </c>
      <c r="AE166" t="s">
        <v>74</v>
      </c>
      <c r="AF166" t="s">
        <v>74</v>
      </c>
      <c r="AG166">
        <v>31</v>
      </c>
      <c r="AH166">
        <v>8</v>
      </c>
      <c r="AI166">
        <v>10</v>
      </c>
      <c r="AJ166">
        <v>0</v>
      </c>
      <c r="AK166">
        <v>17</v>
      </c>
      <c r="AL166" t="s">
        <v>178</v>
      </c>
      <c r="AM166" t="s">
        <v>1005</v>
      </c>
      <c r="AN166" t="s">
        <v>1006</v>
      </c>
      <c r="AO166" t="s">
        <v>3644</v>
      </c>
      <c r="AP166" t="s">
        <v>3645</v>
      </c>
      <c r="AQ166" t="s">
        <v>74</v>
      </c>
      <c r="AR166" t="s">
        <v>3646</v>
      </c>
      <c r="AS166" t="s">
        <v>3647</v>
      </c>
      <c r="AT166" t="s">
        <v>246</v>
      </c>
      <c r="AU166">
        <v>2013</v>
      </c>
      <c r="AV166">
        <v>66</v>
      </c>
      <c r="AW166">
        <v>2</v>
      </c>
      <c r="AX166" t="s">
        <v>74</v>
      </c>
      <c r="AY166" t="s">
        <v>74</v>
      </c>
      <c r="AZ166" t="s">
        <v>74</v>
      </c>
      <c r="BA166" t="s">
        <v>74</v>
      </c>
      <c r="BB166">
        <v>633</v>
      </c>
      <c r="BC166">
        <v>648</v>
      </c>
      <c r="BD166" t="s">
        <v>74</v>
      </c>
      <c r="BE166" t="s">
        <v>3648</v>
      </c>
      <c r="BF166" t="str">
        <f>HYPERLINK("http://dx.doi.org/10.1007/s11227-012-0847-x","http://dx.doi.org/10.1007/s11227-012-0847-x")</f>
        <v>http://dx.doi.org/10.1007/s11227-012-0847-x</v>
      </c>
      <c r="BG166" t="s">
        <v>74</v>
      </c>
      <c r="BH166" t="s">
        <v>74</v>
      </c>
      <c r="BI166">
        <v>16</v>
      </c>
      <c r="BJ166" t="s">
        <v>3649</v>
      </c>
      <c r="BK166" t="s">
        <v>902</v>
      </c>
      <c r="BL166" t="s">
        <v>953</v>
      </c>
      <c r="BM166" t="s">
        <v>3650</v>
      </c>
      <c r="BN166" t="s">
        <v>74</v>
      </c>
      <c r="BO166" t="s">
        <v>74</v>
      </c>
      <c r="BP166" t="s">
        <v>74</v>
      </c>
      <c r="BQ166" t="s">
        <v>74</v>
      </c>
      <c r="BR166" t="s">
        <v>106</v>
      </c>
      <c r="BS166" t="s">
        <v>3651</v>
      </c>
      <c r="BT166" t="str">
        <f>HYPERLINK("https%3A%2F%2Fwww.webofscience.com%2Fwos%2Fwoscc%2Ffull-record%2FWOS:000326461100003","View Full Record in Web of Science")</f>
        <v>View Full Record in Web of Science</v>
      </c>
    </row>
    <row r="167" spans="1:72" x14ac:dyDescent="0.25">
      <c r="A167" t="s">
        <v>72</v>
      </c>
      <c r="B167" t="s">
        <v>3652</v>
      </c>
      <c r="C167" t="s">
        <v>74</v>
      </c>
      <c r="D167" t="s">
        <v>74</v>
      </c>
      <c r="E167" t="s">
        <v>74</v>
      </c>
      <c r="F167" t="s">
        <v>3653</v>
      </c>
      <c r="G167" t="s">
        <v>74</v>
      </c>
      <c r="H167" t="s">
        <v>74</v>
      </c>
      <c r="I167" t="s">
        <v>3654</v>
      </c>
      <c r="J167" t="s">
        <v>3655</v>
      </c>
      <c r="K167" t="s">
        <v>74</v>
      </c>
      <c r="L167" t="s">
        <v>74</v>
      </c>
      <c r="M167" t="s">
        <v>78</v>
      </c>
      <c r="N167" t="s">
        <v>79</v>
      </c>
      <c r="O167" t="s">
        <v>74</v>
      </c>
      <c r="P167" t="s">
        <v>74</v>
      </c>
      <c r="Q167" t="s">
        <v>74</v>
      </c>
      <c r="R167" t="s">
        <v>74</v>
      </c>
      <c r="S167" t="s">
        <v>74</v>
      </c>
      <c r="T167" t="s">
        <v>74</v>
      </c>
      <c r="U167" t="s">
        <v>3656</v>
      </c>
      <c r="V167" t="s">
        <v>3657</v>
      </c>
      <c r="W167" t="s">
        <v>3658</v>
      </c>
      <c r="X167" t="s">
        <v>3659</v>
      </c>
      <c r="Y167" t="s">
        <v>3660</v>
      </c>
      <c r="Z167" t="s">
        <v>237</v>
      </c>
      <c r="AA167" t="s">
        <v>74</v>
      </c>
      <c r="AB167" t="s">
        <v>3661</v>
      </c>
      <c r="AC167" t="s">
        <v>74</v>
      </c>
      <c r="AD167" t="s">
        <v>74</v>
      </c>
      <c r="AE167" t="s">
        <v>74</v>
      </c>
      <c r="AF167" t="s">
        <v>74</v>
      </c>
      <c r="AG167">
        <v>94</v>
      </c>
      <c r="AH167">
        <v>35</v>
      </c>
      <c r="AI167">
        <v>45</v>
      </c>
      <c r="AJ167">
        <v>0</v>
      </c>
      <c r="AK167">
        <v>43</v>
      </c>
      <c r="AL167" t="s">
        <v>310</v>
      </c>
      <c r="AM167" t="s">
        <v>311</v>
      </c>
      <c r="AN167" t="s">
        <v>312</v>
      </c>
      <c r="AO167" t="s">
        <v>3662</v>
      </c>
      <c r="AP167" t="s">
        <v>3663</v>
      </c>
      <c r="AQ167" t="s">
        <v>74</v>
      </c>
      <c r="AR167" t="s">
        <v>3664</v>
      </c>
      <c r="AS167" t="s">
        <v>3665</v>
      </c>
      <c r="AT167" t="s">
        <v>3666</v>
      </c>
      <c r="AU167">
        <v>2013</v>
      </c>
      <c r="AV167">
        <v>15</v>
      </c>
      <c r="AW167">
        <v>2</v>
      </c>
      <c r="AX167" t="s">
        <v>74</v>
      </c>
      <c r="AY167" t="s">
        <v>74</v>
      </c>
      <c r="AZ167" t="s">
        <v>74</v>
      </c>
      <c r="BA167" t="s">
        <v>74</v>
      </c>
      <c r="BB167">
        <v>89</v>
      </c>
      <c r="BC167">
        <v>120</v>
      </c>
      <c r="BD167" t="s">
        <v>74</v>
      </c>
      <c r="BE167" t="s">
        <v>3667</v>
      </c>
      <c r="BF167" t="str">
        <f>HYPERLINK("http://dx.doi.org/10.1080/10986065.2013.770717","http://dx.doi.org/10.1080/10986065.2013.770717")</f>
        <v>http://dx.doi.org/10.1080/10986065.2013.770717</v>
      </c>
      <c r="BG167" t="s">
        <v>74</v>
      </c>
      <c r="BH167" t="s">
        <v>74</v>
      </c>
      <c r="BI167">
        <v>32</v>
      </c>
      <c r="BJ167" t="s">
        <v>318</v>
      </c>
      <c r="BK167" t="s">
        <v>250</v>
      </c>
      <c r="BL167" t="s">
        <v>318</v>
      </c>
      <c r="BM167" t="s">
        <v>3668</v>
      </c>
      <c r="BN167" t="s">
        <v>74</v>
      </c>
      <c r="BO167" t="s">
        <v>74</v>
      </c>
      <c r="BP167" t="s">
        <v>74</v>
      </c>
      <c r="BQ167" t="s">
        <v>74</v>
      </c>
      <c r="BR167" t="s">
        <v>106</v>
      </c>
      <c r="BS167" t="s">
        <v>3669</v>
      </c>
      <c r="BT167" t="str">
        <f>HYPERLINK("https%3A%2F%2Fwww.webofscience.com%2Fwos%2Fwoscc%2Ffull-record%2FWOS:000317277200001","View Full Record in Web of Science")</f>
        <v>View Full Record in Web of Science</v>
      </c>
    </row>
    <row r="168" spans="1:72" x14ac:dyDescent="0.25">
      <c r="A168" t="s">
        <v>108</v>
      </c>
      <c r="B168" t="s">
        <v>3670</v>
      </c>
      <c r="C168" t="s">
        <v>74</v>
      </c>
      <c r="D168" t="s">
        <v>74</v>
      </c>
      <c r="E168" t="s">
        <v>465</v>
      </c>
      <c r="F168" t="s">
        <v>3671</v>
      </c>
      <c r="G168" t="s">
        <v>74</v>
      </c>
      <c r="H168" t="s">
        <v>74</v>
      </c>
      <c r="I168" t="s">
        <v>3672</v>
      </c>
      <c r="J168" t="s">
        <v>3673</v>
      </c>
      <c r="K168" t="s">
        <v>3674</v>
      </c>
      <c r="L168" t="s">
        <v>74</v>
      </c>
      <c r="M168" t="s">
        <v>78</v>
      </c>
      <c r="N168" t="s">
        <v>115</v>
      </c>
      <c r="O168" t="s">
        <v>3675</v>
      </c>
      <c r="P168" t="s">
        <v>3676</v>
      </c>
      <c r="Q168" t="s">
        <v>3677</v>
      </c>
      <c r="R168" t="s">
        <v>1748</v>
      </c>
      <c r="S168" t="s">
        <v>74</v>
      </c>
      <c r="T168" t="s">
        <v>3678</v>
      </c>
      <c r="U168" t="s">
        <v>74</v>
      </c>
      <c r="V168" t="s">
        <v>3679</v>
      </c>
      <c r="W168" t="s">
        <v>3680</v>
      </c>
      <c r="X168" t="s">
        <v>3681</v>
      </c>
      <c r="Y168" t="s">
        <v>3682</v>
      </c>
      <c r="Z168" t="s">
        <v>3683</v>
      </c>
      <c r="AA168" t="s">
        <v>74</v>
      </c>
      <c r="AB168" t="s">
        <v>3684</v>
      </c>
      <c r="AC168" t="s">
        <v>74</v>
      </c>
      <c r="AD168" t="s">
        <v>74</v>
      </c>
      <c r="AE168" t="s">
        <v>74</v>
      </c>
      <c r="AF168" t="s">
        <v>74</v>
      </c>
      <c r="AG168">
        <v>32</v>
      </c>
      <c r="AH168">
        <v>51</v>
      </c>
      <c r="AI168">
        <v>60</v>
      </c>
      <c r="AJ168">
        <v>0</v>
      </c>
      <c r="AK168">
        <v>12</v>
      </c>
      <c r="AL168" t="s">
        <v>465</v>
      </c>
      <c r="AM168" t="s">
        <v>92</v>
      </c>
      <c r="AN168" t="s">
        <v>480</v>
      </c>
      <c r="AO168" t="s">
        <v>3685</v>
      </c>
      <c r="AP168" t="s">
        <v>74</v>
      </c>
      <c r="AQ168" t="s">
        <v>3686</v>
      </c>
      <c r="AR168" t="s">
        <v>3687</v>
      </c>
      <c r="AS168" t="s">
        <v>74</v>
      </c>
      <c r="AT168" t="s">
        <v>74</v>
      </c>
      <c r="AU168">
        <v>2013</v>
      </c>
      <c r="AV168" t="s">
        <v>74</v>
      </c>
      <c r="AW168" t="s">
        <v>74</v>
      </c>
      <c r="AX168" t="s">
        <v>74</v>
      </c>
      <c r="AY168" t="s">
        <v>74</v>
      </c>
      <c r="AZ168" t="s">
        <v>74</v>
      </c>
      <c r="BA168" t="s">
        <v>74</v>
      </c>
      <c r="BB168">
        <v>307</v>
      </c>
      <c r="BC168">
        <v>316</v>
      </c>
      <c r="BD168" t="s">
        <v>74</v>
      </c>
      <c r="BE168" t="s">
        <v>3688</v>
      </c>
      <c r="BF168" t="str">
        <f>HYPERLINK("http://dx.doi.org/10.1109/ICDCS.2013.14","http://dx.doi.org/10.1109/ICDCS.2013.14")</f>
        <v>http://dx.doi.org/10.1109/ICDCS.2013.14</v>
      </c>
      <c r="BG168" t="s">
        <v>74</v>
      </c>
      <c r="BH168" t="s">
        <v>74</v>
      </c>
      <c r="BI168">
        <v>10</v>
      </c>
      <c r="BJ168" t="s">
        <v>3689</v>
      </c>
      <c r="BK168" t="s">
        <v>203</v>
      </c>
      <c r="BL168" t="s">
        <v>953</v>
      </c>
      <c r="BM168" t="s">
        <v>3690</v>
      </c>
      <c r="BN168" t="s">
        <v>74</v>
      </c>
      <c r="BO168" t="s">
        <v>74</v>
      </c>
      <c r="BP168" t="s">
        <v>74</v>
      </c>
      <c r="BQ168" t="s">
        <v>74</v>
      </c>
      <c r="BR168" t="s">
        <v>106</v>
      </c>
      <c r="BS168" t="s">
        <v>3691</v>
      </c>
      <c r="BT168" t="str">
        <f>HYPERLINK("https%3A%2F%2Fwww.webofscience.com%2Fwos%2Fwoscc%2Ffull-record%2FWOS:000333267200031","View Full Record in Web of Science")</f>
        <v>View Full Record in Web of Science</v>
      </c>
    </row>
    <row r="169" spans="1:72" x14ac:dyDescent="0.25">
      <c r="A169" t="s">
        <v>108</v>
      </c>
      <c r="B169" t="s">
        <v>3692</v>
      </c>
      <c r="C169" t="s">
        <v>74</v>
      </c>
      <c r="D169" t="s">
        <v>74</v>
      </c>
      <c r="E169" t="s">
        <v>465</v>
      </c>
      <c r="F169" t="s">
        <v>3693</v>
      </c>
      <c r="G169" t="s">
        <v>74</v>
      </c>
      <c r="H169" t="s">
        <v>74</v>
      </c>
      <c r="I169" t="s">
        <v>3694</v>
      </c>
      <c r="J169" t="s">
        <v>3695</v>
      </c>
      <c r="K169" t="s">
        <v>74</v>
      </c>
      <c r="L169" t="s">
        <v>74</v>
      </c>
      <c r="M169" t="s">
        <v>78</v>
      </c>
      <c r="N169" t="s">
        <v>115</v>
      </c>
      <c r="O169" t="s">
        <v>3696</v>
      </c>
      <c r="P169" t="s">
        <v>3697</v>
      </c>
      <c r="Q169" t="s">
        <v>3698</v>
      </c>
      <c r="R169" t="s">
        <v>3699</v>
      </c>
      <c r="S169" t="s">
        <v>3700</v>
      </c>
      <c r="T169" t="s">
        <v>74</v>
      </c>
      <c r="U169" t="s">
        <v>74</v>
      </c>
      <c r="V169" t="s">
        <v>3701</v>
      </c>
      <c r="W169" t="s">
        <v>3702</v>
      </c>
      <c r="X169" t="s">
        <v>3703</v>
      </c>
      <c r="Y169" t="s">
        <v>3704</v>
      </c>
      <c r="Z169" t="s">
        <v>74</v>
      </c>
      <c r="AA169" t="s">
        <v>74</v>
      </c>
      <c r="AB169" t="s">
        <v>74</v>
      </c>
      <c r="AC169" t="s">
        <v>74</v>
      </c>
      <c r="AD169" t="s">
        <v>74</v>
      </c>
      <c r="AE169" t="s">
        <v>74</v>
      </c>
      <c r="AF169" t="s">
        <v>74</v>
      </c>
      <c r="AG169">
        <v>20</v>
      </c>
      <c r="AH169">
        <v>1</v>
      </c>
      <c r="AI169">
        <v>1</v>
      </c>
      <c r="AJ169">
        <v>0</v>
      </c>
      <c r="AK169">
        <v>0</v>
      </c>
      <c r="AL169" t="s">
        <v>465</v>
      </c>
      <c r="AM169" t="s">
        <v>92</v>
      </c>
      <c r="AN169" t="s">
        <v>480</v>
      </c>
      <c r="AO169" t="s">
        <v>74</v>
      </c>
      <c r="AP169" t="s">
        <v>74</v>
      </c>
      <c r="AQ169" t="s">
        <v>3705</v>
      </c>
      <c r="AR169" t="s">
        <v>74</v>
      </c>
      <c r="AS169" t="s">
        <v>74</v>
      </c>
      <c r="AT169" t="s">
        <v>74</v>
      </c>
      <c r="AU169">
        <v>2019</v>
      </c>
      <c r="AV169" t="s">
        <v>74</v>
      </c>
      <c r="AW169" t="s">
        <v>74</v>
      </c>
      <c r="AX169" t="s">
        <v>74</v>
      </c>
      <c r="AY169" t="s">
        <v>74</v>
      </c>
      <c r="AZ169" t="s">
        <v>74</v>
      </c>
      <c r="BA169" t="s">
        <v>74</v>
      </c>
      <c r="BB169" t="s">
        <v>74</v>
      </c>
      <c r="BC169" t="s">
        <v>74</v>
      </c>
      <c r="BD169" t="s">
        <v>74</v>
      </c>
      <c r="BE169" t="s">
        <v>3706</v>
      </c>
      <c r="BF169" t="str">
        <f>HYPERLINK("http://dx.doi.org/10.1109/cybersa.2019.8899443","http://dx.doi.org/10.1109/cybersa.2019.8899443")</f>
        <v>http://dx.doi.org/10.1109/cybersa.2019.8899443</v>
      </c>
      <c r="BG169" t="s">
        <v>74</v>
      </c>
      <c r="BH169" t="s">
        <v>74</v>
      </c>
      <c r="BI169">
        <v>8</v>
      </c>
      <c r="BJ169" t="s">
        <v>852</v>
      </c>
      <c r="BK169" t="s">
        <v>203</v>
      </c>
      <c r="BL169" t="s">
        <v>103</v>
      </c>
      <c r="BM169" t="s">
        <v>3707</v>
      </c>
      <c r="BN169" t="s">
        <v>74</v>
      </c>
      <c r="BO169" t="s">
        <v>74</v>
      </c>
      <c r="BP169" t="s">
        <v>74</v>
      </c>
      <c r="BQ169" t="s">
        <v>74</v>
      </c>
      <c r="BR169" t="s">
        <v>106</v>
      </c>
      <c r="BS169" t="s">
        <v>3708</v>
      </c>
      <c r="BT169" t="str">
        <f>HYPERLINK("https%3A%2F%2Fwww.webofscience.com%2Fwos%2Fwoscc%2Ffull-record%2FWOS:000608076400011","View Full Record in Web of Science")</f>
        <v>View Full Record in Web of Science</v>
      </c>
    </row>
    <row r="170" spans="1:72" x14ac:dyDescent="0.25">
      <c r="A170" t="s">
        <v>72</v>
      </c>
      <c r="B170" t="s">
        <v>3709</v>
      </c>
      <c r="C170" t="s">
        <v>74</v>
      </c>
      <c r="D170" t="s">
        <v>74</v>
      </c>
      <c r="E170" t="s">
        <v>74</v>
      </c>
      <c r="F170" t="s">
        <v>3710</v>
      </c>
      <c r="G170" t="s">
        <v>74</v>
      </c>
      <c r="H170" t="s">
        <v>74</v>
      </c>
      <c r="I170" t="s">
        <v>3711</v>
      </c>
      <c r="J170" t="s">
        <v>3712</v>
      </c>
      <c r="K170" t="s">
        <v>74</v>
      </c>
      <c r="L170" t="s">
        <v>74</v>
      </c>
      <c r="M170" t="s">
        <v>78</v>
      </c>
      <c r="N170" t="s">
        <v>79</v>
      </c>
      <c r="O170" t="s">
        <v>74</v>
      </c>
      <c r="P170" t="s">
        <v>74</v>
      </c>
      <c r="Q170" t="s">
        <v>74</v>
      </c>
      <c r="R170" t="s">
        <v>74</v>
      </c>
      <c r="S170" t="s">
        <v>74</v>
      </c>
      <c r="T170" t="s">
        <v>3713</v>
      </c>
      <c r="U170" t="s">
        <v>74</v>
      </c>
      <c r="V170" t="s">
        <v>3714</v>
      </c>
      <c r="W170" t="s">
        <v>3715</v>
      </c>
      <c r="X170" t="s">
        <v>3716</v>
      </c>
      <c r="Y170" t="s">
        <v>3717</v>
      </c>
      <c r="Z170" t="s">
        <v>3718</v>
      </c>
      <c r="AA170" t="s">
        <v>3719</v>
      </c>
      <c r="AB170" t="s">
        <v>74</v>
      </c>
      <c r="AC170" t="s">
        <v>3720</v>
      </c>
      <c r="AD170" t="s">
        <v>3721</v>
      </c>
      <c r="AE170" t="s">
        <v>3722</v>
      </c>
      <c r="AF170" t="s">
        <v>74</v>
      </c>
      <c r="AG170">
        <v>37</v>
      </c>
      <c r="AH170">
        <v>36</v>
      </c>
      <c r="AI170">
        <v>51</v>
      </c>
      <c r="AJ170">
        <v>0</v>
      </c>
      <c r="AK170">
        <v>7</v>
      </c>
      <c r="AL170" t="s">
        <v>3723</v>
      </c>
      <c r="AM170" t="s">
        <v>1320</v>
      </c>
      <c r="AN170" t="s">
        <v>3724</v>
      </c>
      <c r="AO170" t="s">
        <v>74</v>
      </c>
      <c r="AP170" t="s">
        <v>3725</v>
      </c>
      <c r="AQ170" t="s">
        <v>74</v>
      </c>
      <c r="AR170" t="s">
        <v>3726</v>
      </c>
      <c r="AS170" t="s">
        <v>3727</v>
      </c>
      <c r="AT170" t="s">
        <v>368</v>
      </c>
      <c r="AU170">
        <v>2015</v>
      </c>
      <c r="AV170" t="s">
        <v>74</v>
      </c>
      <c r="AW170" t="s">
        <v>74</v>
      </c>
      <c r="AX170" t="s">
        <v>74</v>
      </c>
      <c r="AY170" t="s">
        <v>74</v>
      </c>
      <c r="AZ170" t="s">
        <v>74</v>
      </c>
      <c r="BA170" t="s">
        <v>74</v>
      </c>
      <c r="BB170" t="s">
        <v>74</v>
      </c>
      <c r="BC170" t="s">
        <v>74</v>
      </c>
      <c r="BD170" t="s">
        <v>3728</v>
      </c>
      <c r="BE170" t="s">
        <v>3729</v>
      </c>
      <c r="BF170" t="str">
        <f>HYPERLINK("http://dx.doi.org/10.7717/peerj-cs.4","http://dx.doi.org/10.7717/peerj-cs.4")</f>
        <v>http://dx.doi.org/10.7717/peerj-cs.4</v>
      </c>
      <c r="BG170" t="s">
        <v>74</v>
      </c>
      <c r="BH170" t="s">
        <v>74</v>
      </c>
      <c r="BI170">
        <v>13</v>
      </c>
      <c r="BJ170" t="s">
        <v>461</v>
      </c>
      <c r="BK170" t="s">
        <v>102</v>
      </c>
      <c r="BL170" t="s">
        <v>103</v>
      </c>
      <c r="BM170" t="s">
        <v>3730</v>
      </c>
      <c r="BN170" t="s">
        <v>74</v>
      </c>
      <c r="BO170" t="s">
        <v>398</v>
      </c>
      <c r="BP170" t="s">
        <v>74</v>
      </c>
      <c r="BQ170" t="s">
        <v>74</v>
      </c>
      <c r="BR170" t="s">
        <v>106</v>
      </c>
      <c r="BS170" t="s">
        <v>3731</v>
      </c>
      <c r="BT170" t="str">
        <f>HYPERLINK("https%3A%2F%2Fwww.webofscience.com%2Fwos%2Fwoscc%2Ffull-record%2FWOS:000437423200002","View Full Record in Web of Science")</f>
        <v>View Full Record in Web of Science</v>
      </c>
    </row>
    <row r="171" spans="1:72" x14ac:dyDescent="0.25">
      <c r="A171" t="s">
        <v>108</v>
      </c>
      <c r="B171" t="s">
        <v>3732</v>
      </c>
      <c r="C171" t="s">
        <v>74</v>
      </c>
      <c r="D171" t="s">
        <v>3733</v>
      </c>
      <c r="E171" t="s">
        <v>74</v>
      </c>
      <c r="F171" t="s">
        <v>3734</v>
      </c>
      <c r="G171" t="s">
        <v>74</v>
      </c>
      <c r="H171" t="s">
        <v>74</v>
      </c>
      <c r="I171" t="s">
        <v>3735</v>
      </c>
      <c r="J171" t="s">
        <v>3736</v>
      </c>
      <c r="K171" t="s">
        <v>3737</v>
      </c>
      <c r="L171" t="s">
        <v>74</v>
      </c>
      <c r="M171" t="s">
        <v>78</v>
      </c>
      <c r="N171" t="s">
        <v>115</v>
      </c>
      <c r="O171" t="s">
        <v>3738</v>
      </c>
      <c r="P171" t="s">
        <v>3739</v>
      </c>
      <c r="Q171" t="s">
        <v>3740</v>
      </c>
      <c r="R171" t="s">
        <v>465</v>
      </c>
      <c r="S171" t="s">
        <v>74</v>
      </c>
      <c r="T171" t="s">
        <v>3741</v>
      </c>
      <c r="U171" t="s">
        <v>74</v>
      </c>
      <c r="V171" t="s">
        <v>3742</v>
      </c>
      <c r="W171" t="s">
        <v>3743</v>
      </c>
      <c r="X171" t="s">
        <v>3744</v>
      </c>
      <c r="Y171" t="s">
        <v>3745</v>
      </c>
      <c r="Z171" t="s">
        <v>3746</v>
      </c>
      <c r="AA171" t="s">
        <v>3747</v>
      </c>
      <c r="AB171" t="s">
        <v>3748</v>
      </c>
      <c r="AC171" t="s">
        <v>74</v>
      </c>
      <c r="AD171" t="s">
        <v>74</v>
      </c>
      <c r="AE171" t="s">
        <v>74</v>
      </c>
      <c r="AF171" t="s">
        <v>74</v>
      </c>
      <c r="AG171">
        <v>26</v>
      </c>
      <c r="AH171">
        <v>4</v>
      </c>
      <c r="AI171">
        <v>4</v>
      </c>
      <c r="AJ171">
        <v>0</v>
      </c>
      <c r="AK171">
        <v>2</v>
      </c>
      <c r="AL171" t="s">
        <v>465</v>
      </c>
      <c r="AM171" t="s">
        <v>92</v>
      </c>
      <c r="AN171" t="s">
        <v>480</v>
      </c>
      <c r="AO171" t="s">
        <v>3749</v>
      </c>
      <c r="AP171" t="s">
        <v>74</v>
      </c>
      <c r="AQ171" t="s">
        <v>3750</v>
      </c>
      <c r="AR171" t="s">
        <v>3751</v>
      </c>
      <c r="AS171" t="s">
        <v>74</v>
      </c>
      <c r="AT171" t="s">
        <v>74</v>
      </c>
      <c r="AU171">
        <v>2016</v>
      </c>
      <c r="AV171" t="s">
        <v>74</v>
      </c>
      <c r="AW171" t="s">
        <v>74</v>
      </c>
      <c r="AX171" t="s">
        <v>74</v>
      </c>
      <c r="AY171" t="s">
        <v>74</v>
      </c>
      <c r="AZ171" t="s">
        <v>74</v>
      </c>
      <c r="BA171" t="s">
        <v>74</v>
      </c>
      <c r="BB171">
        <v>87</v>
      </c>
      <c r="BC171">
        <v>98</v>
      </c>
      <c r="BD171" t="s">
        <v>74</v>
      </c>
      <c r="BE171" t="s">
        <v>74</v>
      </c>
      <c r="BF171" t="s">
        <v>74</v>
      </c>
      <c r="BG171" t="s">
        <v>74</v>
      </c>
      <c r="BH171" t="s">
        <v>74</v>
      </c>
      <c r="BI171">
        <v>12</v>
      </c>
      <c r="BJ171" t="s">
        <v>3752</v>
      </c>
      <c r="BK171" t="s">
        <v>138</v>
      </c>
      <c r="BL171" t="s">
        <v>3753</v>
      </c>
      <c r="BM171" t="s">
        <v>3754</v>
      </c>
      <c r="BN171" t="s">
        <v>74</v>
      </c>
      <c r="BO171" t="s">
        <v>74</v>
      </c>
      <c r="BP171" t="s">
        <v>74</v>
      </c>
      <c r="BQ171" t="s">
        <v>74</v>
      </c>
      <c r="BR171" t="s">
        <v>106</v>
      </c>
      <c r="BS171" t="s">
        <v>3755</v>
      </c>
      <c r="BT171" t="str">
        <f>HYPERLINK("https%3A%2F%2Fwww.webofscience.com%2Fwos%2Fwoscc%2Ffull-record%2FWOS:000387134700010","View Full Record in Web of Science")</f>
        <v>View Full Record in Web of Science</v>
      </c>
    </row>
    <row r="172" spans="1:72" x14ac:dyDescent="0.25">
      <c r="A172" t="s">
        <v>72</v>
      </c>
      <c r="B172" t="s">
        <v>3756</v>
      </c>
      <c r="C172" t="s">
        <v>74</v>
      </c>
      <c r="D172" t="s">
        <v>74</v>
      </c>
      <c r="E172" t="s">
        <v>74</v>
      </c>
      <c r="F172" t="s">
        <v>3757</v>
      </c>
      <c r="G172" t="s">
        <v>74</v>
      </c>
      <c r="H172" t="s">
        <v>74</v>
      </c>
      <c r="I172" t="s">
        <v>3758</v>
      </c>
      <c r="J172" t="s">
        <v>3418</v>
      </c>
      <c r="K172" t="s">
        <v>74</v>
      </c>
      <c r="L172" t="s">
        <v>74</v>
      </c>
      <c r="M172" t="s">
        <v>78</v>
      </c>
      <c r="N172" t="s">
        <v>79</v>
      </c>
      <c r="O172" t="s">
        <v>74</v>
      </c>
      <c r="P172" t="s">
        <v>74</v>
      </c>
      <c r="Q172" t="s">
        <v>74</v>
      </c>
      <c r="R172" t="s">
        <v>74</v>
      </c>
      <c r="S172" t="s">
        <v>74</v>
      </c>
      <c r="T172" t="s">
        <v>3759</v>
      </c>
      <c r="U172" t="s">
        <v>3760</v>
      </c>
      <c r="V172" t="s">
        <v>3761</v>
      </c>
      <c r="W172" t="s">
        <v>3762</v>
      </c>
      <c r="X172" t="s">
        <v>3763</v>
      </c>
      <c r="Y172" t="s">
        <v>3764</v>
      </c>
      <c r="Z172" t="s">
        <v>3765</v>
      </c>
      <c r="AA172" t="s">
        <v>74</v>
      </c>
      <c r="AB172" t="s">
        <v>74</v>
      </c>
      <c r="AC172" t="s">
        <v>3766</v>
      </c>
      <c r="AD172" t="s">
        <v>3767</v>
      </c>
      <c r="AE172" t="s">
        <v>3768</v>
      </c>
      <c r="AF172" t="s">
        <v>74</v>
      </c>
      <c r="AG172">
        <v>37</v>
      </c>
      <c r="AH172">
        <v>7</v>
      </c>
      <c r="AI172">
        <v>11</v>
      </c>
      <c r="AJ172">
        <v>0</v>
      </c>
      <c r="AK172">
        <v>3</v>
      </c>
      <c r="AL172" t="s">
        <v>3427</v>
      </c>
      <c r="AM172" t="s">
        <v>3769</v>
      </c>
      <c r="AN172" t="s">
        <v>3770</v>
      </c>
      <c r="AO172" t="s">
        <v>3430</v>
      </c>
      <c r="AP172" t="s">
        <v>3431</v>
      </c>
      <c r="AQ172" t="s">
        <v>74</v>
      </c>
      <c r="AR172" t="s">
        <v>3432</v>
      </c>
      <c r="AS172" t="s">
        <v>3433</v>
      </c>
      <c r="AT172" t="s">
        <v>98</v>
      </c>
      <c r="AU172">
        <v>2012</v>
      </c>
      <c r="AV172">
        <v>2</v>
      </c>
      <c r="AW172">
        <v>4</v>
      </c>
      <c r="AX172" t="s">
        <v>74</v>
      </c>
      <c r="AY172" t="s">
        <v>74</v>
      </c>
      <c r="AZ172" t="s">
        <v>74</v>
      </c>
      <c r="BA172" t="s">
        <v>74</v>
      </c>
      <c r="BB172">
        <v>305</v>
      </c>
      <c r="BC172">
        <v>328</v>
      </c>
      <c r="BD172" t="s">
        <v>74</v>
      </c>
      <c r="BE172" t="s">
        <v>3771</v>
      </c>
      <c r="BF172" t="str">
        <f>HYPERLINK("http://dx.doi.org/10.1007/s13278-012-0081-9","http://dx.doi.org/10.1007/s13278-012-0081-9")</f>
        <v>http://dx.doi.org/10.1007/s13278-012-0081-9</v>
      </c>
      <c r="BG172" t="s">
        <v>74</v>
      </c>
      <c r="BH172" t="s">
        <v>74</v>
      </c>
      <c r="BI172">
        <v>24</v>
      </c>
      <c r="BJ172" t="s">
        <v>852</v>
      </c>
      <c r="BK172" t="s">
        <v>102</v>
      </c>
      <c r="BL172" t="s">
        <v>103</v>
      </c>
      <c r="BM172" t="s">
        <v>3772</v>
      </c>
      <c r="BN172" t="s">
        <v>74</v>
      </c>
      <c r="BO172" t="s">
        <v>74</v>
      </c>
      <c r="BP172" t="s">
        <v>74</v>
      </c>
      <c r="BQ172" t="s">
        <v>74</v>
      </c>
      <c r="BR172" t="s">
        <v>106</v>
      </c>
      <c r="BS172" t="s">
        <v>3773</v>
      </c>
      <c r="BT172" t="str">
        <f>HYPERLINK("https%3A%2F%2Fwww.webofscience.com%2Fwos%2Fwoscc%2Ffull-record%2FWOS:000214732200002","View Full Record in Web of Science")</f>
        <v>View Full Record in Web of Science</v>
      </c>
    </row>
    <row r="173" spans="1:72" x14ac:dyDescent="0.25">
      <c r="A173" t="s">
        <v>72</v>
      </c>
      <c r="B173" t="s">
        <v>3774</v>
      </c>
      <c r="C173" t="s">
        <v>74</v>
      </c>
      <c r="D173" t="s">
        <v>74</v>
      </c>
      <c r="E173" t="s">
        <v>74</v>
      </c>
      <c r="F173" t="s">
        <v>3775</v>
      </c>
      <c r="G173" t="s">
        <v>74</v>
      </c>
      <c r="H173" t="s">
        <v>74</v>
      </c>
      <c r="I173" t="s">
        <v>3776</v>
      </c>
      <c r="J173" t="s">
        <v>3777</v>
      </c>
      <c r="K173" t="s">
        <v>74</v>
      </c>
      <c r="L173" t="s">
        <v>74</v>
      </c>
      <c r="M173" t="s">
        <v>78</v>
      </c>
      <c r="N173" t="s">
        <v>79</v>
      </c>
      <c r="O173" t="s">
        <v>74</v>
      </c>
      <c r="P173" t="s">
        <v>74</v>
      </c>
      <c r="Q173" t="s">
        <v>74</v>
      </c>
      <c r="R173" t="s">
        <v>74</v>
      </c>
      <c r="S173" t="s">
        <v>74</v>
      </c>
      <c r="T173" t="s">
        <v>3778</v>
      </c>
      <c r="U173" t="s">
        <v>3779</v>
      </c>
      <c r="V173" t="s">
        <v>3780</v>
      </c>
      <c r="W173" t="s">
        <v>3781</v>
      </c>
      <c r="X173" t="s">
        <v>3782</v>
      </c>
      <c r="Y173" t="s">
        <v>3783</v>
      </c>
      <c r="Z173" t="s">
        <v>3784</v>
      </c>
      <c r="AA173" t="s">
        <v>3785</v>
      </c>
      <c r="AB173" t="s">
        <v>3786</v>
      </c>
      <c r="AC173" t="s">
        <v>3787</v>
      </c>
      <c r="AD173" t="s">
        <v>3788</v>
      </c>
      <c r="AE173" t="s">
        <v>3789</v>
      </c>
      <c r="AF173" t="s">
        <v>74</v>
      </c>
      <c r="AG173">
        <v>45</v>
      </c>
      <c r="AH173">
        <v>6</v>
      </c>
      <c r="AI173">
        <v>7</v>
      </c>
      <c r="AJ173">
        <v>2</v>
      </c>
      <c r="AK173">
        <v>27</v>
      </c>
      <c r="AL173" t="s">
        <v>947</v>
      </c>
      <c r="AM173" t="s">
        <v>948</v>
      </c>
      <c r="AN173" t="s">
        <v>2346</v>
      </c>
      <c r="AO173" t="s">
        <v>3790</v>
      </c>
      <c r="AP173" t="s">
        <v>74</v>
      </c>
      <c r="AQ173" t="s">
        <v>74</v>
      </c>
      <c r="AR173" t="s">
        <v>3791</v>
      </c>
      <c r="AS173" t="s">
        <v>3792</v>
      </c>
      <c r="AT173" t="s">
        <v>3793</v>
      </c>
      <c r="AU173">
        <v>2021</v>
      </c>
      <c r="AV173">
        <v>8</v>
      </c>
      <c r="AW173">
        <v>4</v>
      </c>
      <c r="AX173" t="s">
        <v>74</v>
      </c>
      <c r="AY173" t="s">
        <v>74</v>
      </c>
      <c r="AZ173" t="s">
        <v>74</v>
      </c>
      <c r="BA173" t="s">
        <v>74</v>
      </c>
      <c r="BB173">
        <v>3061</v>
      </c>
      <c r="BC173">
        <v>3072</v>
      </c>
      <c r="BD173" t="s">
        <v>74</v>
      </c>
      <c r="BE173" t="s">
        <v>3794</v>
      </c>
      <c r="BF173" t="str">
        <f>HYPERLINK("http://dx.doi.org/10.1109/TNSE.2021.3102582","http://dx.doi.org/10.1109/TNSE.2021.3102582")</f>
        <v>http://dx.doi.org/10.1109/TNSE.2021.3102582</v>
      </c>
      <c r="BG173" t="s">
        <v>74</v>
      </c>
      <c r="BH173" t="s">
        <v>74</v>
      </c>
      <c r="BI173">
        <v>12</v>
      </c>
      <c r="BJ173" t="s">
        <v>3795</v>
      </c>
      <c r="BK173" t="s">
        <v>902</v>
      </c>
      <c r="BL173" t="s">
        <v>3796</v>
      </c>
      <c r="BM173" t="s">
        <v>3797</v>
      </c>
      <c r="BN173" t="s">
        <v>74</v>
      </c>
      <c r="BO173" t="s">
        <v>74</v>
      </c>
      <c r="BP173" t="s">
        <v>74</v>
      </c>
      <c r="BQ173" t="s">
        <v>74</v>
      </c>
      <c r="BR173" t="s">
        <v>106</v>
      </c>
      <c r="BS173" t="s">
        <v>3798</v>
      </c>
      <c r="BT173" t="str">
        <f>HYPERLINK("https%3A%2F%2Fwww.webofscience.com%2Fwos%2Fwoscc%2Ffull-record%2FWOS:000728929300029","View Full Record in Web of Science")</f>
        <v>View Full Record in Web of Science</v>
      </c>
    </row>
    <row r="174" spans="1:72" x14ac:dyDescent="0.25">
      <c r="A174" t="s">
        <v>72</v>
      </c>
      <c r="B174" t="s">
        <v>3799</v>
      </c>
      <c r="C174" t="s">
        <v>74</v>
      </c>
      <c r="D174" t="s">
        <v>74</v>
      </c>
      <c r="E174" t="s">
        <v>74</v>
      </c>
      <c r="F174" t="s">
        <v>3800</v>
      </c>
      <c r="G174" t="s">
        <v>74</v>
      </c>
      <c r="H174" t="s">
        <v>74</v>
      </c>
      <c r="I174" t="s">
        <v>3801</v>
      </c>
      <c r="J174" t="s">
        <v>3777</v>
      </c>
      <c r="K174" t="s">
        <v>74</v>
      </c>
      <c r="L174" t="s">
        <v>74</v>
      </c>
      <c r="M174" t="s">
        <v>78</v>
      </c>
      <c r="N174" t="s">
        <v>79</v>
      </c>
      <c r="O174" t="s">
        <v>74</v>
      </c>
      <c r="P174" t="s">
        <v>74</v>
      </c>
      <c r="Q174" t="s">
        <v>74</v>
      </c>
      <c r="R174" t="s">
        <v>74</v>
      </c>
      <c r="S174" t="s">
        <v>74</v>
      </c>
      <c r="T174" t="s">
        <v>3802</v>
      </c>
      <c r="U174" t="s">
        <v>74</v>
      </c>
      <c r="V174" t="s">
        <v>3803</v>
      </c>
      <c r="W174" t="s">
        <v>3804</v>
      </c>
      <c r="X174" t="s">
        <v>3805</v>
      </c>
      <c r="Y174" t="s">
        <v>3806</v>
      </c>
      <c r="Z174" t="s">
        <v>3807</v>
      </c>
      <c r="AA174" t="s">
        <v>74</v>
      </c>
      <c r="AB174" t="s">
        <v>3808</v>
      </c>
      <c r="AC174" t="s">
        <v>74</v>
      </c>
      <c r="AD174" t="s">
        <v>74</v>
      </c>
      <c r="AE174" t="s">
        <v>74</v>
      </c>
      <c r="AF174" t="s">
        <v>74</v>
      </c>
      <c r="AG174">
        <v>39</v>
      </c>
      <c r="AH174">
        <v>14</v>
      </c>
      <c r="AI174">
        <v>16</v>
      </c>
      <c r="AJ174">
        <v>0</v>
      </c>
      <c r="AK174">
        <v>3</v>
      </c>
      <c r="AL174" t="s">
        <v>947</v>
      </c>
      <c r="AM174" t="s">
        <v>948</v>
      </c>
      <c r="AN174" t="s">
        <v>2346</v>
      </c>
      <c r="AO174" t="s">
        <v>3790</v>
      </c>
      <c r="AP174" t="s">
        <v>74</v>
      </c>
      <c r="AQ174" t="s">
        <v>74</v>
      </c>
      <c r="AR174" t="s">
        <v>3809</v>
      </c>
      <c r="AS174" t="s">
        <v>3792</v>
      </c>
      <c r="AT174" t="s">
        <v>3016</v>
      </c>
      <c r="AU174">
        <v>2015</v>
      </c>
      <c r="AV174">
        <v>2</v>
      </c>
      <c r="AW174">
        <v>1</v>
      </c>
      <c r="AX174" t="s">
        <v>74</v>
      </c>
      <c r="AY174" t="s">
        <v>74</v>
      </c>
      <c r="AZ174" t="s">
        <v>74</v>
      </c>
      <c r="BA174" t="s">
        <v>74</v>
      </c>
      <c r="BB174">
        <v>40</v>
      </c>
      <c r="BC174">
        <v>52</v>
      </c>
      <c r="BD174" t="s">
        <v>74</v>
      </c>
      <c r="BE174" t="s">
        <v>3810</v>
      </c>
      <c r="BF174" t="str">
        <f>HYPERLINK("http://dx.doi.org/10.1109/TNSE.2015.2416691","http://dx.doi.org/10.1109/TNSE.2015.2416691")</f>
        <v>http://dx.doi.org/10.1109/TNSE.2015.2416691</v>
      </c>
      <c r="BG174" t="s">
        <v>74</v>
      </c>
      <c r="BH174" t="s">
        <v>74</v>
      </c>
      <c r="BI174">
        <v>13</v>
      </c>
      <c r="BJ174" t="s">
        <v>3795</v>
      </c>
      <c r="BK174" t="s">
        <v>102</v>
      </c>
      <c r="BL174" t="s">
        <v>3796</v>
      </c>
      <c r="BM174" t="s">
        <v>3811</v>
      </c>
      <c r="BN174" t="s">
        <v>74</v>
      </c>
      <c r="BO174" t="s">
        <v>74</v>
      </c>
      <c r="BP174" t="s">
        <v>74</v>
      </c>
      <c r="BQ174" t="s">
        <v>74</v>
      </c>
      <c r="BR174" t="s">
        <v>106</v>
      </c>
      <c r="BS174" t="s">
        <v>3812</v>
      </c>
      <c r="BT174" t="str">
        <f>HYPERLINK("https%3A%2F%2Fwww.webofscience.com%2Fwos%2Fwoscc%2Ffull-record%2FWOS:000409667100004","View Full Record in Web of Science")</f>
        <v>View Full Record in Web of Science</v>
      </c>
    </row>
    <row r="175" spans="1:72" x14ac:dyDescent="0.25">
      <c r="A175" t="s">
        <v>72</v>
      </c>
      <c r="B175" t="s">
        <v>3813</v>
      </c>
      <c r="C175" t="s">
        <v>74</v>
      </c>
      <c r="D175" t="s">
        <v>74</v>
      </c>
      <c r="E175" t="s">
        <v>74</v>
      </c>
      <c r="F175" t="s">
        <v>3814</v>
      </c>
      <c r="G175" t="s">
        <v>74</v>
      </c>
      <c r="H175" t="s">
        <v>74</v>
      </c>
      <c r="I175" t="s">
        <v>3815</v>
      </c>
      <c r="J175" t="s">
        <v>3816</v>
      </c>
      <c r="K175" t="s">
        <v>74</v>
      </c>
      <c r="L175" t="s">
        <v>74</v>
      </c>
      <c r="M175" t="s">
        <v>78</v>
      </c>
      <c r="N175" t="s">
        <v>79</v>
      </c>
      <c r="O175" t="s">
        <v>74</v>
      </c>
      <c r="P175" t="s">
        <v>74</v>
      </c>
      <c r="Q175" t="s">
        <v>74</v>
      </c>
      <c r="R175" t="s">
        <v>74</v>
      </c>
      <c r="S175" t="s">
        <v>74</v>
      </c>
      <c r="T175" t="s">
        <v>3817</v>
      </c>
      <c r="U175" t="s">
        <v>3818</v>
      </c>
      <c r="V175" t="s">
        <v>3819</v>
      </c>
      <c r="W175" t="s">
        <v>3820</v>
      </c>
      <c r="X175" t="s">
        <v>3821</v>
      </c>
      <c r="Y175" t="s">
        <v>3822</v>
      </c>
      <c r="Z175" t="s">
        <v>3823</v>
      </c>
      <c r="AA175" t="s">
        <v>3824</v>
      </c>
      <c r="AB175" t="s">
        <v>3825</v>
      </c>
      <c r="AC175" t="s">
        <v>3826</v>
      </c>
      <c r="AD175" t="s">
        <v>3827</v>
      </c>
      <c r="AE175" t="s">
        <v>3828</v>
      </c>
      <c r="AF175" t="s">
        <v>74</v>
      </c>
      <c r="AG175">
        <v>389</v>
      </c>
      <c r="AH175">
        <v>230</v>
      </c>
      <c r="AI175">
        <v>281</v>
      </c>
      <c r="AJ175">
        <v>4</v>
      </c>
      <c r="AK175">
        <v>212</v>
      </c>
      <c r="AL175" t="s">
        <v>362</v>
      </c>
      <c r="AM175" t="s">
        <v>363</v>
      </c>
      <c r="AN175" t="s">
        <v>364</v>
      </c>
      <c r="AO175" t="s">
        <v>3829</v>
      </c>
      <c r="AP175" t="s">
        <v>3830</v>
      </c>
      <c r="AQ175" t="s">
        <v>74</v>
      </c>
      <c r="AR175" t="s">
        <v>3831</v>
      </c>
      <c r="AS175" t="s">
        <v>3832</v>
      </c>
      <c r="AT175" t="s">
        <v>246</v>
      </c>
      <c r="AU175">
        <v>2020</v>
      </c>
      <c r="AV175">
        <v>63</v>
      </c>
      <c r="AW175" t="s">
        <v>74</v>
      </c>
      <c r="AX175" t="s">
        <v>74</v>
      </c>
      <c r="AY175" t="s">
        <v>74</v>
      </c>
      <c r="AZ175" t="s">
        <v>74</v>
      </c>
      <c r="BA175" t="s">
        <v>74</v>
      </c>
      <c r="BB175">
        <v>88</v>
      </c>
      <c r="BC175">
        <v>120</v>
      </c>
      <c r="BD175" t="s">
        <v>74</v>
      </c>
      <c r="BE175" t="s">
        <v>3833</v>
      </c>
      <c r="BF175" t="str">
        <f>HYPERLINK("http://dx.doi.org/10.1016/j.inffus.2020.05.009","http://dx.doi.org/10.1016/j.inffus.2020.05.009")</f>
        <v>http://dx.doi.org/10.1016/j.inffus.2020.05.009</v>
      </c>
      <c r="BG175" t="s">
        <v>74</v>
      </c>
      <c r="BH175" t="s">
        <v>74</v>
      </c>
      <c r="BI175">
        <v>33</v>
      </c>
      <c r="BJ175" t="s">
        <v>1399</v>
      </c>
      <c r="BK175" t="s">
        <v>745</v>
      </c>
      <c r="BL175" t="s">
        <v>103</v>
      </c>
      <c r="BM175" t="s">
        <v>3834</v>
      </c>
      <c r="BN175" t="s">
        <v>74</v>
      </c>
      <c r="BO175" t="s">
        <v>346</v>
      </c>
      <c r="BP175" t="s">
        <v>74</v>
      </c>
      <c r="BQ175" t="s">
        <v>74</v>
      </c>
      <c r="BR175" t="s">
        <v>106</v>
      </c>
      <c r="BS175" t="s">
        <v>3835</v>
      </c>
      <c r="BT175" t="str">
        <f>HYPERLINK("https%3A%2F%2Fwww.webofscience.com%2Fwos%2Fwoscc%2Ffull-record%2FWOS:000572163500007","View Full Record in Web of Science")</f>
        <v>View Full Record in Web of Science</v>
      </c>
    </row>
    <row r="176" spans="1:72" x14ac:dyDescent="0.25">
      <c r="A176" t="s">
        <v>72</v>
      </c>
      <c r="B176" t="s">
        <v>3836</v>
      </c>
      <c r="C176" t="s">
        <v>74</v>
      </c>
      <c r="D176" t="s">
        <v>74</v>
      </c>
      <c r="E176" t="s">
        <v>74</v>
      </c>
      <c r="F176" t="s">
        <v>3837</v>
      </c>
      <c r="G176" t="s">
        <v>74</v>
      </c>
      <c r="H176" t="s">
        <v>74</v>
      </c>
      <c r="I176" t="s">
        <v>3838</v>
      </c>
      <c r="J176" t="s">
        <v>3839</v>
      </c>
      <c r="K176" t="s">
        <v>74</v>
      </c>
      <c r="L176" t="s">
        <v>74</v>
      </c>
      <c r="M176" t="s">
        <v>78</v>
      </c>
      <c r="N176" t="s">
        <v>79</v>
      </c>
      <c r="O176" t="s">
        <v>74</v>
      </c>
      <c r="P176" t="s">
        <v>74</v>
      </c>
      <c r="Q176" t="s">
        <v>74</v>
      </c>
      <c r="R176" t="s">
        <v>74</v>
      </c>
      <c r="S176" t="s">
        <v>74</v>
      </c>
      <c r="T176" t="s">
        <v>3840</v>
      </c>
      <c r="U176" t="s">
        <v>3841</v>
      </c>
      <c r="V176" t="s">
        <v>3842</v>
      </c>
      <c r="W176" t="s">
        <v>3843</v>
      </c>
      <c r="X176" t="s">
        <v>3844</v>
      </c>
      <c r="Y176" t="s">
        <v>3845</v>
      </c>
      <c r="Z176" t="s">
        <v>3846</v>
      </c>
      <c r="AA176" t="s">
        <v>3847</v>
      </c>
      <c r="AB176" t="s">
        <v>3848</v>
      </c>
      <c r="AC176" t="s">
        <v>74</v>
      </c>
      <c r="AD176" t="s">
        <v>74</v>
      </c>
      <c r="AE176" t="s">
        <v>74</v>
      </c>
      <c r="AF176" t="s">
        <v>74</v>
      </c>
      <c r="AG176">
        <v>66</v>
      </c>
      <c r="AH176">
        <v>6</v>
      </c>
      <c r="AI176">
        <v>6</v>
      </c>
      <c r="AJ176">
        <v>0</v>
      </c>
      <c r="AK176">
        <v>4</v>
      </c>
      <c r="AL176" t="s">
        <v>3157</v>
      </c>
      <c r="AM176" t="s">
        <v>3158</v>
      </c>
      <c r="AN176" t="s">
        <v>3159</v>
      </c>
      <c r="AO176" t="s">
        <v>3849</v>
      </c>
      <c r="AP176" t="s">
        <v>3850</v>
      </c>
      <c r="AQ176" t="s">
        <v>74</v>
      </c>
      <c r="AR176" t="s">
        <v>3851</v>
      </c>
      <c r="AS176" t="s">
        <v>3852</v>
      </c>
      <c r="AT176" t="s">
        <v>74</v>
      </c>
      <c r="AU176">
        <v>2020</v>
      </c>
      <c r="AV176">
        <v>21</v>
      </c>
      <c r="AW176">
        <v>4</v>
      </c>
      <c r="AX176" t="s">
        <v>74</v>
      </c>
      <c r="AY176" t="s">
        <v>74</v>
      </c>
      <c r="AZ176" t="s">
        <v>74</v>
      </c>
      <c r="BA176" t="s">
        <v>74</v>
      </c>
      <c r="BB176">
        <v>536</v>
      </c>
      <c r="BC176">
        <v>555</v>
      </c>
      <c r="BD176" t="s">
        <v>74</v>
      </c>
      <c r="BE176" t="s">
        <v>74</v>
      </c>
      <c r="BF176" t="s">
        <v>74</v>
      </c>
      <c r="BG176" t="s">
        <v>74</v>
      </c>
      <c r="BH176" t="s">
        <v>74</v>
      </c>
      <c r="BI176">
        <v>20</v>
      </c>
      <c r="BJ176" t="s">
        <v>101</v>
      </c>
      <c r="BK176" t="s">
        <v>102</v>
      </c>
      <c r="BL176" t="s">
        <v>103</v>
      </c>
      <c r="BM176" t="s">
        <v>3853</v>
      </c>
      <c r="BN176" t="s">
        <v>74</v>
      </c>
      <c r="BO176" t="s">
        <v>74</v>
      </c>
      <c r="BP176" t="s">
        <v>74</v>
      </c>
      <c r="BQ176" t="s">
        <v>74</v>
      </c>
      <c r="BR176" t="s">
        <v>106</v>
      </c>
      <c r="BS176" t="s">
        <v>3854</v>
      </c>
      <c r="BT176" t="str">
        <f>HYPERLINK("https%3A%2F%2Fwww.webofscience.com%2Fwos%2Fwoscc%2Ffull-record%2FWOS:000529962800006","View Full Record in Web of Science")</f>
        <v>View Full Record in Web of Science</v>
      </c>
    </row>
    <row r="177" spans="1:72" x14ac:dyDescent="0.25">
      <c r="A177" t="s">
        <v>72</v>
      </c>
      <c r="B177" t="s">
        <v>3855</v>
      </c>
      <c r="C177" t="s">
        <v>74</v>
      </c>
      <c r="D177" t="s">
        <v>74</v>
      </c>
      <c r="E177" t="s">
        <v>74</v>
      </c>
      <c r="F177" t="s">
        <v>3856</v>
      </c>
      <c r="G177" t="s">
        <v>74</v>
      </c>
      <c r="H177" t="s">
        <v>74</v>
      </c>
      <c r="I177" t="s">
        <v>3857</v>
      </c>
      <c r="J177" t="s">
        <v>3418</v>
      </c>
      <c r="K177" t="s">
        <v>74</v>
      </c>
      <c r="L177" t="s">
        <v>74</v>
      </c>
      <c r="M177" t="s">
        <v>78</v>
      </c>
      <c r="N177" t="s">
        <v>79</v>
      </c>
      <c r="O177" t="s">
        <v>74</v>
      </c>
      <c r="P177" t="s">
        <v>74</v>
      </c>
      <c r="Q177" t="s">
        <v>74</v>
      </c>
      <c r="R177" t="s">
        <v>74</v>
      </c>
      <c r="S177" t="s">
        <v>74</v>
      </c>
      <c r="T177" t="s">
        <v>3858</v>
      </c>
      <c r="U177" t="s">
        <v>3859</v>
      </c>
      <c r="V177" t="s">
        <v>3860</v>
      </c>
      <c r="W177" t="s">
        <v>3861</v>
      </c>
      <c r="X177" t="s">
        <v>3862</v>
      </c>
      <c r="Y177" t="s">
        <v>3863</v>
      </c>
      <c r="Z177" t="s">
        <v>3864</v>
      </c>
      <c r="AA177" t="s">
        <v>3865</v>
      </c>
      <c r="AB177" t="s">
        <v>3866</v>
      </c>
      <c r="AC177" t="s">
        <v>3867</v>
      </c>
      <c r="AD177" t="s">
        <v>3868</v>
      </c>
      <c r="AE177" t="s">
        <v>3869</v>
      </c>
      <c r="AF177" t="s">
        <v>74</v>
      </c>
      <c r="AG177">
        <v>43</v>
      </c>
      <c r="AH177">
        <v>3</v>
      </c>
      <c r="AI177">
        <v>4</v>
      </c>
      <c r="AJ177">
        <v>1</v>
      </c>
      <c r="AK177">
        <v>2</v>
      </c>
      <c r="AL177" t="s">
        <v>3427</v>
      </c>
      <c r="AM177" t="s">
        <v>3428</v>
      </c>
      <c r="AN177" t="s">
        <v>3429</v>
      </c>
      <c r="AO177" t="s">
        <v>3430</v>
      </c>
      <c r="AP177" t="s">
        <v>3431</v>
      </c>
      <c r="AQ177" t="s">
        <v>74</v>
      </c>
      <c r="AR177" t="s">
        <v>3432</v>
      </c>
      <c r="AS177" t="s">
        <v>3433</v>
      </c>
      <c r="AT177" t="s">
        <v>98</v>
      </c>
      <c r="AU177">
        <v>2014</v>
      </c>
      <c r="AV177">
        <v>4</v>
      </c>
      <c r="AW177">
        <v>1</v>
      </c>
      <c r="AX177" t="s">
        <v>74</v>
      </c>
      <c r="AY177" t="s">
        <v>74</v>
      </c>
      <c r="AZ177" t="s">
        <v>74</v>
      </c>
      <c r="BA177" t="s">
        <v>74</v>
      </c>
      <c r="BB177" t="s">
        <v>74</v>
      </c>
      <c r="BC177" t="s">
        <v>74</v>
      </c>
      <c r="BD177">
        <v>170</v>
      </c>
      <c r="BE177" t="s">
        <v>3870</v>
      </c>
      <c r="BF177" t="str">
        <f>HYPERLINK("http://dx.doi.org/10.1007/s13278-014-0170-z","http://dx.doi.org/10.1007/s13278-014-0170-z")</f>
        <v>http://dx.doi.org/10.1007/s13278-014-0170-z</v>
      </c>
      <c r="BG177" t="s">
        <v>74</v>
      </c>
      <c r="BH177" t="s">
        <v>74</v>
      </c>
      <c r="BI177">
        <v>12</v>
      </c>
      <c r="BJ177" t="s">
        <v>852</v>
      </c>
      <c r="BK177" t="s">
        <v>102</v>
      </c>
      <c r="BL177" t="s">
        <v>103</v>
      </c>
      <c r="BM177" t="s">
        <v>3871</v>
      </c>
      <c r="BN177" t="s">
        <v>74</v>
      </c>
      <c r="BO177" t="s">
        <v>74</v>
      </c>
      <c r="BP177" t="s">
        <v>74</v>
      </c>
      <c r="BQ177" t="s">
        <v>74</v>
      </c>
      <c r="BR177" t="s">
        <v>106</v>
      </c>
      <c r="BS177" t="s">
        <v>3872</v>
      </c>
      <c r="BT177" t="str">
        <f>HYPERLINK("https%3A%2F%2Fwww.webofscience.com%2Fwos%2Fwoscc%2Ffull-record%2FWOS:000214755900018","View Full Record in Web of Science")</f>
        <v>View Full Record in Web of Science</v>
      </c>
    </row>
    <row r="178" spans="1:72" x14ac:dyDescent="0.25">
      <c r="A178" t="s">
        <v>108</v>
      </c>
      <c r="B178" t="s">
        <v>3873</v>
      </c>
      <c r="C178" t="s">
        <v>74</v>
      </c>
      <c r="D178" t="s">
        <v>3874</v>
      </c>
      <c r="E178" t="s">
        <v>74</v>
      </c>
      <c r="F178" t="s">
        <v>3875</v>
      </c>
      <c r="G178" t="s">
        <v>74</v>
      </c>
      <c r="H178" t="s">
        <v>74</v>
      </c>
      <c r="I178" t="s">
        <v>3876</v>
      </c>
      <c r="J178" t="s">
        <v>3877</v>
      </c>
      <c r="K178" t="s">
        <v>74</v>
      </c>
      <c r="L178" t="s">
        <v>74</v>
      </c>
      <c r="M178" t="s">
        <v>78</v>
      </c>
      <c r="N178" t="s">
        <v>115</v>
      </c>
      <c r="O178" t="s">
        <v>3878</v>
      </c>
      <c r="P178" t="s">
        <v>3879</v>
      </c>
      <c r="Q178" t="s">
        <v>3880</v>
      </c>
      <c r="R178" t="s">
        <v>74</v>
      </c>
      <c r="S178" t="s">
        <v>74</v>
      </c>
      <c r="T178" t="s">
        <v>74</v>
      </c>
      <c r="U178" t="s">
        <v>74</v>
      </c>
      <c r="V178" t="s">
        <v>3881</v>
      </c>
      <c r="W178" t="s">
        <v>3882</v>
      </c>
      <c r="X178" t="s">
        <v>3883</v>
      </c>
      <c r="Y178" t="s">
        <v>3884</v>
      </c>
      <c r="Z178" t="s">
        <v>3885</v>
      </c>
      <c r="AA178" t="s">
        <v>3886</v>
      </c>
      <c r="AB178" t="s">
        <v>3887</v>
      </c>
      <c r="AC178" t="s">
        <v>3888</v>
      </c>
      <c r="AD178" t="s">
        <v>3889</v>
      </c>
      <c r="AE178" t="s">
        <v>3890</v>
      </c>
      <c r="AF178" t="s">
        <v>74</v>
      </c>
      <c r="AG178">
        <v>25</v>
      </c>
      <c r="AH178">
        <v>49</v>
      </c>
      <c r="AI178">
        <v>59</v>
      </c>
      <c r="AJ178">
        <v>0</v>
      </c>
      <c r="AK178">
        <v>2</v>
      </c>
      <c r="AL178" t="s">
        <v>3891</v>
      </c>
      <c r="AM178" t="s">
        <v>3892</v>
      </c>
      <c r="AN178" t="s">
        <v>3893</v>
      </c>
      <c r="AO178" t="s">
        <v>74</v>
      </c>
      <c r="AP178" t="s">
        <v>74</v>
      </c>
      <c r="AQ178" t="s">
        <v>3894</v>
      </c>
      <c r="AR178" t="s">
        <v>74</v>
      </c>
      <c r="AS178" t="s">
        <v>74</v>
      </c>
      <c r="AT178" t="s">
        <v>74</v>
      </c>
      <c r="AU178">
        <v>2015</v>
      </c>
      <c r="AV178" t="s">
        <v>74</v>
      </c>
      <c r="AW178" t="s">
        <v>74</v>
      </c>
      <c r="AX178" t="s">
        <v>74</v>
      </c>
      <c r="AY178" t="s">
        <v>74</v>
      </c>
      <c r="AZ178" t="s">
        <v>74</v>
      </c>
      <c r="BA178" t="s">
        <v>74</v>
      </c>
      <c r="BB178">
        <v>2371</v>
      </c>
      <c r="BC178">
        <v>2377</v>
      </c>
      <c r="BD178" t="s">
        <v>74</v>
      </c>
      <c r="BE178" t="s">
        <v>74</v>
      </c>
      <c r="BF178" t="s">
        <v>74</v>
      </c>
      <c r="BG178" t="s">
        <v>74</v>
      </c>
      <c r="BH178" t="s">
        <v>74</v>
      </c>
      <c r="BI178">
        <v>7</v>
      </c>
      <c r="BJ178" t="s">
        <v>2837</v>
      </c>
      <c r="BK178" t="s">
        <v>203</v>
      </c>
      <c r="BL178" t="s">
        <v>103</v>
      </c>
      <c r="BM178" t="s">
        <v>3895</v>
      </c>
      <c r="BN178" t="s">
        <v>74</v>
      </c>
      <c r="BO178" t="s">
        <v>74</v>
      </c>
      <c r="BP178" t="s">
        <v>74</v>
      </c>
      <c r="BQ178" t="s">
        <v>74</v>
      </c>
      <c r="BR178" t="s">
        <v>106</v>
      </c>
      <c r="BS178" t="s">
        <v>3896</v>
      </c>
      <c r="BT178" t="str">
        <f>HYPERLINK("https%3A%2F%2Fwww.webofscience.com%2Fwos%2Fwoscc%2Ffull-record%2FWOS:000442637802063","View Full Record in Web of Science")</f>
        <v>View Full Record in Web of Science</v>
      </c>
    </row>
    <row r="179" spans="1:72" x14ac:dyDescent="0.25">
      <c r="A179" t="s">
        <v>72</v>
      </c>
      <c r="B179" t="s">
        <v>3897</v>
      </c>
      <c r="C179" t="s">
        <v>74</v>
      </c>
      <c r="D179" t="s">
        <v>74</v>
      </c>
      <c r="E179" t="s">
        <v>74</v>
      </c>
      <c r="F179" t="s">
        <v>3898</v>
      </c>
      <c r="G179" t="s">
        <v>74</v>
      </c>
      <c r="H179" t="s">
        <v>74</v>
      </c>
      <c r="I179" t="s">
        <v>3899</v>
      </c>
      <c r="J179" t="s">
        <v>3900</v>
      </c>
      <c r="K179" t="s">
        <v>74</v>
      </c>
      <c r="L179" t="s">
        <v>74</v>
      </c>
      <c r="M179" t="s">
        <v>78</v>
      </c>
      <c r="N179" t="s">
        <v>79</v>
      </c>
      <c r="O179" t="s">
        <v>74</v>
      </c>
      <c r="P179" t="s">
        <v>74</v>
      </c>
      <c r="Q179" t="s">
        <v>74</v>
      </c>
      <c r="R179" t="s">
        <v>74</v>
      </c>
      <c r="S179" t="s">
        <v>74</v>
      </c>
      <c r="T179" t="s">
        <v>74</v>
      </c>
      <c r="U179" t="s">
        <v>3901</v>
      </c>
      <c r="V179" t="s">
        <v>3902</v>
      </c>
      <c r="W179" t="s">
        <v>3903</v>
      </c>
      <c r="X179" t="s">
        <v>3904</v>
      </c>
      <c r="Y179" t="s">
        <v>3905</v>
      </c>
      <c r="Z179" t="s">
        <v>3906</v>
      </c>
      <c r="AA179" t="s">
        <v>3907</v>
      </c>
      <c r="AB179" t="s">
        <v>3908</v>
      </c>
      <c r="AC179" t="s">
        <v>3909</v>
      </c>
      <c r="AD179" t="s">
        <v>3910</v>
      </c>
      <c r="AE179" t="s">
        <v>3911</v>
      </c>
      <c r="AF179" t="s">
        <v>74</v>
      </c>
      <c r="AG179">
        <v>41</v>
      </c>
      <c r="AH179">
        <v>0</v>
      </c>
      <c r="AI179">
        <v>0</v>
      </c>
      <c r="AJ179">
        <v>0</v>
      </c>
      <c r="AK179">
        <v>5</v>
      </c>
      <c r="AL179" t="s">
        <v>2870</v>
      </c>
      <c r="AM179" t="s">
        <v>1320</v>
      </c>
      <c r="AN179" t="s">
        <v>2871</v>
      </c>
      <c r="AO179" t="s">
        <v>3912</v>
      </c>
      <c r="AP179" t="s">
        <v>3913</v>
      </c>
      <c r="AQ179" t="s">
        <v>74</v>
      </c>
      <c r="AR179" t="s">
        <v>3900</v>
      </c>
      <c r="AS179" t="s">
        <v>3914</v>
      </c>
      <c r="AT179" t="s">
        <v>3915</v>
      </c>
      <c r="AU179">
        <v>2022</v>
      </c>
      <c r="AV179">
        <v>2022</v>
      </c>
      <c r="AW179" t="s">
        <v>74</v>
      </c>
      <c r="AX179" t="s">
        <v>74</v>
      </c>
      <c r="AY179" t="s">
        <v>74</v>
      </c>
      <c r="AZ179" t="s">
        <v>74</v>
      </c>
      <c r="BA179" t="s">
        <v>74</v>
      </c>
      <c r="BB179" t="s">
        <v>74</v>
      </c>
      <c r="BC179" t="s">
        <v>74</v>
      </c>
      <c r="BD179">
        <v>2072950</v>
      </c>
      <c r="BE179" t="s">
        <v>3916</v>
      </c>
      <c r="BF179" t="str">
        <f>HYPERLINK("http://dx.doi.org/10.1155/2022/2072950","http://dx.doi.org/10.1155/2022/2072950")</f>
        <v>http://dx.doi.org/10.1155/2022/2072950</v>
      </c>
      <c r="BG179" t="s">
        <v>74</v>
      </c>
      <c r="BH179" t="s">
        <v>74</v>
      </c>
      <c r="BI179">
        <v>17</v>
      </c>
      <c r="BJ179" t="s">
        <v>3917</v>
      </c>
      <c r="BK179" t="s">
        <v>902</v>
      </c>
      <c r="BL179" t="s">
        <v>3918</v>
      </c>
      <c r="BM179" t="s">
        <v>3919</v>
      </c>
      <c r="BN179" t="s">
        <v>74</v>
      </c>
      <c r="BO179" t="s">
        <v>372</v>
      </c>
      <c r="BP179" t="s">
        <v>74</v>
      </c>
      <c r="BQ179" t="s">
        <v>74</v>
      </c>
      <c r="BR179" t="s">
        <v>106</v>
      </c>
      <c r="BS179" t="s">
        <v>3920</v>
      </c>
      <c r="BT179" t="str">
        <f>HYPERLINK("https%3A%2F%2Fwww.webofscience.com%2Fwos%2Fwoscc%2Ffull-record%2FWOS:000813897300003","View Full Record in Web of Science")</f>
        <v>View Full Record in Web of Science</v>
      </c>
    </row>
    <row r="180" spans="1:72" x14ac:dyDescent="0.25">
      <c r="A180" t="s">
        <v>108</v>
      </c>
      <c r="B180" t="s">
        <v>785</v>
      </c>
      <c r="C180" t="s">
        <v>74</v>
      </c>
      <c r="D180" t="s">
        <v>74</v>
      </c>
      <c r="E180" t="s">
        <v>465</v>
      </c>
      <c r="F180" t="s">
        <v>787</v>
      </c>
      <c r="G180" t="s">
        <v>74</v>
      </c>
      <c r="H180" t="s">
        <v>74</v>
      </c>
      <c r="I180" t="s">
        <v>3921</v>
      </c>
      <c r="J180" t="s">
        <v>3922</v>
      </c>
      <c r="K180" t="s">
        <v>3923</v>
      </c>
      <c r="L180" t="s">
        <v>74</v>
      </c>
      <c r="M180" t="s">
        <v>78</v>
      </c>
      <c r="N180" t="s">
        <v>115</v>
      </c>
      <c r="O180" t="s">
        <v>3924</v>
      </c>
      <c r="P180" t="s">
        <v>3925</v>
      </c>
      <c r="Q180" t="s">
        <v>3926</v>
      </c>
      <c r="R180" t="s">
        <v>3927</v>
      </c>
      <c r="S180" t="s">
        <v>74</v>
      </c>
      <c r="T180" t="s">
        <v>3928</v>
      </c>
      <c r="U180" t="s">
        <v>3929</v>
      </c>
      <c r="V180" t="s">
        <v>3930</v>
      </c>
      <c r="W180" t="s">
        <v>797</v>
      </c>
      <c r="X180" t="s">
        <v>1407</v>
      </c>
      <c r="Y180" t="s">
        <v>799</v>
      </c>
      <c r="Z180" t="s">
        <v>800</v>
      </c>
      <c r="AA180" t="s">
        <v>3931</v>
      </c>
      <c r="AB180" t="s">
        <v>3932</v>
      </c>
      <c r="AC180" t="s">
        <v>74</v>
      </c>
      <c r="AD180" t="s">
        <v>74</v>
      </c>
      <c r="AE180" t="s">
        <v>74</v>
      </c>
      <c r="AF180" t="s">
        <v>74</v>
      </c>
      <c r="AG180">
        <v>38</v>
      </c>
      <c r="AH180">
        <v>2</v>
      </c>
      <c r="AI180">
        <v>2</v>
      </c>
      <c r="AJ180">
        <v>0</v>
      </c>
      <c r="AK180">
        <v>4</v>
      </c>
      <c r="AL180" t="s">
        <v>465</v>
      </c>
      <c r="AM180" t="s">
        <v>92</v>
      </c>
      <c r="AN180" t="s">
        <v>480</v>
      </c>
      <c r="AO180" t="s">
        <v>3933</v>
      </c>
      <c r="AP180" t="s">
        <v>74</v>
      </c>
      <c r="AQ180" t="s">
        <v>3934</v>
      </c>
      <c r="AR180" t="s">
        <v>3935</v>
      </c>
      <c r="AS180" t="s">
        <v>74</v>
      </c>
      <c r="AT180" t="s">
        <v>74</v>
      </c>
      <c r="AU180">
        <v>2017</v>
      </c>
      <c r="AV180" t="s">
        <v>74</v>
      </c>
      <c r="AW180" t="s">
        <v>74</v>
      </c>
      <c r="AX180" t="s">
        <v>74</v>
      </c>
      <c r="AY180" t="s">
        <v>74</v>
      </c>
      <c r="AZ180" t="s">
        <v>74</v>
      </c>
      <c r="BA180" t="s">
        <v>74</v>
      </c>
      <c r="BB180">
        <v>1454</v>
      </c>
      <c r="BC180">
        <v>1461</v>
      </c>
      <c r="BD180" t="s">
        <v>74</v>
      </c>
      <c r="BE180" t="s">
        <v>3936</v>
      </c>
      <c r="BF180" t="str">
        <f>HYPERLINK("http://dx.doi.org/10.1109/AICCSA.2017.206","http://dx.doi.org/10.1109/AICCSA.2017.206")</f>
        <v>http://dx.doi.org/10.1109/AICCSA.2017.206</v>
      </c>
      <c r="BG180" t="s">
        <v>74</v>
      </c>
      <c r="BH180" t="s">
        <v>74</v>
      </c>
      <c r="BI180">
        <v>8</v>
      </c>
      <c r="BJ180" t="s">
        <v>3937</v>
      </c>
      <c r="BK180" t="s">
        <v>203</v>
      </c>
      <c r="BL180" t="s">
        <v>2756</v>
      </c>
      <c r="BM180" t="s">
        <v>3938</v>
      </c>
      <c r="BN180" t="s">
        <v>74</v>
      </c>
      <c r="BO180" t="s">
        <v>74</v>
      </c>
      <c r="BP180" t="s">
        <v>74</v>
      </c>
      <c r="BQ180" t="s">
        <v>74</v>
      </c>
      <c r="BR180" t="s">
        <v>106</v>
      </c>
      <c r="BS180" t="s">
        <v>3939</v>
      </c>
      <c r="BT180" t="str">
        <f>HYPERLINK("https%3A%2F%2Fwww.webofscience.com%2Fwos%2Fwoscc%2Ffull-record%2FWOS:000428311600210","View Full Record in Web of Science")</f>
        <v>View Full Record in Web of Science</v>
      </c>
    </row>
    <row r="181" spans="1:72" x14ac:dyDescent="0.25">
      <c r="A181" t="s">
        <v>72</v>
      </c>
      <c r="B181" t="s">
        <v>2401</v>
      </c>
      <c r="C181" t="s">
        <v>74</v>
      </c>
      <c r="D181" t="s">
        <v>74</v>
      </c>
      <c r="E181" t="s">
        <v>74</v>
      </c>
      <c r="F181" t="s">
        <v>2401</v>
      </c>
      <c r="G181" t="s">
        <v>74</v>
      </c>
      <c r="H181" t="s">
        <v>74</v>
      </c>
      <c r="I181" t="s">
        <v>3940</v>
      </c>
      <c r="J181" t="s">
        <v>3941</v>
      </c>
      <c r="K181" t="s">
        <v>74</v>
      </c>
      <c r="L181" t="s">
        <v>74</v>
      </c>
      <c r="M181" t="s">
        <v>78</v>
      </c>
      <c r="N181" t="s">
        <v>79</v>
      </c>
      <c r="O181" t="s">
        <v>74</v>
      </c>
      <c r="P181" t="s">
        <v>74</v>
      </c>
      <c r="Q181" t="s">
        <v>74</v>
      </c>
      <c r="R181" t="s">
        <v>74</v>
      </c>
      <c r="S181" t="s">
        <v>74</v>
      </c>
      <c r="T181" t="s">
        <v>3942</v>
      </c>
      <c r="U181" t="s">
        <v>74</v>
      </c>
      <c r="V181" t="s">
        <v>3943</v>
      </c>
      <c r="W181" t="s">
        <v>3944</v>
      </c>
      <c r="X181" t="s">
        <v>2410</v>
      </c>
      <c r="Y181" t="s">
        <v>3945</v>
      </c>
      <c r="Z181" t="s">
        <v>2412</v>
      </c>
      <c r="AA181" t="s">
        <v>2413</v>
      </c>
      <c r="AB181" t="s">
        <v>3946</v>
      </c>
      <c r="AC181" t="s">
        <v>74</v>
      </c>
      <c r="AD181" t="s">
        <v>74</v>
      </c>
      <c r="AE181" t="s">
        <v>74</v>
      </c>
      <c r="AF181" t="s">
        <v>74</v>
      </c>
      <c r="AG181">
        <v>31</v>
      </c>
      <c r="AH181">
        <v>43</v>
      </c>
      <c r="AI181">
        <v>53</v>
      </c>
      <c r="AJ181">
        <v>0</v>
      </c>
      <c r="AK181">
        <v>18</v>
      </c>
      <c r="AL181" t="s">
        <v>736</v>
      </c>
      <c r="AM181" t="s">
        <v>737</v>
      </c>
      <c r="AN181" t="s">
        <v>738</v>
      </c>
      <c r="AO181" t="s">
        <v>3947</v>
      </c>
      <c r="AP181" t="s">
        <v>3948</v>
      </c>
      <c r="AQ181" t="s">
        <v>74</v>
      </c>
      <c r="AR181" t="s">
        <v>3949</v>
      </c>
      <c r="AS181" t="s">
        <v>3950</v>
      </c>
      <c r="AT181" t="s">
        <v>3951</v>
      </c>
      <c r="AU181">
        <v>2006</v>
      </c>
      <c r="AV181">
        <v>31</v>
      </c>
      <c r="AW181" t="s">
        <v>3952</v>
      </c>
      <c r="AX181" t="s">
        <v>74</v>
      </c>
      <c r="AY181" t="s">
        <v>74</v>
      </c>
      <c r="AZ181" t="s">
        <v>74</v>
      </c>
      <c r="BA181" t="s">
        <v>74</v>
      </c>
      <c r="BB181">
        <v>247</v>
      </c>
      <c r="BC181">
        <v>265</v>
      </c>
      <c r="BD181" t="s">
        <v>74</v>
      </c>
      <c r="BE181" t="s">
        <v>3953</v>
      </c>
      <c r="BF181" t="str">
        <f>HYPERLINK("http://dx.doi.org/10.1016/j.is.2005.02.008","http://dx.doi.org/10.1016/j.is.2005.02.008")</f>
        <v>http://dx.doi.org/10.1016/j.is.2005.02.008</v>
      </c>
      <c r="BG181" t="s">
        <v>74</v>
      </c>
      <c r="BH181" t="s">
        <v>74</v>
      </c>
      <c r="BI181">
        <v>19</v>
      </c>
      <c r="BJ181" t="s">
        <v>852</v>
      </c>
      <c r="BK181" t="s">
        <v>902</v>
      </c>
      <c r="BL181" t="s">
        <v>103</v>
      </c>
      <c r="BM181" t="s">
        <v>3954</v>
      </c>
      <c r="BN181" t="s">
        <v>74</v>
      </c>
      <c r="BO181" t="s">
        <v>74</v>
      </c>
      <c r="BP181" t="s">
        <v>74</v>
      </c>
      <c r="BQ181" t="s">
        <v>74</v>
      </c>
      <c r="BR181" t="s">
        <v>106</v>
      </c>
      <c r="BS181" t="s">
        <v>3955</v>
      </c>
      <c r="BT181" t="str">
        <f>HYPERLINK("https%3A%2F%2Fwww.webofscience.com%2Fwos%2Fwoscc%2Ffull-record%2FWOS:000236334200003","View Full Record in Web of Science")</f>
        <v>View Full Record in Web of Science</v>
      </c>
    </row>
    <row r="182" spans="1:72" x14ac:dyDescent="0.25">
      <c r="A182" t="s">
        <v>72</v>
      </c>
      <c r="B182" t="s">
        <v>3956</v>
      </c>
      <c r="C182" t="s">
        <v>74</v>
      </c>
      <c r="D182" t="s">
        <v>74</v>
      </c>
      <c r="E182" t="s">
        <v>74</v>
      </c>
      <c r="F182" t="s">
        <v>3957</v>
      </c>
      <c r="G182" t="s">
        <v>74</v>
      </c>
      <c r="H182" t="s">
        <v>74</v>
      </c>
      <c r="I182" t="s">
        <v>3958</v>
      </c>
      <c r="J182" t="s">
        <v>3959</v>
      </c>
      <c r="K182" t="s">
        <v>74</v>
      </c>
      <c r="L182" t="s">
        <v>74</v>
      </c>
      <c r="M182" t="s">
        <v>78</v>
      </c>
      <c r="N182" t="s">
        <v>79</v>
      </c>
      <c r="O182" t="s">
        <v>74</v>
      </c>
      <c r="P182" t="s">
        <v>74</v>
      </c>
      <c r="Q182" t="s">
        <v>74</v>
      </c>
      <c r="R182" t="s">
        <v>74</v>
      </c>
      <c r="S182" t="s">
        <v>74</v>
      </c>
      <c r="T182" t="s">
        <v>3960</v>
      </c>
      <c r="U182" t="s">
        <v>74</v>
      </c>
      <c r="V182" t="s">
        <v>3961</v>
      </c>
      <c r="W182" t="s">
        <v>3962</v>
      </c>
      <c r="X182" t="s">
        <v>74</v>
      </c>
      <c r="Y182" t="s">
        <v>3963</v>
      </c>
      <c r="Z182" t="s">
        <v>3964</v>
      </c>
      <c r="AA182" t="s">
        <v>3965</v>
      </c>
      <c r="AB182" t="s">
        <v>3966</v>
      </c>
      <c r="AC182" t="s">
        <v>3967</v>
      </c>
      <c r="AD182" t="s">
        <v>2463</v>
      </c>
      <c r="AE182" t="s">
        <v>3968</v>
      </c>
      <c r="AF182" t="s">
        <v>74</v>
      </c>
      <c r="AG182">
        <v>67</v>
      </c>
      <c r="AH182">
        <v>0</v>
      </c>
      <c r="AI182">
        <v>0</v>
      </c>
      <c r="AJ182">
        <v>3</v>
      </c>
      <c r="AK182">
        <v>8</v>
      </c>
      <c r="AL182" t="s">
        <v>895</v>
      </c>
      <c r="AM182" t="s">
        <v>896</v>
      </c>
      <c r="AN182" t="s">
        <v>897</v>
      </c>
      <c r="AO182" t="s">
        <v>3969</v>
      </c>
      <c r="AP182" t="s">
        <v>74</v>
      </c>
      <c r="AQ182" t="s">
        <v>74</v>
      </c>
      <c r="AR182" t="s">
        <v>3970</v>
      </c>
      <c r="AS182" t="s">
        <v>3971</v>
      </c>
      <c r="AT182" t="s">
        <v>1950</v>
      </c>
      <c r="AU182">
        <v>2025</v>
      </c>
      <c r="AV182">
        <v>11</v>
      </c>
      <c r="AW182">
        <v>1</v>
      </c>
      <c r="AX182" t="s">
        <v>74</v>
      </c>
      <c r="AY182" t="s">
        <v>74</v>
      </c>
      <c r="AZ182" t="s">
        <v>74</v>
      </c>
      <c r="BA182" t="s">
        <v>74</v>
      </c>
      <c r="BB182">
        <v>271</v>
      </c>
      <c r="BC182">
        <v>285</v>
      </c>
      <c r="BD182" t="s">
        <v>74</v>
      </c>
      <c r="BE182" t="s">
        <v>3972</v>
      </c>
      <c r="BF182" t="str">
        <f>HYPERLINK("http://dx.doi.org/10.1109/TBDATA.2024.3414321","http://dx.doi.org/10.1109/TBDATA.2024.3414321")</f>
        <v>http://dx.doi.org/10.1109/TBDATA.2024.3414321</v>
      </c>
      <c r="BG182" t="s">
        <v>74</v>
      </c>
      <c r="BH182" t="s">
        <v>74</v>
      </c>
      <c r="BI182">
        <v>15</v>
      </c>
      <c r="BJ182" t="s">
        <v>696</v>
      </c>
      <c r="BK182" t="s">
        <v>902</v>
      </c>
      <c r="BL182" t="s">
        <v>103</v>
      </c>
      <c r="BM182" t="s">
        <v>3973</v>
      </c>
      <c r="BN182" t="s">
        <v>74</v>
      </c>
      <c r="BO182" t="s">
        <v>74</v>
      </c>
      <c r="BP182" t="s">
        <v>74</v>
      </c>
      <c r="BQ182" t="s">
        <v>74</v>
      </c>
      <c r="BR182" t="s">
        <v>106</v>
      </c>
      <c r="BS182" t="s">
        <v>3974</v>
      </c>
      <c r="BT182" t="str">
        <f>HYPERLINK("https%3A%2F%2Fwww.webofscience.com%2Fwos%2Fwoscc%2Ffull-record%2FWOS:001398867700004","View Full Record in Web of Science")</f>
        <v>View Full Record in Web of Science</v>
      </c>
    </row>
    <row r="183" spans="1:72" x14ac:dyDescent="0.25">
      <c r="A183" t="s">
        <v>72</v>
      </c>
      <c r="B183" t="s">
        <v>3975</v>
      </c>
      <c r="C183" t="s">
        <v>74</v>
      </c>
      <c r="D183" t="s">
        <v>74</v>
      </c>
      <c r="E183" t="s">
        <v>74</v>
      </c>
      <c r="F183" t="s">
        <v>3976</v>
      </c>
      <c r="G183" t="s">
        <v>74</v>
      </c>
      <c r="H183" t="s">
        <v>74</v>
      </c>
      <c r="I183" t="s">
        <v>3977</v>
      </c>
      <c r="J183" t="s">
        <v>1421</v>
      </c>
      <c r="K183" t="s">
        <v>74</v>
      </c>
      <c r="L183" t="s">
        <v>74</v>
      </c>
      <c r="M183" t="s">
        <v>78</v>
      </c>
      <c r="N183" t="s">
        <v>79</v>
      </c>
      <c r="O183" t="s">
        <v>74</v>
      </c>
      <c r="P183" t="s">
        <v>74</v>
      </c>
      <c r="Q183" t="s">
        <v>74</v>
      </c>
      <c r="R183" t="s">
        <v>74</v>
      </c>
      <c r="S183" t="s">
        <v>74</v>
      </c>
      <c r="T183" t="s">
        <v>3978</v>
      </c>
      <c r="U183" t="s">
        <v>3979</v>
      </c>
      <c r="V183" t="s">
        <v>3980</v>
      </c>
      <c r="W183" t="s">
        <v>3981</v>
      </c>
      <c r="X183" t="s">
        <v>3982</v>
      </c>
      <c r="Y183" t="s">
        <v>3983</v>
      </c>
      <c r="Z183" t="s">
        <v>3984</v>
      </c>
      <c r="AA183" t="s">
        <v>3985</v>
      </c>
      <c r="AB183" t="s">
        <v>3986</v>
      </c>
      <c r="AC183" t="s">
        <v>3987</v>
      </c>
      <c r="AD183" t="s">
        <v>3988</v>
      </c>
      <c r="AE183" t="s">
        <v>3989</v>
      </c>
      <c r="AF183" t="s">
        <v>74</v>
      </c>
      <c r="AG183">
        <v>58</v>
      </c>
      <c r="AH183">
        <v>0</v>
      </c>
      <c r="AI183">
        <v>0</v>
      </c>
      <c r="AJ183">
        <v>3</v>
      </c>
      <c r="AK183">
        <v>8</v>
      </c>
      <c r="AL183" t="s">
        <v>1272</v>
      </c>
      <c r="AM183" t="s">
        <v>1273</v>
      </c>
      <c r="AN183" t="s">
        <v>1274</v>
      </c>
      <c r="AO183" t="s">
        <v>74</v>
      </c>
      <c r="AP183" t="s">
        <v>1433</v>
      </c>
      <c r="AQ183" t="s">
        <v>74</v>
      </c>
      <c r="AR183" t="s">
        <v>1421</v>
      </c>
      <c r="AS183" t="s">
        <v>1434</v>
      </c>
      <c r="AT183" t="s">
        <v>3990</v>
      </c>
      <c r="AU183">
        <v>2025</v>
      </c>
      <c r="AV183">
        <v>16</v>
      </c>
      <c r="AW183">
        <v>10</v>
      </c>
      <c r="AX183" t="s">
        <v>74</v>
      </c>
      <c r="AY183" t="s">
        <v>74</v>
      </c>
      <c r="AZ183" t="s">
        <v>74</v>
      </c>
      <c r="BA183" t="s">
        <v>74</v>
      </c>
      <c r="BB183" t="s">
        <v>74</v>
      </c>
      <c r="BC183" t="s">
        <v>74</v>
      </c>
      <c r="BD183">
        <v>902</v>
      </c>
      <c r="BE183" t="s">
        <v>3991</v>
      </c>
      <c r="BF183" t="str">
        <f>HYPERLINK("http://dx.doi.org/10.3390/info16100902","http://dx.doi.org/10.3390/info16100902")</f>
        <v>http://dx.doi.org/10.3390/info16100902</v>
      </c>
      <c r="BG183" t="s">
        <v>74</v>
      </c>
      <c r="BH183" t="s">
        <v>74</v>
      </c>
      <c r="BI183">
        <v>28</v>
      </c>
      <c r="BJ183" t="s">
        <v>852</v>
      </c>
      <c r="BK183" t="s">
        <v>102</v>
      </c>
      <c r="BL183" t="s">
        <v>103</v>
      </c>
      <c r="BM183" t="s">
        <v>3992</v>
      </c>
      <c r="BN183" t="s">
        <v>74</v>
      </c>
      <c r="BO183" t="s">
        <v>398</v>
      </c>
      <c r="BP183" t="s">
        <v>74</v>
      </c>
      <c r="BQ183" t="s">
        <v>74</v>
      </c>
      <c r="BR183" t="s">
        <v>106</v>
      </c>
      <c r="BS183" t="s">
        <v>3993</v>
      </c>
      <c r="BT183" t="str">
        <f>HYPERLINK("https%3A%2F%2Fwww.webofscience.com%2Fwos%2Fwoscc%2Ffull-record%2FWOS:001601687600001","View Full Record in Web of Science")</f>
        <v>View Full Record in Web of Science</v>
      </c>
    </row>
    <row r="184" spans="1:72" x14ac:dyDescent="0.25">
      <c r="A184" t="s">
        <v>72</v>
      </c>
      <c r="B184" t="s">
        <v>3994</v>
      </c>
      <c r="C184" t="s">
        <v>74</v>
      </c>
      <c r="D184" t="s">
        <v>74</v>
      </c>
      <c r="E184" t="s">
        <v>74</v>
      </c>
      <c r="F184" t="s">
        <v>3995</v>
      </c>
      <c r="G184" t="s">
        <v>74</v>
      </c>
      <c r="H184" t="s">
        <v>74</v>
      </c>
      <c r="I184" t="s">
        <v>3996</v>
      </c>
      <c r="J184" t="s">
        <v>2016</v>
      </c>
      <c r="K184" t="s">
        <v>74</v>
      </c>
      <c r="L184" t="s">
        <v>74</v>
      </c>
      <c r="M184" t="s">
        <v>78</v>
      </c>
      <c r="N184" t="s">
        <v>79</v>
      </c>
      <c r="O184" t="s">
        <v>74</v>
      </c>
      <c r="P184" t="s">
        <v>74</v>
      </c>
      <c r="Q184" t="s">
        <v>74</v>
      </c>
      <c r="R184" t="s">
        <v>74</v>
      </c>
      <c r="S184" t="s">
        <v>74</v>
      </c>
      <c r="T184" t="s">
        <v>3997</v>
      </c>
      <c r="U184" t="s">
        <v>74</v>
      </c>
      <c r="V184" t="s">
        <v>3998</v>
      </c>
      <c r="W184" t="s">
        <v>3999</v>
      </c>
      <c r="X184" t="s">
        <v>3272</v>
      </c>
      <c r="Y184" t="s">
        <v>4000</v>
      </c>
      <c r="Z184" t="s">
        <v>4001</v>
      </c>
      <c r="AA184" t="s">
        <v>74</v>
      </c>
      <c r="AB184" t="s">
        <v>4002</v>
      </c>
      <c r="AC184" t="s">
        <v>4003</v>
      </c>
      <c r="AD184" t="s">
        <v>4004</v>
      </c>
      <c r="AE184" t="s">
        <v>4005</v>
      </c>
      <c r="AF184" t="s">
        <v>74</v>
      </c>
      <c r="AG184">
        <v>36</v>
      </c>
      <c r="AH184">
        <v>14</v>
      </c>
      <c r="AI184">
        <v>14</v>
      </c>
      <c r="AJ184">
        <v>0</v>
      </c>
      <c r="AK184">
        <v>31</v>
      </c>
      <c r="AL184" t="s">
        <v>362</v>
      </c>
      <c r="AM184" t="s">
        <v>363</v>
      </c>
      <c r="AN184" t="s">
        <v>364</v>
      </c>
      <c r="AO184" t="s">
        <v>2027</v>
      </c>
      <c r="AP184" t="s">
        <v>2028</v>
      </c>
      <c r="AQ184" t="s">
        <v>74</v>
      </c>
      <c r="AR184" t="s">
        <v>2016</v>
      </c>
      <c r="AS184" t="s">
        <v>2029</v>
      </c>
      <c r="AT184" t="s">
        <v>4006</v>
      </c>
      <c r="AU184">
        <v>2017</v>
      </c>
      <c r="AV184">
        <v>236</v>
      </c>
      <c r="AW184" t="s">
        <v>74</v>
      </c>
      <c r="AX184" t="s">
        <v>74</v>
      </c>
      <c r="AY184" t="s">
        <v>74</v>
      </c>
      <c r="AZ184" t="s">
        <v>247</v>
      </c>
      <c r="BA184" t="s">
        <v>74</v>
      </c>
      <c r="BB184">
        <v>73</v>
      </c>
      <c r="BC184">
        <v>81</v>
      </c>
      <c r="BD184" t="s">
        <v>74</v>
      </c>
      <c r="BE184" t="s">
        <v>4007</v>
      </c>
      <c r="BF184" t="str">
        <f>HYPERLINK("http://dx.doi.org/10.1016/j.neucom.2016.08.114","http://dx.doi.org/10.1016/j.neucom.2016.08.114")</f>
        <v>http://dx.doi.org/10.1016/j.neucom.2016.08.114</v>
      </c>
      <c r="BG184" t="s">
        <v>74</v>
      </c>
      <c r="BH184" t="s">
        <v>74</v>
      </c>
      <c r="BI184">
        <v>9</v>
      </c>
      <c r="BJ184" t="s">
        <v>807</v>
      </c>
      <c r="BK184" t="s">
        <v>902</v>
      </c>
      <c r="BL184" t="s">
        <v>103</v>
      </c>
      <c r="BM184" t="s">
        <v>4008</v>
      </c>
      <c r="BN184" t="s">
        <v>74</v>
      </c>
      <c r="BO184" t="s">
        <v>346</v>
      </c>
      <c r="BP184" t="s">
        <v>74</v>
      </c>
      <c r="BQ184" t="s">
        <v>74</v>
      </c>
      <c r="BR184" t="s">
        <v>106</v>
      </c>
      <c r="BS184" t="s">
        <v>4009</v>
      </c>
      <c r="BT184" t="str">
        <f>HYPERLINK("https%3A%2F%2Fwww.webofscience.com%2Fwos%2Fwoscc%2Ffull-record%2FWOS:000396952300010","View Full Record in Web of Science")</f>
        <v>View Full Record in Web of Science</v>
      </c>
    </row>
    <row r="185" spans="1:72" x14ac:dyDescent="0.25">
      <c r="A185" t="s">
        <v>108</v>
      </c>
      <c r="B185" t="s">
        <v>4010</v>
      </c>
      <c r="C185" t="s">
        <v>74</v>
      </c>
      <c r="D185" t="s">
        <v>4011</v>
      </c>
      <c r="E185" t="s">
        <v>74</v>
      </c>
      <c r="F185" t="s">
        <v>4012</v>
      </c>
      <c r="G185" t="s">
        <v>74</v>
      </c>
      <c r="H185" t="s">
        <v>74</v>
      </c>
      <c r="I185" t="s">
        <v>4013</v>
      </c>
      <c r="J185" t="s">
        <v>4014</v>
      </c>
      <c r="K185" t="s">
        <v>790</v>
      </c>
      <c r="L185" t="s">
        <v>74</v>
      </c>
      <c r="M185" t="s">
        <v>78</v>
      </c>
      <c r="N185" t="s">
        <v>115</v>
      </c>
      <c r="O185" t="s">
        <v>4015</v>
      </c>
      <c r="P185" t="s">
        <v>4016</v>
      </c>
      <c r="Q185" t="s">
        <v>4017</v>
      </c>
      <c r="R185" t="s">
        <v>74</v>
      </c>
      <c r="S185" t="s">
        <v>4018</v>
      </c>
      <c r="T185" t="s">
        <v>74</v>
      </c>
      <c r="U185" t="s">
        <v>74</v>
      </c>
      <c r="V185" t="s">
        <v>4019</v>
      </c>
      <c r="W185" t="s">
        <v>4020</v>
      </c>
      <c r="X185" t="s">
        <v>4021</v>
      </c>
      <c r="Y185" t="s">
        <v>4022</v>
      </c>
      <c r="Z185" t="s">
        <v>4023</v>
      </c>
      <c r="AA185" t="s">
        <v>4024</v>
      </c>
      <c r="AB185" t="s">
        <v>4025</v>
      </c>
      <c r="AC185" t="s">
        <v>74</v>
      </c>
      <c r="AD185" t="s">
        <v>74</v>
      </c>
      <c r="AE185" t="s">
        <v>74</v>
      </c>
      <c r="AF185" t="s">
        <v>74</v>
      </c>
      <c r="AG185">
        <v>17</v>
      </c>
      <c r="AH185">
        <v>17</v>
      </c>
      <c r="AI185">
        <v>20</v>
      </c>
      <c r="AJ185">
        <v>0</v>
      </c>
      <c r="AK185">
        <v>21</v>
      </c>
      <c r="AL185" t="s">
        <v>197</v>
      </c>
      <c r="AM185" t="s">
        <v>198</v>
      </c>
      <c r="AN185" t="s">
        <v>199</v>
      </c>
      <c r="AO185" t="s">
        <v>803</v>
      </c>
      <c r="AP185" t="s">
        <v>1233</v>
      </c>
      <c r="AQ185" t="s">
        <v>4026</v>
      </c>
      <c r="AR185" t="s">
        <v>805</v>
      </c>
      <c r="AS185" t="s">
        <v>74</v>
      </c>
      <c r="AT185" t="s">
        <v>74</v>
      </c>
      <c r="AU185">
        <v>2016</v>
      </c>
      <c r="AV185">
        <v>385</v>
      </c>
      <c r="AW185" t="s">
        <v>74</v>
      </c>
      <c r="AX185" t="s">
        <v>74</v>
      </c>
      <c r="AY185" t="s">
        <v>74</v>
      </c>
      <c r="AZ185" t="s">
        <v>74</v>
      </c>
      <c r="BA185" t="s">
        <v>74</v>
      </c>
      <c r="BB185">
        <v>399</v>
      </c>
      <c r="BC185">
        <v>411</v>
      </c>
      <c r="BD185" t="s">
        <v>74</v>
      </c>
      <c r="BE185" t="s">
        <v>4027</v>
      </c>
      <c r="BF185" t="str">
        <f>HYPERLINK("http://dx.doi.org/10.1007/978-3-319-23258-4_35","http://dx.doi.org/10.1007/978-3-319-23258-4_35")</f>
        <v>http://dx.doi.org/10.1007/978-3-319-23258-4_35</v>
      </c>
      <c r="BG185" t="s">
        <v>74</v>
      </c>
      <c r="BH185" t="s">
        <v>74</v>
      </c>
      <c r="BI185">
        <v>13</v>
      </c>
      <c r="BJ185" t="s">
        <v>461</v>
      </c>
      <c r="BK185" t="s">
        <v>203</v>
      </c>
      <c r="BL185" t="s">
        <v>103</v>
      </c>
      <c r="BM185" t="s">
        <v>4028</v>
      </c>
      <c r="BN185" t="s">
        <v>74</v>
      </c>
      <c r="BO185" t="s">
        <v>74</v>
      </c>
      <c r="BP185" t="s">
        <v>74</v>
      </c>
      <c r="BQ185" t="s">
        <v>74</v>
      </c>
      <c r="BR185" t="s">
        <v>106</v>
      </c>
      <c r="BS185" t="s">
        <v>4029</v>
      </c>
      <c r="BT185" t="str">
        <f>HYPERLINK("https%3A%2F%2Fwww.webofscience.com%2Fwos%2Fwoscc%2Ffull-record%2FWOS:000381802900035","View Full Record in Web of Science")</f>
        <v>View Full Record in Web of Science</v>
      </c>
    </row>
    <row r="186" spans="1:72" x14ac:dyDescent="0.25">
      <c r="A186" t="s">
        <v>108</v>
      </c>
      <c r="B186" t="s">
        <v>4030</v>
      </c>
      <c r="C186" t="s">
        <v>74</v>
      </c>
      <c r="D186" t="s">
        <v>74</v>
      </c>
      <c r="E186" t="s">
        <v>273</v>
      </c>
      <c r="F186" t="s">
        <v>4031</v>
      </c>
      <c r="G186" t="s">
        <v>74</v>
      </c>
      <c r="H186" t="s">
        <v>74</v>
      </c>
      <c r="I186" t="s">
        <v>4032</v>
      </c>
      <c r="J186" t="s">
        <v>4033</v>
      </c>
      <c r="K186" t="s">
        <v>74</v>
      </c>
      <c r="L186" t="s">
        <v>74</v>
      </c>
      <c r="M186" t="s">
        <v>4034</v>
      </c>
      <c r="N186" t="s">
        <v>115</v>
      </c>
      <c r="O186" t="s">
        <v>4035</v>
      </c>
      <c r="P186" t="s">
        <v>4036</v>
      </c>
      <c r="Q186" t="s">
        <v>4037</v>
      </c>
      <c r="R186" t="s">
        <v>4038</v>
      </c>
      <c r="S186" t="s">
        <v>74</v>
      </c>
      <c r="T186" t="s">
        <v>4039</v>
      </c>
      <c r="U186" t="s">
        <v>74</v>
      </c>
      <c r="V186" t="s">
        <v>4040</v>
      </c>
      <c r="W186" t="s">
        <v>4041</v>
      </c>
      <c r="X186" t="s">
        <v>4042</v>
      </c>
      <c r="Y186" t="s">
        <v>4043</v>
      </c>
      <c r="Z186" t="s">
        <v>4044</v>
      </c>
      <c r="AA186" t="s">
        <v>4045</v>
      </c>
      <c r="AB186" t="s">
        <v>4046</v>
      </c>
      <c r="AC186" t="s">
        <v>74</v>
      </c>
      <c r="AD186" t="s">
        <v>74</v>
      </c>
      <c r="AE186" t="s">
        <v>74</v>
      </c>
      <c r="AF186" t="s">
        <v>74</v>
      </c>
      <c r="AG186">
        <v>22</v>
      </c>
      <c r="AH186">
        <v>3</v>
      </c>
      <c r="AI186">
        <v>3</v>
      </c>
      <c r="AJ186">
        <v>2</v>
      </c>
      <c r="AK186">
        <v>5</v>
      </c>
      <c r="AL186" t="s">
        <v>291</v>
      </c>
      <c r="AM186" t="s">
        <v>92</v>
      </c>
      <c r="AN186" t="s">
        <v>292</v>
      </c>
      <c r="AO186" t="s">
        <v>74</v>
      </c>
      <c r="AP186" t="s">
        <v>74</v>
      </c>
      <c r="AQ186" t="s">
        <v>4047</v>
      </c>
      <c r="AR186" t="s">
        <v>74</v>
      </c>
      <c r="AS186" t="s">
        <v>74</v>
      </c>
      <c r="AT186" t="s">
        <v>74</v>
      </c>
      <c r="AU186">
        <v>2019</v>
      </c>
      <c r="AV186" t="s">
        <v>74</v>
      </c>
      <c r="AW186" t="s">
        <v>74</v>
      </c>
      <c r="AX186" t="s">
        <v>74</v>
      </c>
      <c r="AY186" t="s">
        <v>74</v>
      </c>
      <c r="AZ186" t="s">
        <v>74</v>
      </c>
      <c r="BA186" t="s">
        <v>74</v>
      </c>
      <c r="BB186">
        <v>349</v>
      </c>
      <c r="BC186">
        <v>356</v>
      </c>
      <c r="BD186" t="s">
        <v>74</v>
      </c>
      <c r="BE186" t="s">
        <v>4048</v>
      </c>
      <c r="BF186" t="str">
        <f>HYPERLINK("http://dx.doi.org/10.1145/3323503.3349554","http://dx.doi.org/10.1145/3323503.3349554")</f>
        <v>http://dx.doi.org/10.1145/3323503.3349554</v>
      </c>
      <c r="BG186" t="s">
        <v>74</v>
      </c>
      <c r="BH186" t="s">
        <v>74</v>
      </c>
      <c r="BI186">
        <v>8</v>
      </c>
      <c r="BJ186" t="s">
        <v>925</v>
      </c>
      <c r="BK186" t="s">
        <v>203</v>
      </c>
      <c r="BL186" t="s">
        <v>103</v>
      </c>
      <c r="BM186" t="s">
        <v>4049</v>
      </c>
      <c r="BN186" t="s">
        <v>74</v>
      </c>
      <c r="BO186" t="s">
        <v>74</v>
      </c>
      <c r="BP186" t="s">
        <v>74</v>
      </c>
      <c r="BQ186" t="s">
        <v>74</v>
      </c>
      <c r="BR186" t="s">
        <v>106</v>
      </c>
      <c r="BS186" t="s">
        <v>4050</v>
      </c>
      <c r="BT186" t="str">
        <f>HYPERLINK("https%3A%2F%2Fwww.webofscience.com%2Fwos%2Fwoscc%2Ffull-record%2FWOS:000557314100059","View Full Record in Web of Science")</f>
        <v>View Full Record in Web of Science</v>
      </c>
    </row>
    <row r="187" spans="1:72" x14ac:dyDescent="0.25">
      <c r="A187" t="s">
        <v>108</v>
      </c>
      <c r="B187" t="s">
        <v>4051</v>
      </c>
      <c r="C187" t="s">
        <v>74</v>
      </c>
      <c r="D187" t="s">
        <v>74</v>
      </c>
      <c r="E187" t="s">
        <v>322</v>
      </c>
      <c r="F187" t="s">
        <v>4052</v>
      </c>
      <c r="G187" t="s">
        <v>74</v>
      </c>
      <c r="H187" t="s">
        <v>74</v>
      </c>
      <c r="I187" t="s">
        <v>4053</v>
      </c>
      <c r="J187" t="s">
        <v>4054</v>
      </c>
      <c r="K187" t="s">
        <v>74</v>
      </c>
      <c r="L187" t="s">
        <v>74</v>
      </c>
      <c r="M187" t="s">
        <v>78</v>
      </c>
      <c r="N187" t="s">
        <v>115</v>
      </c>
      <c r="O187" t="s">
        <v>4055</v>
      </c>
      <c r="P187" t="s">
        <v>4056</v>
      </c>
      <c r="Q187" t="s">
        <v>4057</v>
      </c>
      <c r="R187" t="s">
        <v>4058</v>
      </c>
      <c r="S187" t="s">
        <v>74</v>
      </c>
      <c r="T187" t="s">
        <v>4059</v>
      </c>
      <c r="U187" t="s">
        <v>74</v>
      </c>
      <c r="V187" t="s">
        <v>4060</v>
      </c>
      <c r="W187" t="s">
        <v>4061</v>
      </c>
      <c r="X187" t="s">
        <v>4062</v>
      </c>
      <c r="Y187" t="s">
        <v>4063</v>
      </c>
      <c r="Z187" t="s">
        <v>4064</v>
      </c>
      <c r="AA187" t="s">
        <v>74</v>
      </c>
      <c r="AB187" t="s">
        <v>74</v>
      </c>
      <c r="AC187" t="s">
        <v>74</v>
      </c>
      <c r="AD187" t="s">
        <v>74</v>
      </c>
      <c r="AE187" t="s">
        <v>74</v>
      </c>
      <c r="AF187" t="s">
        <v>74</v>
      </c>
      <c r="AG187">
        <v>9</v>
      </c>
      <c r="AH187">
        <v>21</v>
      </c>
      <c r="AI187">
        <v>27</v>
      </c>
      <c r="AJ187">
        <v>0</v>
      </c>
      <c r="AK187">
        <v>4</v>
      </c>
      <c r="AL187" t="s">
        <v>291</v>
      </c>
      <c r="AM187" t="s">
        <v>92</v>
      </c>
      <c r="AN187" t="s">
        <v>292</v>
      </c>
      <c r="AO187" t="s">
        <v>74</v>
      </c>
      <c r="AP187" t="s">
        <v>74</v>
      </c>
      <c r="AQ187" t="s">
        <v>4065</v>
      </c>
      <c r="AR187" t="s">
        <v>74</v>
      </c>
      <c r="AS187" t="s">
        <v>74</v>
      </c>
      <c r="AT187" t="s">
        <v>74</v>
      </c>
      <c r="AU187">
        <v>2015</v>
      </c>
      <c r="AV187" t="s">
        <v>74</v>
      </c>
      <c r="AW187" t="s">
        <v>74</v>
      </c>
      <c r="AX187" t="s">
        <v>74</v>
      </c>
      <c r="AY187" t="s">
        <v>74</v>
      </c>
      <c r="AZ187" t="s">
        <v>74</v>
      </c>
      <c r="BA187" t="s">
        <v>74</v>
      </c>
      <c r="BB187">
        <v>91</v>
      </c>
      <c r="BC187">
        <v>92</v>
      </c>
      <c r="BD187" t="s">
        <v>74</v>
      </c>
      <c r="BE187" t="s">
        <v>4066</v>
      </c>
      <c r="BF187" t="str">
        <f>HYPERLINK("http://dx.doi.org/10.1145/2740908.2742765","http://dx.doi.org/10.1145/2740908.2742765")</f>
        <v>http://dx.doi.org/10.1145/2740908.2742765</v>
      </c>
      <c r="BG187" t="s">
        <v>74</v>
      </c>
      <c r="BH187" t="s">
        <v>74</v>
      </c>
      <c r="BI187">
        <v>2</v>
      </c>
      <c r="BJ187" t="s">
        <v>972</v>
      </c>
      <c r="BK187" t="s">
        <v>203</v>
      </c>
      <c r="BL187" t="s">
        <v>953</v>
      </c>
      <c r="BM187" t="s">
        <v>4067</v>
      </c>
      <c r="BN187" t="s">
        <v>74</v>
      </c>
      <c r="BO187" t="s">
        <v>74</v>
      </c>
      <c r="BP187" t="s">
        <v>74</v>
      </c>
      <c r="BQ187" t="s">
        <v>74</v>
      </c>
      <c r="BR187" t="s">
        <v>106</v>
      </c>
      <c r="BS187" t="s">
        <v>4068</v>
      </c>
      <c r="BT187" t="str">
        <f>HYPERLINK("https%3A%2F%2Fwww.webofscience.com%2Fwos%2Fwoscc%2Ffull-record%2FWOS:000382666600045","View Full Record in Web of Science")</f>
        <v>View Full Record in Web of Science</v>
      </c>
    </row>
    <row r="188" spans="1:72" x14ac:dyDescent="0.25">
      <c r="A188" t="s">
        <v>72</v>
      </c>
      <c r="B188" t="s">
        <v>4069</v>
      </c>
      <c r="C188" t="s">
        <v>74</v>
      </c>
      <c r="D188" t="s">
        <v>74</v>
      </c>
      <c r="E188" t="s">
        <v>74</v>
      </c>
      <c r="F188" t="s">
        <v>4070</v>
      </c>
      <c r="G188" t="s">
        <v>74</v>
      </c>
      <c r="H188" t="s">
        <v>74</v>
      </c>
      <c r="I188" t="s">
        <v>4071</v>
      </c>
      <c r="J188" t="s">
        <v>302</v>
      </c>
      <c r="K188" t="s">
        <v>74</v>
      </c>
      <c r="L188" t="s">
        <v>74</v>
      </c>
      <c r="M188" t="s">
        <v>78</v>
      </c>
      <c r="N188" t="s">
        <v>79</v>
      </c>
      <c r="O188" t="s">
        <v>74</v>
      </c>
      <c r="P188" t="s">
        <v>74</v>
      </c>
      <c r="Q188" t="s">
        <v>74</v>
      </c>
      <c r="R188" t="s">
        <v>74</v>
      </c>
      <c r="S188" t="s">
        <v>74</v>
      </c>
      <c r="T188" t="s">
        <v>4072</v>
      </c>
      <c r="U188" t="s">
        <v>4073</v>
      </c>
      <c r="V188" t="s">
        <v>4074</v>
      </c>
      <c r="W188" t="s">
        <v>4075</v>
      </c>
      <c r="X188" t="s">
        <v>4076</v>
      </c>
      <c r="Y188" t="s">
        <v>4077</v>
      </c>
      <c r="Z188" t="s">
        <v>4078</v>
      </c>
      <c r="AA188" t="s">
        <v>4079</v>
      </c>
      <c r="AB188" t="s">
        <v>4080</v>
      </c>
      <c r="AC188" t="s">
        <v>4081</v>
      </c>
      <c r="AD188" t="s">
        <v>4082</v>
      </c>
      <c r="AE188" t="s">
        <v>4083</v>
      </c>
      <c r="AF188" t="s">
        <v>74</v>
      </c>
      <c r="AG188">
        <v>45</v>
      </c>
      <c r="AH188">
        <v>64</v>
      </c>
      <c r="AI188">
        <v>80</v>
      </c>
      <c r="AJ188">
        <v>0</v>
      </c>
      <c r="AK188">
        <v>78</v>
      </c>
      <c r="AL188" t="s">
        <v>310</v>
      </c>
      <c r="AM188" t="s">
        <v>311</v>
      </c>
      <c r="AN188" t="s">
        <v>312</v>
      </c>
      <c r="AO188" t="s">
        <v>313</v>
      </c>
      <c r="AP188" t="s">
        <v>314</v>
      </c>
      <c r="AQ188" t="s">
        <v>74</v>
      </c>
      <c r="AR188" t="s">
        <v>315</v>
      </c>
      <c r="AS188" t="s">
        <v>316</v>
      </c>
      <c r="AT188" t="s">
        <v>74</v>
      </c>
      <c r="AU188">
        <v>2018</v>
      </c>
      <c r="AV188">
        <v>111</v>
      </c>
      <c r="AW188">
        <v>5</v>
      </c>
      <c r="AX188" t="s">
        <v>74</v>
      </c>
      <c r="AY188" t="s">
        <v>74</v>
      </c>
      <c r="AZ188" t="s">
        <v>74</v>
      </c>
      <c r="BA188" t="s">
        <v>74</v>
      </c>
      <c r="BB188">
        <v>530</v>
      </c>
      <c r="BC188">
        <v>540</v>
      </c>
      <c r="BD188" t="s">
        <v>74</v>
      </c>
      <c r="BE188" t="s">
        <v>4084</v>
      </c>
      <c r="BF188" t="str">
        <f>HYPERLINK("http://dx.doi.org/10.1080/00220671.2017.1310710","http://dx.doi.org/10.1080/00220671.2017.1310710")</f>
        <v>http://dx.doi.org/10.1080/00220671.2017.1310710</v>
      </c>
      <c r="BG188" t="s">
        <v>74</v>
      </c>
      <c r="BH188" t="s">
        <v>74</v>
      </c>
      <c r="BI188">
        <v>11</v>
      </c>
      <c r="BJ188" t="s">
        <v>318</v>
      </c>
      <c r="BK188" t="s">
        <v>250</v>
      </c>
      <c r="BL188" t="s">
        <v>318</v>
      </c>
      <c r="BM188" t="s">
        <v>4085</v>
      </c>
      <c r="BN188" t="s">
        <v>74</v>
      </c>
      <c r="BO188" t="s">
        <v>4086</v>
      </c>
      <c r="BP188" t="s">
        <v>74</v>
      </c>
      <c r="BQ188" t="s">
        <v>74</v>
      </c>
      <c r="BR188" t="s">
        <v>106</v>
      </c>
      <c r="BS188" t="s">
        <v>4087</v>
      </c>
      <c r="BT188" t="str">
        <f>HYPERLINK("https%3A%2F%2Fwww.webofscience.com%2Fwos%2Fwoscc%2Ffull-record%2FWOS:000435709200002","View Full Record in Web of Science")</f>
        <v>View Full Record in Web of Science</v>
      </c>
    </row>
    <row r="189" spans="1:72" x14ac:dyDescent="0.25">
      <c r="A189" t="s">
        <v>108</v>
      </c>
      <c r="B189" t="s">
        <v>4088</v>
      </c>
      <c r="C189" t="s">
        <v>74</v>
      </c>
      <c r="D189" t="s">
        <v>74</v>
      </c>
      <c r="E189" t="s">
        <v>4089</v>
      </c>
      <c r="F189" t="s">
        <v>4090</v>
      </c>
      <c r="G189" t="s">
        <v>74</v>
      </c>
      <c r="H189" t="s">
        <v>74</v>
      </c>
      <c r="I189" t="s">
        <v>4091</v>
      </c>
      <c r="J189" t="s">
        <v>4092</v>
      </c>
      <c r="K189" t="s">
        <v>74</v>
      </c>
      <c r="L189" t="s">
        <v>74</v>
      </c>
      <c r="M189" t="s">
        <v>78</v>
      </c>
      <c r="N189" t="s">
        <v>115</v>
      </c>
      <c r="O189" t="s">
        <v>4093</v>
      </c>
      <c r="P189" t="s">
        <v>4094</v>
      </c>
      <c r="Q189" t="s">
        <v>4095</v>
      </c>
      <c r="R189" t="s">
        <v>74</v>
      </c>
      <c r="S189" t="s">
        <v>74</v>
      </c>
      <c r="T189" t="s">
        <v>4096</v>
      </c>
      <c r="U189" t="s">
        <v>74</v>
      </c>
      <c r="V189" t="s">
        <v>4097</v>
      </c>
      <c r="W189" t="s">
        <v>4098</v>
      </c>
      <c r="X189" t="s">
        <v>2554</v>
      </c>
      <c r="Y189" t="s">
        <v>4099</v>
      </c>
      <c r="Z189" t="s">
        <v>4100</v>
      </c>
      <c r="AA189" t="s">
        <v>4101</v>
      </c>
      <c r="AB189" t="s">
        <v>74</v>
      </c>
      <c r="AC189" t="s">
        <v>74</v>
      </c>
      <c r="AD189" t="s">
        <v>74</v>
      </c>
      <c r="AE189" t="s">
        <v>74</v>
      </c>
      <c r="AF189" t="s">
        <v>74</v>
      </c>
      <c r="AG189">
        <v>12</v>
      </c>
      <c r="AH189">
        <v>1</v>
      </c>
      <c r="AI189">
        <v>1</v>
      </c>
      <c r="AJ189">
        <v>0</v>
      </c>
      <c r="AK189">
        <v>1</v>
      </c>
      <c r="AL189" t="s">
        <v>4102</v>
      </c>
      <c r="AM189" t="s">
        <v>4103</v>
      </c>
      <c r="AN189" t="s">
        <v>4104</v>
      </c>
      <c r="AO189" t="s">
        <v>74</v>
      </c>
      <c r="AP189" t="s">
        <v>74</v>
      </c>
      <c r="AQ189" t="s">
        <v>4105</v>
      </c>
      <c r="AR189" t="s">
        <v>74</v>
      </c>
      <c r="AS189" t="s">
        <v>74</v>
      </c>
      <c r="AT189" t="s">
        <v>74</v>
      </c>
      <c r="AU189">
        <v>2016</v>
      </c>
      <c r="AV189" t="s">
        <v>74</v>
      </c>
      <c r="AW189" t="s">
        <v>74</v>
      </c>
      <c r="AX189" t="s">
        <v>74</v>
      </c>
      <c r="AY189" t="s">
        <v>74</v>
      </c>
      <c r="AZ189" t="s">
        <v>74</v>
      </c>
      <c r="BA189" t="s">
        <v>74</v>
      </c>
      <c r="BB189">
        <v>123</v>
      </c>
      <c r="BC189">
        <v>126</v>
      </c>
      <c r="BD189" t="s">
        <v>74</v>
      </c>
      <c r="BE189" t="s">
        <v>74</v>
      </c>
      <c r="BF189" t="s">
        <v>74</v>
      </c>
      <c r="BG189" t="s">
        <v>74</v>
      </c>
      <c r="BH189" t="s">
        <v>74</v>
      </c>
      <c r="BI189">
        <v>4</v>
      </c>
      <c r="BJ189" t="s">
        <v>925</v>
      </c>
      <c r="BK189" t="s">
        <v>203</v>
      </c>
      <c r="BL189" t="s">
        <v>103</v>
      </c>
      <c r="BM189" t="s">
        <v>4106</v>
      </c>
      <c r="BN189" t="s">
        <v>74</v>
      </c>
      <c r="BO189" t="s">
        <v>74</v>
      </c>
      <c r="BP189" t="s">
        <v>74</v>
      </c>
      <c r="BQ189" t="s">
        <v>74</v>
      </c>
      <c r="BR189" t="s">
        <v>106</v>
      </c>
      <c r="BS189" t="s">
        <v>4107</v>
      </c>
      <c r="BT189" t="str">
        <f>HYPERLINK("https%3A%2F%2Fwww.webofscience.com%2Fwos%2Fwoscc%2Ffull-record%2FWOS:000389759800016","View Full Record in Web of Science")</f>
        <v>View Full Record in Web of Science</v>
      </c>
    </row>
    <row r="190" spans="1:72" x14ac:dyDescent="0.25">
      <c r="A190" t="s">
        <v>72</v>
      </c>
      <c r="B190" t="s">
        <v>4108</v>
      </c>
      <c r="C190" t="s">
        <v>74</v>
      </c>
      <c r="D190" t="s">
        <v>74</v>
      </c>
      <c r="E190" t="s">
        <v>74</v>
      </c>
      <c r="F190" t="s">
        <v>4109</v>
      </c>
      <c r="G190" t="s">
        <v>74</v>
      </c>
      <c r="H190" t="s">
        <v>74</v>
      </c>
      <c r="I190" t="s">
        <v>4110</v>
      </c>
      <c r="J190" t="s">
        <v>4111</v>
      </c>
      <c r="K190" t="s">
        <v>74</v>
      </c>
      <c r="L190" t="s">
        <v>74</v>
      </c>
      <c r="M190" t="s">
        <v>78</v>
      </c>
      <c r="N190" t="s">
        <v>79</v>
      </c>
      <c r="O190" t="s">
        <v>74</v>
      </c>
      <c r="P190" t="s">
        <v>74</v>
      </c>
      <c r="Q190" t="s">
        <v>74</v>
      </c>
      <c r="R190" t="s">
        <v>74</v>
      </c>
      <c r="S190" t="s">
        <v>74</v>
      </c>
      <c r="T190" t="s">
        <v>4112</v>
      </c>
      <c r="U190" t="s">
        <v>4113</v>
      </c>
      <c r="V190" t="s">
        <v>4114</v>
      </c>
      <c r="W190" t="s">
        <v>4115</v>
      </c>
      <c r="X190" t="s">
        <v>4116</v>
      </c>
      <c r="Y190" t="s">
        <v>4117</v>
      </c>
      <c r="Z190" t="s">
        <v>4118</v>
      </c>
      <c r="AA190" t="s">
        <v>4119</v>
      </c>
      <c r="AB190" t="s">
        <v>4120</v>
      </c>
      <c r="AC190" t="s">
        <v>4121</v>
      </c>
      <c r="AD190" t="s">
        <v>4122</v>
      </c>
      <c r="AE190" t="s">
        <v>4123</v>
      </c>
      <c r="AF190" t="s">
        <v>74</v>
      </c>
      <c r="AG190">
        <v>106</v>
      </c>
      <c r="AH190">
        <v>11</v>
      </c>
      <c r="AI190">
        <v>15</v>
      </c>
      <c r="AJ190">
        <v>1</v>
      </c>
      <c r="AK190">
        <v>59</v>
      </c>
      <c r="AL190" t="s">
        <v>310</v>
      </c>
      <c r="AM190" t="s">
        <v>311</v>
      </c>
      <c r="AN190" t="s">
        <v>312</v>
      </c>
      <c r="AO190" t="s">
        <v>4124</v>
      </c>
      <c r="AP190" t="s">
        <v>4125</v>
      </c>
      <c r="AQ190" t="s">
        <v>74</v>
      </c>
      <c r="AR190" t="s">
        <v>4126</v>
      </c>
      <c r="AS190" t="s">
        <v>4127</v>
      </c>
      <c r="AT190" t="s">
        <v>4128</v>
      </c>
      <c r="AU190">
        <v>2022</v>
      </c>
      <c r="AV190">
        <v>66</v>
      </c>
      <c r="AW190">
        <v>7</v>
      </c>
      <c r="AX190" t="s">
        <v>74</v>
      </c>
      <c r="AY190" t="s">
        <v>74</v>
      </c>
      <c r="AZ190" t="s">
        <v>74</v>
      </c>
      <c r="BA190" t="s">
        <v>74</v>
      </c>
      <c r="BB190">
        <v>1127</v>
      </c>
      <c r="BC190">
        <v>1140</v>
      </c>
      <c r="BD190" t="s">
        <v>74</v>
      </c>
      <c r="BE190" t="s">
        <v>4129</v>
      </c>
      <c r="BF190" t="str">
        <f>HYPERLINK("http://dx.doi.org/10.1080/00313831.2021.1958377","http://dx.doi.org/10.1080/00313831.2021.1958377")</f>
        <v>http://dx.doi.org/10.1080/00313831.2021.1958377</v>
      </c>
      <c r="BG190" t="s">
        <v>74</v>
      </c>
      <c r="BH190" t="s">
        <v>4130</v>
      </c>
      <c r="BI190">
        <v>14</v>
      </c>
      <c r="BJ190" t="s">
        <v>318</v>
      </c>
      <c r="BK190" t="s">
        <v>250</v>
      </c>
      <c r="BL190" t="s">
        <v>318</v>
      </c>
      <c r="BM190" t="s">
        <v>4131</v>
      </c>
      <c r="BN190" t="s">
        <v>74</v>
      </c>
      <c r="BO190" t="s">
        <v>1331</v>
      </c>
      <c r="BP190" t="s">
        <v>74</v>
      </c>
      <c r="BQ190" t="s">
        <v>74</v>
      </c>
      <c r="BR190" t="s">
        <v>106</v>
      </c>
      <c r="BS190" t="s">
        <v>4132</v>
      </c>
      <c r="BT190" t="str">
        <f>HYPERLINK("https%3A%2F%2Fwww.webofscience.com%2Fwos%2Fwoscc%2Ffull-record%2FWOS:000680725500001","View Full Record in Web of Science")</f>
        <v>View Full Record in Web of Science</v>
      </c>
    </row>
    <row r="191" spans="1:72" x14ac:dyDescent="0.25">
      <c r="A191" t="s">
        <v>72</v>
      </c>
      <c r="B191" t="s">
        <v>4133</v>
      </c>
      <c r="C191" t="s">
        <v>74</v>
      </c>
      <c r="D191" t="s">
        <v>74</v>
      </c>
      <c r="E191" t="s">
        <v>74</v>
      </c>
      <c r="F191" t="s">
        <v>4134</v>
      </c>
      <c r="G191" t="s">
        <v>74</v>
      </c>
      <c r="H191" t="s">
        <v>74</v>
      </c>
      <c r="I191" t="s">
        <v>4135</v>
      </c>
      <c r="J191" t="s">
        <v>4136</v>
      </c>
      <c r="K191" t="s">
        <v>74</v>
      </c>
      <c r="L191" t="s">
        <v>74</v>
      </c>
      <c r="M191" t="s">
        <v>78</v>
      </c>
      <c r="N191" t="s">
        <v>79</v>
      </c>
      <c r="O191" t="s">
        <v>74</v>
      </c>
      <c r="P191" t="s">
        <v>74</v>
      </c>
      <c r="Q191" t="s">
        <v>74</v>
      </c>
      <c r="R191" t="s">
        <v>74</v>
      </c>
      <c r="S191" t="s">
        <v>74</v>
      </c>
      <c r="T191" t="s">
        <v>4137</v>
      </c>
      <c r="U191" t="s">
        <v>4138</v>
      </c>
      <c r="V191" t="s">
        <v>4139</v>
      </c>
      <c r="W191" t="s">
        <v>4140</v>
      </c>
      <c r="X191" t="s">
        <v>4141</v>
      </c>
      <c r="Y191" t="s">
        <v>4142</v>
      </c>
      <c r="Z191" t="s">
        <v>4143</v>
      </c>
      <c r="AA191" t="s">
        <v>4144</v>
      </c>
      <c r="AB191" t="s">
        <v>4145</v>
      </c>
      <c r="AC191" t="s">
        <v>4146</v>
      </c>
      <c r="AD191" t="s">
        <v>4147</v>
      </c>
      <c r="AE191" t="s">
        <v>4148</v>
      </c>
      <c r="AF191" t="s">
        <v>74</v>
      </c>
      <c r="AG191">
        <v>78</v>
      </c>
      <c r="AH191">
        <v>41</v>
      </c>
      <c r="AI191">
        <v>49</v>
      </c>
      <c r="AJ191">
        <v>0</v>
      </c>
      <c r="AK191">
        <v>53</v>
      </c>
      <c r="AL191" t="s">
        <v>1097</v>
      </c>
      <c r="AM191" t="s">
        <v>1098</v>
      </c>
      <c r="AN191" t="s">
        <v>1099</v>
      </c>
      <c r="AO191" t="s">
        <v>4149</v>
      </c>
      <c r="AP191" t="s">
        <v>4150</v>
      </c>
      <c r="AQ191" t="s">
        <v>74</v>
      </c>
      <c r="AR191" t="s">
        <v>4151</v>
      </c>
      <c r="AS191" t="s">
        <v>4152</v>
      </c>
      <c r="AT191" t="s">
        <v>368</v>
      </c>
      <c r="AU191">
        <v>2019</v>
      </c>
      <c r="AV191">
        <v>10</v>
      </c>
      <c r="AW191">
        <v>5</v>
      </c>
      <c r="AX191" t="s">
        <v>74</v>
      </c>
      <c r="AY191" t="s">
        <v>74</v>
      </c>
      <c r="AZ191" t="s">
        <v>74</v>
      </c>
      <c r="BA191" t="s">
        <v>74</v>
      </c>
      <c r="BB191">
        <v>1003</v>
      </c>
      <c r="BC191">
        <v>1024</v>
      </c>
      <c r="BD191" t="s">
        <v>74</v>
      </c>
      <c r="BE191" t="s">
        <v>4153</v>
      </c>
      <c r="BF191" t="str">
        <f>HYPERLINK("http://dx.doi.org/10.1007/s13042-017-0778-1","http://dx.doi.org/10.1007/s13042-017-0778-1")</f>
        <v>http://dx.doi.org/10.1007/s13042-017-0778-1</v>
      </c>
      <c r="BG191" t="s">
        <v>74</v>
      </c>
      <c r="BH191" t="s">
        <v>74</v>
      </c>
      <c r="BI191">
        <v>22</v>
      </c>
      <c r="BJ191" t="s">
        <v>807</v>
      </c>
      <c r="BK191" t="s">
        <v>902</v>
      </c>
      <c r="BL191" t="s">
        <v>103</v>
      </c>
      <c r="BM191" t="s">
        <v>4154</v>
      </c>
      <c r="BN191" t="s">
        <v>74</v>
      </c>
      <c r="BO191" t="s">
        <v>74</v>
      </c>
      <c r="BP191" t="s">
        <v>74</v>
      </c>
      <c r="BQ191" t="s">
        <v>74</v>
      </c>
      <c r="BR191" t="s">
        <v>106</v>
      </c>
      <c r="BS191" t="s">
        <v>4155</v>
      </c>
      <c r="BT191" t="str">
        <f>HYPERLINK("https%3A%2F%2Fwww.webofscience.com%2Fwos%2Fwoscc%2Ffull-record%2FWOS:000465596100015","View Full Record in Web of Science")</f>
        <v>View Full Record in Web of Science</v>
      </c>
    </row>
    <row r="192" spans="1:72" x14ac:dyDescent="0.25">
      <c r="A192" t="s">
        <v>72</v>
      </c>
      <c r="B192" t="s">
        <v>4156</v>
      </c>
      <c r="C192" t="s">
        <v>74</v>
      </c>
      <c r="D192" t="s">
        <v>74</v>
      </c>
      <c r="E192" t="s">
        <v>74</v>
      </c>
      <c r="F192" t="s">
        <v>4157</v>
      </c>
      <c r="G192" t="s">
        <v>74</v>
      </c>
      <c r="H192" t="s">
        <v>74</v>
      </c>
      <c r="I192" t="s">
        <v>4158</v>
      </c>
      <c r="J192" t="s">
        <v>4159</v>
      </c>
      <c r="K192" t="s">
        <v>74</v>
      </c>
      <c r="L192" t="s">
        <v>74</v>
      </c>
      <c r="M192" t="s">
        <v>78</v>
      </c>
      <c r="N192" t="s">
        <v>79</v>
      </c>
      <c r="O192" t="s">
        <v>74</v>
      </c>
      <c r="P192" t="s">
        <v>74</v>
      </c>
      <c r="Q192" t="s">
        <v>74</v>
      </c>
      <c r="R192" t="s">
        <v>74</v>
      </c>
      <c r="S192" t="s">
        <v>74</v>
      </c>
      <c r="T192" t="s">
        <v>4160</v>
      </c>
      <c r="U192" t="s">
        <v>74</v>
      </c>
      <c r="V192" t="s">
        <v>4161</v>
      </c>
      <c r="W192" t="s">
        <v>4162</v>
      </c>
      <c r="X192" t="s">
        <v>4163</v>
      </c>
      <c r="Y192" t="s">
        <v>4164</v>
      </c>
      <c r="Z192" t="s">
        <v>74</v>
      </c>
      <c r="AA192" t="s">
        <v>74</v>
      </c>
      <c r="AB192" t="s">
        <v>74</v>
      </c>
      <c r="AC192" t="s">
        <v>4165</v>
      </c>
      <c r="AD192" t="s">
        <v>4166</v>
      </c>
      <c r="AE192" t="s">
        <v>4167</v>
      </c>
      <c r="AF192" t="s">
        <v>74</v>
      </c>
      <c r="AG192">
        <v>22</v>
      </c>
      <c r="AH192">
        <v>1</v>
      </c>
      <c r="AI192">
        <v>1</v>
      </c>
      <c r="AJ192">
        <v>0</v>
      </c>
      <c r="AK192">
        <v>2</v>
      </c>
      <c r="AL192" t="s">
        <v>4168</v>
      </c>
      <c r="AM192" t="s">
        <v>4169</v>
      </c>
      <c r="AN192" t="s">
        <v>4170</v>
      </c>
      <c r="AO192" t="s">
        <v>4171</v>
      </c>
      <c r="AP192" t="s">
        <v>4172</v>
      </c>
      <c r="AQ192" t="s">
        <v>74</v>
      </c>
      <c r="AR192" t="s">
        <v>4173</v>
      </c>
      <c r="AS192" t="s">
        <v>4174</v>
      </c>
      <c r="AT192" t="s">
        <v>4175</v>
      </c>
      <c r="AU192">
        <v>2016</v>
      </c>
      <c r="AV192">
        <v>8</v>
      </c>
      <c r="AW192">
        <v>2</v>
      </c>
      <c r="AX192" t="s">
        <v>74</v>
      </c>
      <c r="AY192" t="s">
        <v>74</v>
      </c>
      <c r="AZ192" t="s">
        <v>247</v>
      </c>
      <c r="BA192" t="s">
        <v>74</v>
      </c>
      <c r="BB192">
        <v>21</v>
      </c>
      <c r="BC192">
        <v>35</v>
      </c>
      <c r="BD192" t="s">
        <v>74</v>
      </c>
      <c r="BE192" t="s">
        <v>4176</v>
      </c>
      <c r="BF192" t="str">
        <f>HYPERLINK("http://dx.doi.org/10.4018/IJITN.2016040103","http://dx.doi.org/10.4018/IJITN.2016040103")</f>
        <v>http://dx.doi.org/10.4018/IJITN.2016040103</v>
      </c>
      <c r="BG192" t="s">
        <v>74</v>
      </c>
      <c r="BH192" t="s">
        <v>74</v>
      </c>
      <c r="BI192">
        <v>15</v>
      </c>
      <c r="BJ192" t="s">
        <v>4177</v>
      </c>
      <c r="BK192" t="s">
        <v>102</v>
      </c>
      <c r="BL192" t="s">
        <v>4177</v>
      </c>
      <c r="BM192" t="s">
        <v>4178</v>
      </c>
      <c r="BN192" t="s">
        <v>74</v>
      </c>
      <c r="BO192" t="s">
        <v>74</v>
      </c>
      <c r="BP192" t="s">
        <v>74</v>
      </c>
      <c r="BQ192" t="s">
        <v>74</v>
      </c>
      <c r="BR192" t="s">
        <v>106</v>
      </c>
      <c r="BS192" t="s">
        <v>4179</v>
      </c>
      <c r="BT192" t="str">
        <f>HYPERLINK("https%3A%2F%2Fwww.webofscience.com%2Fwos%2Fwoscc%2Ffull-record%2FWOS:000404078200004","View Full Record in Web of Science")</f>
        <v>View Full Record in Web of Science</v>
      </c>
    </row>
    <row r="193" spans="1:72" x14ac:dyDescent="0.25">
      <c r="A193" t="s">
        <v>108</v>
      </c>
      <c r="B193" t="s">
        <v>4180</v>
      </c>
      <c r="C193" t="s">
        <v>74</v>
      </c>
      <c r="D193" t="s">
        <v>4181</v>
      </c>
      <c r="E193" t="s">
        <v>74</v>
      </c>
      <c r="F193" t="s">
        <v>4182</v>
      </c>
      <c r="G193" t="s">
        <v>74</v>
      </c>
      <c r="H193" t="s">
        <v>74</v>
      </c>
      <c r="I193" t="s">
        <v>4183</v>
      </c>
      <c r="J193" t="s">
        <v>4184</v>
      </c>
      <c r="K193" t="s">
        <v>4185</v>
      </c>
      <c r="L193" t="s">
        <v>74</v>
      </c>
      <c r="M193" t="s">
        <v>78</v>
      </c>
      <c r="N193" t="s">
        <v>115</v>
      </c>
      <c r="O193" t="s">
        <v>4186</v>
      </c>
      <c r="P193" t="s">
        <v>4187</v>
      </c>
      <c r="Q193" t="s">
        <v>4188</v>
      </c>
      <c r="R193" t="s">
        <v>4189</v>
      </c>
      <c r="S193" t="s">
        <v>74</v>
      </c>
      <c r="T193" t="s">
        <v>74</v>
      </c>
      <c r="U193" t="s">
        <v>74</v>
      </c>
      <c r="V193" t="s">
        <v>4190</v>
      </c>
      <c r="W193" t="s">
        <v>4191</v>
      </c>
      <c r="X193" t="s">
        <v>4192</v>
      </c>
      <c r="Y193" t="s">
        <v>4193</v>
      </c>
      <c r="Z193" t="s">
        <v>4194</v>
      </c>
      <c r="AA193" t="s">
        <v>4195</v>
      </c>
      <c r="AB193" t="s">
        <v>4196</v>
      </c>
      <c r="AC193" t="s">
        <v>74</v>
      </c>
      <c r="AD193" t="s">
        <v>74</v>
      </c>
      <c r="AE193" t="s">
        <v>74</v>
      </c>
      <c r="AF193" t="s">
        <v>74</v>
      </c>
      <c r="AG193">
        <v>8</v>
      </c>
      <c r="AH193">
        <v>0</v>
      </c>
      <c r="AI193">
        <v>0</v>
      </c>
      <c r="AJ193">
        <v>0</v>
      </c>
      <c r="AK193">
        <v>1</v>
      </c>
      <c r="AL193" t="s">
        <v>465</v>
      </c>
      <c r="AM193" t="s">
        <v>92</v>
      </c>
      <c r="AN193" t="s">
        <v>480</v>
      </c>
      <c r="AO193" t="s">
        <v>4197</v>
      </c>
      <c r="AP193" t="s">
        <v>74</v>
      </c>
      <c r="AQ193" t="s">
        <v>4198</v>
      </c>
      <c r="AR193" t="s">
        <v>4199</v>
      </c>
      <c r="AS193" t="s">
        <v>74</v>
      </c>
      <c r="AT193" t="s">
        <v>74</v>
      </c>
      <c r="AU193">
        <v>2015</v>
      </c>
      <c r="AV193" t="s">
        <v>74</v>
      </c>
      <c r="AW193" t="s">
        <v>74</v>
      </c>
      <c r="AX193" t="s">
        <v>74</v>
      </c>
      <c r="AY193" t="s">
        <v>74</v>
      </c>
      <c r="AZ193" t="s">
        <v>74</v>
      </c>
      <c r="BA193" t="s">
        <v>74</v>
      </c>
      <c r="BB193">
        <v>66</v>
      </c>
      <c r="BC193">
        <v>69</v>
      </c>
      <c r="BD193" t="s">
        <v>74</v>
      </c>
      <c r="BE193" t="s">
        <v>4200</v>
      </c>
      <c r="BF193" t="str">
        <f>HYPERLINK("http://dx.doi.org/10.1109/TENSYMP.2015.15","http://dx.doi.org/10.1109/TENSYMP.2015.15")</f>
        <v>http://dx.doi.org/10.1109/TENSYMP.2015.15</v>
      </c>
      <c r="BG193" t="s">
        <v>74</v>
      </c>
      <c r="BH193" t="s">
        <v>74</v>
      </c>
      <c r="BI193">
        <v>4</v>
      </c>
      <c r="BJ193" t="s">
        <v>1736</v>
      </c>
      <c r="BK193" t="s">
        <v>203</v>
      </c>
      <c r="BL193" t="s">
        <v>1737</v>
      </c>
      <c r="BM193" t="s">
        <v>4201</v>
      </c>
      <c r="BN193" t="s">
        <v>74</v>
      </c>
      <c r="BO193" t="s">
        <v>74</v>
      </c>
      <c r="BP193" t="s">
        <v>74</v>
      </c>
      <c r="BQ193" t="s">
        <v>74</v>
      </c>
      <c r="BR193" t="s">
        <v>106</v>
      </c>
      <c r="BS193" t="s">
        <v>4202</v>
      </c>
      <c r="BT193" t="str">
        <f>HYPERLINK("https%3A%2F%2Fwww.webofscience.com%2Fwos%2Fwoscc%2Ffull-record%2FWOS:000380516300017","View Full Record in Web of Science")</f>
        <v>View Full Record in Web of Science</v>
      </c>
    </row>
    <row r="194" spans="1:72" x14ac:dyDescent="0.25">
      <c r="A194" t="s">
        <v>72</v>
      </c>
      <c r="B194" t="s">
        <v>4203</v>
      </c>
      <c r="C194" t="s">
        <v>74</v>
      </c>
      <c r="D194" t="s">
        <v>74</v>
      </c>
      <c r="E194" t="s">
        <v>74</v>
      </c>
      <c r="F194" t="s">
        <v>4204</v>
      </c>
      <c r="G194" t="s">
        <v>74</v>
      </c>
      <c r="H194" t="s">
        <v>74</v>
      </c>
      <c r="I194" t="s">
        <v>4205</v>
      </c>
      <c r="J194" t="s">
        <v>1532</v>
      </c>
      <c r="K194" t="s">
        <v>74</v>
      </c>
      <c r="L194" t="s">
        <v>74</v>
      </c>
      <c r="M194" t="s">
        <v>78</v>
      </c>
      <c r="N194" t="s">
        <v>79</v>
      </c>
      <c r="O194" t="s">
        <v>74</v>
      </c>
      <c r="P194" t="s">
        <v>74</v>
      </c>
      <c r="Q194" t="s">
        <v>74</v>
      </c>
      <c r="R194" t="s">
        <v>74</v>
      </c>
      <c r="S194" t="s">
        <v>74</v>
      </c>
      <c r="T194" t="s">
        <v>4206</v>
      </c>
      <c r="U194" t="s">
        <v>3242</v>
      </c>
      <c r="V194" t="s">
        <v>4207</v>
      </c>
      <c r="W194" t="s">
        <v>4208</v>
      </c>
      <c r="X194" t="s">
        <v>4209</v>
      </c>
      <c r="Y194" t="s">
        <v>4210</v>
      </c>
      <c r="Z194" t="s">
        <v>4211</v>
      </c>
      <c r="AA194" t="s">
        <v>4212</v>
      </c>
      <c r="AB194" t="s">
        <v>4213</v>
      </c>
      <c r="AC194" t="s">
        <v>4214</v>
      </c>
      <c r="AD194" t="s">
        <v>4215</v>
      </c>
      <c r="AE194" t="s">
        <v>4216</v>
      </c>
      <c r="AF194" t="s">
        <v>74</v>
      </c>
      <c r="AG194">
        <v>51</v>
      </c>
      <c r="AH194">
        <v>7</v>
      </c>
      <c r="AI194">
        <v>7</v>
      </c>
      <c r="AJ194">
        <v>0</v>
      </c>
      <c r="AK194">
        <v>11</v>
      </c>
      <c r="AL194" t="s">
        <v>895</v>
      </c>
      <c r="AM194" t="s">
        <v>896</v>
      </c>
      <c r="AN194" t="s">
        <v>897</v>
      </c>
      <c r="AO194" t="s">
        <v>1541</v>
      </c>
      <c r="AP194" t="s">
        <v>74</v>
      </c>
      <c r="AQ194" t="s">
        <v>74</v>
      </c>
      <c r="AR194" t="s">
        <v>1542</v>
      </c>
      <c r="AS194" t="s">
        <v>1543</v>
      </c>
      <c r="AT194" t="s">
        <v>1251</v>
      </c>
      <c r="AU194">
        <v>2024</v>
      </c>
      <c r="AV194">
        <v>11</v>
      </c>
      <c r="AW194">
        <v>2</v>
      </c>
      <c r="AX194" t="s">
        <v>74</v>
      </c>
      <c r="AY194" t="s">
        <v>74</v>
      </c>
      <c r="AZ194" t="s">
        <v>74</v>
      </c>
      <c r="BA194" t="s">
        <v>74</v>
      </c>
      <c r="BB194">
        <v>1685</v>
      </c>
      <c r="BC194">
        <v>1695</v>
      </c>
      <c r="BD194" t="s">
        <v>74</v>
      </c>
      <c r="BE194" t="s">
        <v>4217</v>
      </c>
      <c r="BF194" t="str">
        <f>HYPERLINK("http://dx.doi.org/10.1109/TCSS.2023.3252611","http://dx.doi.org/10.1109/TCSS.2023.3252611")</f>
        <v>http://dx.doi.org/10.1109/TCSS.2023.3252611</v>
      </c>
      <c r="BG194" t="s">
        <v>74</v>
      </c>
      <c r="BH194" t="s">
        <v>4218</v>
      </c>
      <c r="BI194">
        <v>11</v>
      </c>
      <c r="BJ194" t="s">
        <v>1546</v>
      </c>
      <c r="BK194" t="s">
        <v>902</v>
      </c>
      <c r="BL194" t="s">
        <v>103</v>
      </c>
      <c r="BM194" t="s">
        <v>4219</v>
      </c>
      <c r="BN194" t="s">
        <v>74</v>
      </c>
      <c r="BO194" t="s">
        <v>74</v>
      </c>
      <c r="BP194" t="s">
        <v>74</v>
      </c>
      <c r="BQ194" t="s">
        <v>74</v>
      </c>
      <c r="BR194" t="s">
        <v>106</v>
      </c>
      <c r="BS194" t="s">
        <v>4220</v>
      </c>
      <c r="BT194" t="str">
        <f>HYPERLINK("https%3A%2F%2Fwww.webofscience.com%2Fwos%2Fwoscc%2Ffull-record%2FWOS:000958809600001","View Full Record in Web of Science")</f>
        <v>View Full Record in Web of Science</v>
      </c>
    </row>
    <row r="195" spans="1:72" x14ac:dyDescent="0.25">
      <c r="A195" t="s">
        <v>108</v>
      </c>
      <c r="B195" t="s">
        <v>4221</v>
      </c>
      <c r="C195" t="s">
        <v>74</v>
      </c>
      <c r="D195" t="s">
        <v>4222</v>
      </c>
      <c r="E195" t="s">
        <v>74</v>
      </c>
      <c r="F195" t="s">
        <v>4223</v>
      </c>
      <c r="G195" t="s">
        <v>74</v>
      </c>
      <c r="H195" t="s">
        <v>74</v>
      </c>
      <c r="I195" t="s">
        <v>4224</v>
      </c>
      <c r="J195" t="s">
        <v>4225</v>
      </c>
      <c r="K195" t="s">
        <v>4226</v>
      </c>
      <c r="L195" t="s">
        <v>74</v>
      </c>
      <c r="M195" t="s">
        <v>78</v>
      </c>
      <c r="N195" t="s">
        <v>115</v>
      </c>
      <c r="O195" t="s">
        <v>4227</v>
      </c>
      <c r="P195" t="s">
        <v>4228</v>
      </c>
      <c r="Q195" t="s">
        <v>817</v>
      </c>
      <c r="R195" t="s">
        <v>74</v>
      </c>
      <c r="S195" t="s">
        <v>74</v>
      </c>
      <c r="T195" t="s">
        <v>4229</v>
      </c>
      <c r="U195" t="s">
        <v>74</v>
      </c>
      <c r="V195" t="s">
        <v>4230</v>
      </c>
      <c r="W195" t="s">
        <v>4231</v>
      </c>
      <c r="X195" t="s">
        <v>4232</v>
      </c>
      <c r="Y195" t="s">
        <v>4233</v>
      </c>
      <c r="Z195" t="s">
        <v>4234</v>
      </c>
      <c r="AA195" t="s">
        <v>74</v>
      </c>
      <c r="AB195" t="s">
        <v>74</v>
      </c>
      <c r="AC195" t="s">
        <v>74</v>
      </c>
      <c r="AD195" t="s">
        <v>74</v>
      </c>
      <c r="AE195" t="s">
        <v>74</v>
      </c>
      <c r="AF195" t="s">
        <v>74</v>
      </c>
      <c r="AG195">
        <v>16</v>
      </c>
      <c r="AH195">
        <v>5</v>
      </c>
      <c r="AI195">
        <v>5</v>
      </c>
      <c r="AJ195">
        <v>0</v>
      </c>
      <c r="AK195">
        <v>0</v>
      </c>
      <c r="AL195" t="s">
        <v>465</v>
      </c>
      <c r="AM195" t="s">
        <v>92</v>
      </c>
      <c r="AN195" t="s">
        <v>480</v>
      </c>
      <c r="AO195" t="s">
        <v>4235</v>
      </c>
      <c r="AP195" t="s">
        <v>4236</v>
      </c>
      <c r="AQ195" t="s">
        <v>4237</v>
      </c>
      <c r="AR195" t="s">
        <v>4238</v>
      </c>
      <c r="AS195" t="s">
        <v>74</v>
      </c>
      <c r="AT195" t="s">
        <v>74</v>
      </c>
      <c r="AU195">
        <v>2015</v>
      </c>
      <c r="AV195" t="s">
        <v>74</v>
      </c>
      <c r="AW195" t="s">
        <v>74</v>
      </c>
      <c r="AX195" t="s">
        <v>74</v>
      </c>
      <c r="AY195" t="s">
        <v>74</v>
      </c>
      <c r="AZ195" t="s">
        <v>74</v>
      </c>
      <c r="BA195" t="s">
        <v>74</v>
      </c>
      <c r="BB195">
        <v>111</v>
      </c>
      <c r="BC195">
        <v>114</v>
      </c>
      <c r="BD195" t="s">
        <v>74</v>
      </c>
      <c r="BE195" t="s">
        <v>74</v>
      </c>
      <c r="BF195" t="s">
        <v>74</v>
      </c>
      <c r="BG195" t="s">
        <v>74</v>
      </c>
      <c r="BH195" t="s">
        <v>74</v>
      </c>
      <c r="BI195">
        <v>4</v>
      </c>
      <c r="BJ195" t="s">
        <v>807</v>
      </c>
      <c r="BK195" t="s">
        <v>203</v>
      </c>
      <c r="BL195" t="s">
        <v>103</v>
      </c>
      <c r="BM195" t="s">
        <v>4239</v>
      </c>
      <c r="BN195" t="s">
        <v>74</v>
      </c>
      <c r="BO195" t="s">
        <v>74</v>
      </c>
      <c r="BP195" t="s">
        <v>74</v>
      </c>
      <c r="BQ195" t="s">
        <v>74</v>
      </c>
      <c r="BR195" t="s">
        <v>106</v>
      </c>
      <c r="BS195" t="s">
        <v>4240</v>
      </c>
      <c r="BT195" t="str">
        <f>HYPERLINK("https%3A%2F%2Fwww.webofscience.com%2Fwos%2Fwoscc%2Ffull-record%2FWOS:000380428000028","View Full Record in Web of Science")</f>
        <v>View Full Record in Web of Science</v>
      </c>
    </row>
    <row r="196" spans="1:72" x14ac:dyDescent="0.25">
      <c r="A196" t="s">
        <v>72</v>
      </c>
      <c r="B196" t="s">
        <v>4241</v>
      </c>
      <c r="C196" t="s">
        <v>74</v>
      </c>
      <c r="D196" t="s">
        <v>74</v>
      </c>
      <c r="E196" t="s">
        <v>74</v>
      </c>
      <c r="F196" t="s">
        <v>4242</v>
      </c>
      <c r="G196" t="s">
        <v>74</v>
      </c>
      <c r="H196" t="s">
        <v>74</v>
      </c>
      <c r="I196" t="s">
        <v>4243</v>
      </c>
      <c r="J196" t="s">
        <v>882</v>
      </c>
      <c r="K196" t="s">
        <v>74</v>
      </c>
      <c r="L196" t="s">
        <v>74</v>
      </c>
      <c r="M196" t="s">
        <v>78</v>
      </c>
      <c r="N196" t="s">
        <v>79</v>
      </c>
      <c r="O196" t="s">
        <v>74</v>
      </c>
      <c r="P196" t="s">
        <v>74</v>
      </c>
      <c r="Q196" t="s">
        <v>74</v>
      </c>
      <c r="R196" t="s">
        <v>74</v>
      </c>
      <c r="S196" t="s">
        <v>74</v>
      </c>
      <c r="T196" t="s">
        <v>4244</v>
      </c>
      <c r="U196" t="s">
        <v>4245</v>
      </c>
      <c r="V196" t="s">
        <v>4246</v>
      </c>
      <c r="W196" t="s">
        <v>4247</v>
      </c>
      <c r="X196" t="s">
        <v>4248</v>
      </c>
      <c r="Y196" t="s">
        <v>4249</v>
      </c>
      <c r="Z196" t="s">
        <v>4250</v>
      </c>
      <c r="AA196" t="s">
        <v>4251</v>
      </c>
      <c r="AB196" t="s">
        <v>4252</v>
      </c>
      <c r="AC196" t="s">
        <v>4253</v>
      </c>
      <c r="AD196" t="s">
        <v>4254</v>
      </c>
      <c r="AE196" t="s">
        <v>4255</v>
      </c>
      <c r="AF196" t="s">
        <v>74</v>
      </c>
      <c r="AG196">
        <v>39</v>
      </c>
      <c r="AH196">
        <v>13</v>
      </c>
      <c r="AI196">
        <v>16</v>
      </c>
      <c r="AJ196">
        <v>0</v>
      </c>
      <c r="AK196">
        <v>20</v>
      </c>
      <c r="AL196" t="s">
        <v>895</v>
      </c>
      <c r="AM196" t="s">
        <v>896</v>
      </c>
      <c r="AN196" t="s">
        <v>897</v>
      </c>
      <c r="AO196" t="s">
        <v>898</v>
      </c>
      <c r="AP196" t="s">
        <v>74</v>
      </c>
      <c r="AQ196" t="s">
        <v>74</v>
      </c>
      <c r="AR196" t="s">
        <v>882</v>
      </c>
      <c r="AS196" t="s">
        <v>899</v>
      </c>
      <c r="AT196" t="s">
        <v>74</v>
      </c>
      <c r="AU196">
        <v>2019</v>
      </c>
      <c r="AV196">
        <v>7</v>
      </c>
      <c r="AW196" t="s">
        <v>74</v>
      </c>
      <c r="AX196" t="s">
        <v>74</v>
      </c>
      <c r="AY196" t="s">
        <v>74</v>
      </c>
      <c r="AZ196" t="s">
        <v>74</v>
      </c>
      <c r="BA196" t="s">
        <v>74</v>
      </c>
      <c r="BB196">
        <v>116014</v>
      </c>
      <c r="BC196">
        <v>116026</v>
      </c>
      <c r="BD196" t="s">
        <v>74</v>
      </c>
      <c r="BE196" t="s">
        <v>4256</v>
      </c>
      <c r="BF196" t="str">
        <f>HYPERLINK("http://dx.doi.org/10.1109/ACCESS.2019.2925819","http://dx.doi.org/10.1109/ACCESS.2019.2925819")</f>
        <v>http://dx.doi.org/10.1109/ACCESS.2019.2925819</v>
      </c>
      <c r="BG196" t="s">
        <v>74</v>
      </c>
      <c r="BH196" t="s">
        <v>74</v>
      </c>
      <c r="BI196">
        <v>13</v>
      </c>
      <c r="BJ196" t="s">
        <v>901</v>
      </c>
      <c r="BK196" t="s">
        <v>745</v>
      </c>
      <c r="BL196" t="s">
        <v>903</v>
      </c>
      <c r="BM196" t="s">
        <v>4257</v>
      </c>
      <c r="BN196" t="s">
        <v>74</v>
      </c>
      <c r="BO196" t="s">
        <v>398</v>
      </c>
      <c r="BP196" t="s">
        <v>74</v>
      </c>
      <c r="BQ196" t="s">
        <v>74</v>
      </c>
      <c r="BR196" t="s">
        <v>106</v>
      </c>
      <c r="BS196" t="s">
        <v>4258</v>
      </c>
      <c r="BT196" t="str">
        <f>HYPERLINK("https%3A%2F%2Fwww.webofscience.com%2Fwos%2Fwoscc%2Ffull-record%2FWOS:000484230200036","View Full Record in Web of Science")</f>
        <v>View Full Record in Web of Science</v>
      </c>
    </row>
    <row r="197" spans="1:72" x14ac:dyDescent="0.25">
      <c r="A197" t="s">
        <v>108</v>
      </c>
      <c r="B197" t="s">
        <v>4259</v>
      </c>
      <c r="C197" t="s">
        <v>74</v>
      </c>
      <c r="D197" t="s">
        <v>4260</v>
      </c>
      <c r="E197" t="s">
        <v>74</v>
      </c>
      <c r="F197" t="s">
        <v>4261</v>
      </c>
      <c r="G197" t="s">
        <v>74</v>
      </c>
      <c r="H197" t="s">
        <v>74</v>
      </c>
      <c r="I197" t="s">
        <v>4262</v>
      </c>
      <c r="J197" t="s">
        <v>4263</v>
      </c>
      <c r="K197" t="s">
        <v>74</v>
      </c>
      <c r="L197" t="s">
        <v>74</v>
      </c>
      <c r="M197" t="s">
        <v>78</v>
      </c>
      <c r="N197" t="s">
        <v>115</v>
      </c>
      <c r="O197" t="s">
        <v>4264</v>
      </c>
      <c r="P197" t="s">
        <v>4265</v>
      </c>
      <c r="Q197" t="s">
        <v>4266</v>
      </c>
      <c r="R197" t="s">
        <v>4267</v>
      </c>
      <c r="S197" t="s">
        <v>74</v>
      </c>
      <c r="T197" t="s">
        <v>4268</v>
      </c>
      <c r="U197" t="s">
        <v>74</v>
      </c>
      <c r="V197" t="s">
        <v>4269</v>
      </c>
      <c r="W197" t="s">
        <v>4270</v>
      </c>
      <c r="X197" t="s">
        <v>4271</v>
      </c>
      <c r="Y197" t="s">
        <v>4272</v>
      </c>
      <c r="Z197" t="s">
        <v>4273</v>
      </c>
      <c r="AA197" t="s">
        <v>4274</v>
      </c>
      <c r="AB197" t="s">
        <v>4275</v>
      </c>
      <c r="AC197" t="s">
        <v>74</v>
      </c>
      <c r="AD197" t="s">
        <v>74</v>
      </c>
      <c r="AE197" t="s">
        <v>74</v>
      </c>
      <c r="AF197" t="s">
        <v>74</v>
      </c>
      <c r="AG197">
        <v>35</v>
      </c>
      <c r="AH197">
        <v>24</v>
      </c>
      <c r="AI197">
        <v>29</v>
      </c>
      <c r="AJ197">
        <v>0</v>
      </c>
      <c r="AK197">
        <v>3</v>
      </c>
      <c r="AL197" t="s">
        <v>291</v>
      </c>
      <c r="AM197" t="s">
        <v>92</v>
      </c>
      <c r="AN197" t="s">
        <v>341</v>
      </c>
      <c r="AO197" t="s">
        <v>74</v>
      </c>
      <c r="AP197" t="s">
        <v>74</v>
      </c>
      <c r="AQ197" t="s">
        <v>4276</v>
      </c>
      <c r="AR197" t="s">
        <v>74</v>
      </c>
      <c r="AS197" t="s">
        <v>74</v>
      </c>
      <c r="AT197" t="s">
        <v>74</v>
      </c>
      <c r="AU197">
        <v>2019</v>
      </c>
      <c r="AV197" t="s">
        <v>74</v>
      </c>
      <c r="AW197" t="s">
        <v>74</v>
      </c>
      <c r="AX197" t="s">
        <v>74</v>
      </c>
      <c r="AY197" t="s">
        <v>74</v>
      </c>
      <c r="AZ197" t="s">
        <v>74</v>
      </c>
      <c r="BA197" t="s">
        <v>74</v>
      </c>
      <c r="BB197">
        <v>286</v>
      </c>
      <c r="BC197">
        <v>292</v>
      </c>
      <c r="BD197" t="s">
        <v>74</v>
      </c>
      <c r="BE197" t="s">
        <v>4277</v>
      </c>
      <c r="BF197" t="str">
        <f>HYPERLINK("http://dx.doi.org/10.1145/3350546.3352532","http://dx.doi.org/10.1145/3350546.3352532")</f>
        <v>http://dx.doi.org/10.1145/3350546.3352532</v>
      </c>
      <c r="BG197" t="s">
        <v>74</v>
      </c>
      <c r="BH197" t="s">
        <v>74</v>
      </c>
      <c r="BI197">
        <v>7</v>
      </c>
      <c r="BJ197" t="s">
        <v>807</v>
      </c>
      <c r="BK197" t="s">
        <v>203</v>
      </c>
      <c r="BL197" t="s">
        <v>103</v>
      </c>
      <c r="BM197" t="s">
        <v>4278</v>
      </c>
      <c r="BN197" t="s">
        <v>74</v>
      </c>
      <c r="BO197" t="s">
        <v>74</v>
      </c>
      <c r="BP197" t="s">
        <v>74</v>
      </c>
      <c r="BQ197" t="s">
        <v>74</v>
      </c>
      <c r="BR197" t="s">
        <v>106</v>
      </c>
      <c r="BS197" t="s">
        <v>4279</v>
      </c>
      <c r="BT197" t="str">
        <f>HYPERLINK("https%3A%2F%2Fwww.webofscience.com%2Fwos%2Fwoscc%2Ffull-record%2FWOS:000519076200039","View Full Record in Web of Science")</f>
        <v>View Full Record in Web of Science</v>
      </c>
    </row>
    <row r="198" spans="1:72" x14ac:dyDescent="0.25">
      <c r="A198" t="s">
        <v>72</v>
      </c>
      <c r="B198" t="s">
        <v>4280</v>
      </c>
      <c r="C198" t="s">
        <v>74</v>
      </c>
      <c r="D198" t="s">
        <v>74</v>
      </c>
      <c r="E198" t="s">
        <v>74</v>
      </c>
      <c r="F198" t="s">
        <v>4281</v>
      </c>
      <c r="G198" t="s">
        <v>74</v>
      </c>
      <c r="H198" t="s">
        <v>74</v>
      </c>
      <c r="I198" t="s">
        <v>4282</v>
      </c>
      <c r="J198" t="s">
        <v>4283</v>
      </c>
      <c r="K198" t="s">
        <v>74</v>
      </c>
      <c r="L198" t="s">
        <v>74</v>
      </c>
      <c r="M198" t="s">
        <v>78</v>
      </c>
      <c r="N198" t="s">
        <v>79</v>
      </c>
      <c r="O198" t="s">
        <v>74</v>
      </c>
      <c r="P198" t="s">
        <v>74</v>
      </c>
      <c r="Q198" t="s">
        <v>74</v>
      </c>
      <c r="R198" t="s">
        <v>74</v>
      </c>
      <c r="S198" t="s">
        <v>74</v>
      </c>
      <c r="T198" t="s">
        <v>4284</v>
      </c>
      <c r="U198" t="s">
        <v>4285</v>
      </c>
      <c r="V198" t="s">
        <v>4286</v>
      </c>
      <c r="W198" t="s">
        <v>4287</v>
      </c>
      <c r="X198" t="s">
        <v>4288</v>
      </c>
      <c r="Y198" t="s">
        <v>4289</v>
      </c>
      <c r="Z198" t="s">
        <v>4290</v>
      </c>
      <c r="AA198" t="s">
        <v>4291</v>
      </c>
      <c r="AB198" t="s">
        <v>4292</v>
      </c>
      <c r="AC198" t="s">
        <v>74</v>
      </c>
      <c r="AD198" t="s">
        <v>74</v>
      </c>
      <c r="AE198" t="s">
        <v>74</v>
      </c>
      <c r="AF198" t="s">
        <v>74</v>
      </c>
      <c r="AG198">
        <v>89</v>
      </c>
      <c r="AH198">
        <v>9</v>
      </c>
      <c r="AI198">
        <v>19</v>
      </c>
      <c r="AJ198">
        <v>0</v>
      </c>
      <c r="AK198">
        <v>28</v>
      </c>
      <c r="AL198" t="s">
        <v>178</v>
      </c>
      <c r="AM198" t="s">
        <v>1005</v>
      </c>
      <c r="AN198" t="s">
        <v>1006</v>
      </c>
      <c r="AO198" t="s">
        <v>4293</v>
      </c>
      <c r="AP198" t="s">
        <v>4294</v>
      </c>
      <c r="AQ198" t="s">
        <v>74</v>
      </c>
      <c r="AR198" t="s">
        <v>4295</v>
      </c>
      <c r="AS198" t="s">
        <v>4296</v>
      </c>
      <c r="AT198" t="s">
        <v>1950</v>
      </c>
      <c r="AU198">
        <v>2018</v>
      </c>
      <c r="AV198">
        <v>21</v>
      </c>
      <c r="AW198">
        <v>1</v>
      </c>
      <c r="AX198" t="s">
        <v>74</v>
      </c>
      <c r="AY198" t="s">
        <v>74</v>
      </c>
      <c r="AZ198" t="s">
        <v>74</v>
      </c>
      <c r="BA198" t="s">
        <v>74</v>
      </c>
      <c r="BB198">
        <v>51</v>
      </c>
      <c r="BC198">
        <v>73</v>
      </c>
      <c r="BD198" t="s">
        <v>74</v>
      </c>
      <c r="BE198" t="s">
        <v>4297</v>
      </c>
      <c r="BF198" t="str">
        <f>HYPERLINK("http://dx.doi.org/10.1007/s11218-017-9407-9","http://dx.doi.org/10.1007/s11218-017-9407-9")</f>
        <v>http://dx.doi.org/10.1007/s11218-017-9407-9</v>
      </c>
      <c r="BG198" t="s">
        <v>74</v>
      </c>
      <c r="BH198" t="s">
        <v>74</v>
      </c>
      <c r="BI198">
        <v>23</v>
      </c>
      <c r="BJ198" t="s">
        <v>249</v>
      </c>
      <c r="BK198" t="s">
        <v>250</v>
      </c>
      <c r="BL198" t="s">
        <v>251</v>
      </c>
      <c r="BM198" t="s">
        <v>4298</v>
      </c>
      <c r="BN198" t="s">
        <v>74</v>
      </c>
      <c r="BO198" t="s">
        <v>74</v>
      </c>
      <c r="BP198" t="s">
        <v>74</v>
      </c>
      <c r="BQ198" t="s">
        <v>74</v>
      </c>
      <c r="BR198" t="s">
        <v>106</v>
      </c>
      <c r="BS198" t="s">
        <v>4299</v>
      </c>
      <c r="BT198" t="str">
        <f>HYPERLINK("https%3A%2F%2Fwww.webofscience.com%2Fwos%2Fwoscc%2Ffull-record%2FWOS:000428628400003","View Full Record in Web of Science")</f>
        <v>View Full Record in Web of Science</v>
      </c>
    </row>
    <row r="199" spans="1:72" x14ac:dyDescent="0.25">
      <c r="A199" t="s">
        <v>72</v>
      </c>
      <c r="B199" t="s">
        <v>4300</v>
      </c>
      <c r="C199" t="s">
        <v>74</v>
      </c>
      <c r="D199" t="s">
        <v>74</v>
      </c>
      <c r="E199" t="s">
        <v>74</v>
      </c>
      <c r="F199" t="s">
        <v>4301</v>
      </c>
      <c r="G199" t="s">
        <v>74</v>
      </c>
      <c r="H199" t="s">
        <v>74</v>
      </c>
      <c r="I199" t="s">
        <v>4302</v>
      </c>
      <c r="J199" t="s">
        <v>4303</v>
      </c>
      <c r="K199" t="s">
        <v>74</v>
      </c>
      <c r="L199" t="s">
        <v>74</v>
      </c>
      <c r="M199" t="s">
        <v>78</v>
      </c>
      <c r="N199" t="s">
        <v>79</v>
      </c>
      <c r="O199" t="s">
        <v>74</v>
      </c>
      <c r="P199" t="s">
        <v>74</v>
      </c>
      <c r="Q199" t="s">
        <v>74</v>
      </c>
      <c r="R199" t="s">
        <v>74</v>
      </c>
      <c r="S199" t="s">
        <v>74</v>
      </c>
      <c r="T199" t="s">
        <v>4304</v>
      </c>
      <c r="U199" t="s">
        <v>74</v>
      </c>
      <c r="V199" t="s">
        <v>4305</v>
      </c>
      <c r="W199" t="s">
        <v>4306</v>
      </c>
      <c r="X199" t="s">
        <v>4307</v>
      </c>
      <c r="Y199" t="s">
        <v>4308</v>
      </c>
      <c r="Z199" t="s">
        <v>4309</v>
      </c>
      <c r="AA199" t="s">
        <v>4310</v>
      </c>
      <c r="AB199" t="s">
        <v>74</v>
      </c>
      <c r="AC199" t="s">
        <v>4311</v>
      </c>
      <c r="AD199" t="s">
        <v>4312</v>
      </c>
      <c r="AE199" t="s">
        <v>4313</v>
      </c>
      <c r="AF199" t="s">
        <v>74</v>
      </c>
      <c r="AG199">
        <v>29</v>
      </c>
      <c r="AH199">
        <v>1</v>
      </c>
      <c r="AI199">
        <v>2</v>
      </c>
      <c r="AJ199">
        <v>1</v>
      </c>
      <c r="AK199">
        <v>17</v>
      </c>
      <c r="AL199" t="s">
        <v>178</v>
      </c>
      <c r="AM199" t="s">
        <v>1005</v>
      </c>
      <c r="AN199" t="s">
        <v>1006</v>
      </c>
      <c r="AO199" t="s">
        <v>4314</v>
      </c>
      <c r="AP199" t="s">
        <v>4315</v>
      </c>
      <c r="AQ199" t="s">
        <v>74</v>
      </c>
      <c r="AR199" t="s">
        <v>4316</v>
      </c>
      <c r="AS199" t="s">
        <v>4317</v>
      </c>
      <c r="AT199" t="s">
        <v>4318</v>
      </c>
      <c r="AU199">
        <v>2023</v>
      </c>
      <c r="AV199">
        <v>56</v>
      </c>
      <c r="AW199">
        <v>10</v>
      </c>
      <c r="AX199" t="s">
        <v>74</v>
      </c>
      <c r="AY199" t="s">
        <v>74</v>
      </c>
      <c r="AZ199" t="s">
        <v>74</v>
      </c>
      <c r="BA199" t="s">
        <v>74</v>
      </c>
      <c r="BB199">
        <v>11123</v>
      </c>
      <c r="BC199">
        <v>11147</v>
      </c>
      <c r="BD199" t="s">
        <v>74</v>
      </c>
      <c r="BE199" t="s">
        <v>4319</v>
      </c>
      <c r="BF199" t="str">
        <f>HYPERLINK("http://dx.doi.org/10.1007/s10462-023-10447-x","http://dx.doi.org/10.1007/s10462-023-10447-x")</f>
        <v>http://dx.doi.org/10.1007/s10462-023-10447-x</v>
      </c>
      <c r="BG199" t="s">
        <v>74</v>
      </c>
      <c r="BH199" t="s">
        <v>4218</v>
      </c>
      <c r="BI199">
        <v>25</v>
      </c>
      <c r="BJ199" t="s">
        <v>807</v>
      </c>
      <c r="BK199" t="s">
        <v>902</v>
      </c>
      <c r="BL199" t="s">
        <v>103</v>
      </c>
      <c r="BM199" t="s">
        <v>4320</v>
      </c>
      <c r="BN199" t="s">
        <v>74</v>
      </c>
      <c r="BO199" t="s">
        <v>74</v>
      </c>
      <c r="BP199" t="s">
        <v>74</v>
      </c>
      <c r="BQ199" t="s">
        <v>74</v>
      </c>
      <c r="BR199" t="s">
        <v>106</v>
      </c>
      <c r="BS199" t="s">
        <v>4321</v>
      </c>
      <c r="BT199" t="str">
        <f>HYPERLINK("https%3A%2F%2Fwww.webofscience.com%2Fwos%2Fwoscc%2Ffull-record%2FWOS:000946638300001","View Full Record in Web of Science")</f>
        <v>View Full Record in Web of Science</v>
      </c>
    </row>
    <row r="200" spans="1:72" x14ac:dyDescent="0.25">
      <c r="A200" t="s">
        <v>72</v>
      </c>
      <c r="B200" t="s">
        <v>4322</v>
      </c>
      <c r="C200" t="s">
        <v>74</v>
      </c>
      <c r="D200" t="s">
        <v>74</v>
      </c>
      <c r="E200" t="s">
        <v>74</v>
      </c>
      <c r="F200" t="s">
        <v>4323</v>
      </c>
      <c r="G200" t="s">
        <v>74</v>
      </c>
      <c r="H200" t="s">
        <v>74</v>
      </c>
      <c r="I200" t="s">
        <v>4324</v>
      </c>
      <c r="J200" t="s">
        <v>3418</v>
      </c>
      <c r="K200" t="s">
        <v>74</v>
      </c>
      <c r="L200" t="s">
        <v>74</v>
      </c>
      <c r="M200" t="s">
        <v>78</v>
      </c>
      <c r="N200" t="s">
        <v>79</v>
      </c>
      <c r="O200" t="s">
        <v>74</v>
      </c>
      <c r="P200" t="s">
        <v>74</v>
      </c>
      <c r="Q200" t="s">
        <v>74</v>
      </c>
      <c r="R200" t="s">
        <v>74</v>
      </c>
      <c r="S200" t="s">
        <v>74</v>
      </c>
      <c r="T200" t="s">
        <v>4325</v>
      </c>
      <c r="U200" t="s">
        <v>74</v>
      </c>
      <c r="V200" t="s">
        <v>4326</v>
      </c>
      <c r="W200" t="s">
        <v>4327</v>
      </c>
      <c r="X200" t="s">
        <v>4328</v>
      </c>
      <c r="Y200" t="s">
        <v>4329</v>
      </c>
      <c r="Z200" t="s">
        <v>4330</v>
      </c>
      <c r="AA200" t="s">
        <v>4331</v>
      </c>
      <c r="AB200" t="s">
        <v>4332</v>
      </c>
      <c r="AC200" t="s">
        <v>74</v>
      </c>
      <c r="AD200" t="s">
        <v>74</v>
      </c>
      <c r="AE200" t="s">
        <v>74</v>
      </c>
      <c r="AF200" t="s">
        <v>74</v>
      </c>
      <c r="AG200">
        <v>32</v>
      </c>
      <c r="AH200">
        <v>2</v>
      </c>
      <c r="AI200">
        <v>2</v>
      </c>
      <c r="AJ200">
        <v>0</v>
      </c>
      <c r="AK200">
        <v>0</v>
      </c>
      <c r="AL200" t="s">
        <v>3427</v>
      </c>
      <c r="AM200" t="s">
        <v>3769</v>
      </c>
      <c r="AN200" t="s">
        <v>3770</v>
      </c>
      <c r="AO200" t="s">
        <v>3430</v>
      </c>
      <c r="AP200" t="s">
        <v>3431</v>
      </c>
      <c r="AQ200" t="s">
        <v>74</v>
      </c>
      <c r="AR200" t="s">
        <v>3432</v>
      </c>
      <c r="AS200" t="s">
        <v>3433</v>
      </c>
      <c r="AT200" t="s">
        <v>4333</v>
      </c>
      <c r="AU200">
        <v>2023</v>
      </c>
      <c r="AV200">
        <v>14</v>
      </c>
      <c r="AW200">
        <v>1</v>
      </c>
      <c r="AX200" t="s">
        <v>74</v>
      </c>
      <c r="AY200" t="s">
        <v>74</v>
      </c>
      <c r="AZ200" t="s">
        <v>74</v>
      </c>
      <c r="BA200" t="s">
        <v>74</v>
      </c>
      <c r="BB200" t="s">
        <v>74</v>
      </c>
      <c r="BC200" t="s">
        <v>74</v>
      </c>
      <c r="BD200">
        <v>14</v>
      </c>
      <c r="BE200" t="s">
        <v>4334</v>
      </c>
      <c r="BF200" t="str">
        <f>HYPERLINK("http://dx.doi.org/10.1007/s13278-023-01173-x","http://dx.doi.org/10.1007/s13278-023-01173-x")</f>
        <v>http://dx.doi.org/10.1007/s13278-023-01173-x</v>
      </c>
      <c r="BG200" t="s">
        <v>74</v>
      </c>
      <c r="BH200" t="s">
        <v>74</v>
      </c>
      <c r="BI200">
        <v>15</v>
      </c>
      <c r="BJ200" t="s">
        <v>852</v>
      </c>
      <c r="BK200" t="s">
        <v>102</v>
      </c>
      <c r="BL200" t="s">
        <v>103</v>
      </c>
      <c r="BM200" t="s">
        <v>4335</v>
      </c>
      <c r="BN200" t="s">
        <v>74</v>
      </c>
      <c r="BO200" t="s">
        <v>74</v>
      </c>
      <c r="BP200" t="s">
        <v>74</v>
      </c>
      <c r="BQ200" t="s">
        <v>74</v>
      </c>
      <c r="BR200" t="s">
        <v>106</v>
      </c>
      <c r="BS200" t="s">
        <v>4336</v>
      </c>
      <c r="BT200" t="str">
        <f>HYPERLINK("https%3A%2F%2Fwww.webofscience.com%2Fwos%2Fwoscc%2Ffull-record%2FWOS:001129308900002","View Full Record in Web of Science")</f>
        <v>View Full Record in Web of Science</v>
      </c>
    </row>
    <row r="201" spans="1:72" x14ac:dyDescent="0.25">
      <c r="A201" t="s">
        <v>72</v>
      </c>
      <c r="B201" t="s">
        <v>4337</v>
      </c>
      <c r="C201" t="s">
        <v>74</v>
      </c>
      <c r="D201" t="s">
        <v>74</v>
      </c>
      <c r="E201" t="s">
        <v>74</v>
      </c>
      <c r="F201" t="s">
        <v>4338</v>
      </c>
      <c r="G201" t="s">
        <v>74</v>
      </c>
      <c r="H201" t="s">
        <v>74</v>
      </c>
      <c r="I201" t="s">
        <v>4339</v>
      </c>
      <c r="J201" t="s">
        <v>4340</v>
      </c>
      <c r="K201" t="s">
        <v>74</v>
      </c>
      <c r="L201" t="s">
        <v>74</v>
      </c>
      <c r="M201" t="s">
        <v>78</v>
      </c>
      <c r="N201" t="s">
        <v>79</v>
      </c>
      <c r="O201" t="s">
        <v>74</v>
      </c>
      <c r="P201" t="s">
        <v>74</v>
      </c>
      <c r="Q201" t="s">
        <v>74</v>
      </c>
      <c r="R201" t="s">
        <v>74</v>
      </c>
      <c r="S201" t="s">
        <v>74</v>
      </c>
      <c r="T201" t="s">
        <v>4341</v>
      </c>
      <c r="U201" t="s">
        <v>4342</v>
      </c>
      <c r="V201" t="s">
        <v>4343</v>
      </c>
      <c r="W201" t="s">
        <v>4344</v>
      </c>
      <c r="X201" t="s">
        <v>4345</v>
      </c>
      <c r="Y201" t="s">
        <v>4346</v>
      </c>
      <c r="Z201" t="s">
        <v>4347</v>
      </c>
      <c r="AA201" t="s">
        <v>74</v>
      </c>
      <c r="AB201" t="s">
        <v>4348</v>
      </c>
      <c r="AC201" t="s">
        <v>4349</v>
      </c>
      <c r="AD201" t="s">
        <v>4350</v>
      </c>
      <c r="AE201" t="s">
        <v>4351</v>
      </c>
      <c r="AF201" t="s">
        <v>74</v>
      </c>
      <c r="AG201">
        <v>30</v>
      </c>
      <c r="AH201">
        <v>6</v>
      </c>
      <c r="AI201">
        <v>6</v>
      </c>
      <c r="AJ201">
        <v>1</v>
      </c>
      <c r="AK201">
        <v>8</v>
      </c>
      <c r="AL201" t="s">
        <v>362</v>
      </c>
      <c r="AM201" t="s">
        <v>363</v>
      </c>
      <c r="AN201" t="s">
        <v>364</v>
      </c>
      <c r="AO201" t="s">
        <v>74</v>
      </c>
      <c r="AP201" t="s">
        <v>4352</v>
      </c>
      <c r="AQ201" t="s">
        <v>74</v>
      </c>
      <c r="AR201" t="s">
        <v>4353</v>
      </c>
      <c r="AS201" t="s">
        <v>4354</v>
      </c>
      <c r="AT201" t="s">
        <v>1375</v>
      </c>
      <c r="AU201">
        <v>2023</v>
      </c>
      <c r="AV201">
        <v>3</v>
      </c>
      <c r="AW201">
        <v>2</v>
      </c>
      <c r="AX201" t="s">
        <v>74</v>
      </c>
      <c r="AY201" t="s">
        <v>74</v>
      </c>
      <c r="AZ201" t="s">
        <v>74</v>
      </c>
      <c r="BA201" t="s">
        <v>74</v>
      </c>
      <c r="BB201" t="s">
        <v>74</v>
      </c>
      <c r="BC201" t="s">
        <v>74</v>
      </c>
      <c r="BD201">
        <v>100134</v>
      </c>
      <c r="BE201" t="s">
        <v>4355</v>
      </c>
      <c r="BF201" t="str">
        <f>HYPERLINK("http://dx.doi.org/10.1016/j.hcc.2023.100134","http://dx.doi.org/10.1016/j.hcc.2023.100134")</f>
        <v>http://dx.doi.org/10.1016/j.hcc.2023.100134</v>
      </c>
      <c r="BG201" t="s">
        <v>74</v>
      </c>
      <c r="BH201" t="s">
        <v>74</v>
      </c>
      <c r="BI201">
        <v>11</v>
      </c>
      <c r="BJ201" t="s">
        <v>852</v>
      </c>
      <c r="BK201" t="s">
        <v>102</v>
      </c>
      <c r="BL201" t="s">
        <v>103</v>
      </c>
      <c r="BM201" t="s">
        <v>4356</v>
      </c>
      <c r="BN201" t="s">
        <v>74</v>
      </c>
      <c r="BO201" t="s">
        <v>398</v>
      </c>
      <c r="BP201" t="s">
        <v>74</v>
      </c>
      <c r="BQ201" t="s">
        <v>74</v>
      </c>
      <c r="BR201" t="s">
        <v>106</v>
      </c>
      <c r="BS201" t="s">
        <v>4357</v>
      </c>
      <c r="BT201" t="str">
        <f>HYPERLINK("https%3A%2F%2Fwww.webofscience.com%2Fwos%2Fwoscc%2Ffull-record%2FWOS:001134307800001","View Full Record in Web of Science")</f>
        <v>View Full Record in Web of Science</v>
      </c>
    </row>
    <row r="202" spans="1:72" x14ac:dyDescent="0.25">
      <c r="A202" t="s">
        <v>72</v>
      </c>
      <c r="B202" t="s">
        <v>4358</v>
      </c>
      <c r="C202" t="s">
        <v>74</v>
      </c>
      <c r="D202" t="s">
        <v>74</v>
      </c>
      <c r="E202" t="s">
        <v>74</v>
      </c>
      <c r="F202" t="s">
        <v>4359</v>
      </c>
      <c r="G202" t="s">
        <v>74</v>
      </c>
      <c r="H202" t="s">
        <v>74</v>
      </c>
      <c r="I202" t="s">
        <v>4360</v>
      </c>
      <c r="J202" t="s">
        <v>4361</v>
      </c>
      <c r="K202" t="s">
        <v>74</v>
      </c>
      <c r="L202" t="s">
        <v>74</v>
      </c>
      <c r="M202" t="s">
        <v>78</v>
      </c>
      <c r="N202" t="s">
        <v>79</v>
      </c>
      <c r="O202" t="s">
        <v>74</v>
      </c>
      <c r="P202" t="s">
        <v>74</v>
      </c>
      <c r="Q202" t="s">
        <v>74</v>
      </c>
      <c r="R202" t="s">
        <v>74</v>
      </c>
      <c r="S202" t="s">
        <v>74</v>
      </c>
      <c r="T202" t="s">
        <v>4362</v>
      </c>
      <c r="U202" t="s">
        <v>74</v>
      </c>
      <c r="V202" t="s">
        <v>4363</v>
      </c>
      <c r="W202" t="s">
        <v>4364</v>
      </c>
      <c r="X202" t="s">
        <v>4365</v>
      </c>
      <c r="Y202" t="s">
        <v>4366</v>
      </c>
      <c r="Z202" t="s">
        <v>4367</v>
      </c>
      <c r="AA202" t="s">
        <v>4368</v>
      </c>
      <c r="AB202" t="s">
        <v>74</v>
      </c>
      <c r="AC202" t="s">
        <v>74</v>
      </c>
      <c r="AD202" t="s">
        <v>74</v>
      </c>
      <c r="AE202" t="s">
        <v>74</v>
      </c>
      <c r="AF202" t="s">
        <v>74</v>
      </c>
      <c r="AG202">
        <v>16</v>
      </c>
      <c r="AH202">
        <v>2</v>
      </c>
      <c r="AI202">
        <v>2</v>
      </c>
      <c r="AJ202">
        <v>3</v>
      </c>
      <c r="AK202">
        <v>14</v>
      </c>
      <c r="AL202" t="s">
        <v>2127</v>
      </c>
      <c r="AM202" t="s">
        <v>2128</v>
      </c>
      <c r="AN202" t="s">
        <v>2129</v>
      </c>
      <c r="AO202" t="s">
        <v>4369</v>
      </c>
      <c r="AP202" t="s">
        <v>4370</v>
      </c>
      <c r="AQ202" t="s">
        <v>74</v>
      </c>
      <c r="AR202" t="s">
        <v>4371</v>
      </c>
      <c r="AS202" t="s">
        <v>4372</v>
      </c>
      <c r="AT202" t="s">
        <v>1278</v>
      </c>
      <c r="AU202">
        <v>2025</v>
      </c>
      <c r="AV202">
        <v>52</v>
      </c>
      <c r="AW202" t="s">
        <v>74</v>
      </c>
      <c r="AX202" t="s">
        <v>74</v>
      </c>
      <c r="AY202" t="s">
        <v>74</v>
      </c>
      <c r="AZ202" t="s">
        <v>74</v>
      </c>
      <c r="BA202" t="s">
        <v>74</v>
      </c>
      <c r="BB202" t="s">
        <v>74</v>
      </c>
      <c r="BC202" t="s">
        <v>74</v>
      </c>
      <c r="BD202">
        <v>100771</v>
      </c>
      <c r="BE202" t="s">
        <v>4373</v>
      </c>
      <c r="BF202" t="str">
        <f>HYPERLINK("http://dx.doi.org/10.1016/j.entcom.2024.100771","http://dx.doi.org/10.1016/j.entcom.2024.100771")</f>
        <v>http://dx.doi.org/10.1016/j.entcom.2024.100771</v>
      </c>
      <c r="BG202" t="s">
        <v>74</v>
      </c>
      <c r="BH202" t="s">
        <v>4374</v>
      </c>
      <c r="BI202">
        <v>7</v>
      </c>
      <c r="BJ202" t="s">
        <v>4375</v>
      </c>
      <c r="BK202" t="s">
        <v>902</v>
      </c>
      <c r="BL202" t="s">
        <v>103</v>
      </c>
      <c r="BM202" t="s">
        <v>4376</v>
      </c>
      <c r="BN202" t="s">
        <v>74</v>
      </c>
      <c r="BO202" t="s">
        <v>74</v>
      </c>
      <c r="BP202" t="s">
        <v>74</v>
      </c>
      <c r="BQ202" t="s">
        <v>74</v>
      </c>
      <c r="BR202" t="s">
        <v>106</v>
      </c>
      <c r="BS202" t="s">
        <v>4377</v>
      </c>
      <c r="BT202" t="str">
        <f>HYPERLINK("https%3A%2F%2Fwww.webofscience.com%2Fwos%2Fwoscc%2Ffull-record%2FWOS:001291609500001","View Full Record in Web of Science")</f>
        <v>View Full Record in Web of Science</v>
      </c>
    </row>
    <row r="203" spans="1:72" x14ac:dyDescent="0.25">
      <c r="A203" t="s">
        <v>72</v>
      </c>
      <c r="B203" t="s">
        <v>4378</v>
      </c>
      <c r="C203" t="s">
        <v>74</v>
      </c>
      <c r="D203" t="s">
        <v>74</v>
      </c>
      <c r="E203" t="s">
        <v>74</v>
      </c>
      <c r="F203" t="s">
        <v>4379</v>
      </c>
      <c r="G203" t="s">
        <v>74</v>
      </c>
      <c r="H203" t="s">
        <v>74</v>
      </c>
      <c r="I203" t="s">
        <v>4380</v>
      </c>
      <c r="J203" t="s">
        <v>4381</v>
      </c>
      <c r="K203" t="s">
        <v>74</v>
      </c>
      <c r="L203" t="s">
        <v>74</v>
      </c>
      <c r="M203" t="s">
        <v>78</v>
      </c>
      <c r="N203" t="s">
        <v>79</v>
      </c>
      <c r="O203" t="s">
        <v>74</v>
      </c>
      <c r="P203" t="s">
        <v>74</v>
      </c>
      <c r="Q203" t="s">
        <v>74</v>
      </c>
      <c r="R203" t="s">
        <v>74</v>
      </c>
      <c r="S203" t="s">
        <v>74</v>
      </c>
      <c r="T203" t="s">
        <v>4382</v>
      </c>
      <c r="U203" t="s">
        <v>4383</v>
      </c>
      <c r="V203" t="s">
        <v>4384</v>
      </c>
      <c r="W203" t="s">
        <v>4385</v>
      </c>
      <c r="X203" t="s">
        <v>4386</v>
      </c>
      <c r="Y203" t="s">
        <v>4387</v>
      </c>
      <c r="Z203" t="s">
        <v>4388</v>
      </c>
      <c r="AA203" t="s">
        <v>4389</v>
      </c>
      <c r="AB203" t="s">
        <v>4390</v>
      </c>
      <c r="AC203" t="s">
        <v>74</v>
      </c>
      <c r="AD203" t="s">
        <v>74</v>
      </c>
      <c r="AE203" t="s">
        <v>74</v>
      </c>
      <c r="AF203" t="s">
        <v>74</v>
      </c>
      <c r="AG203">
        <v>44</v>
      </c>
      <c r="AH203">
        <v>7</v>
      </c>
      <c r="AI203">
        <v>9</v>
      </c>
      <c r="AJ203">
        <v>0</v>
      </c>
      <c r="AK203">
        <v>16</v>
      </c>
      <c r="AL203" t="s">
        <v>895</v>
      </c>
      <c r="AM203" t="s">
        <v>896</v>
      </c>
      <c r="AN203" t="s">
        <v>897</v>
      </c>
      <c r="AO203" t="s">
        <v>4391</v>
      </c>
      <c r="AP203" t="s">
        <v>4392</v>
      </c>
      <c r="AQ203" t="s">
        <v>74</v>
      </c>
      <c r="AR203" t="s">
        <v>4393</v>
      </c>
      <c r="AS203" t="s">
        <v>4394</v>
      </c>
      <c r="AT203" t="s">
        <v>1166</v>
      </c>
      <c r="AU203">
        <v>2011</v>
      </c>
      <c r="AV203">
        <v>41</v>
      </c>
      <c r="AW203">
        <v>4</v>
      </c>
      <c r="AX203" t="s">
        <v>74</v>
      </c>
      <c r="AY203" t="s">
        <v>74</v>
      </c>
      <c r="AZ203" t="s">
        <v>74</v>
      </c>
      <c r="BA203" t="s">
        <v>74</v>
      </c>
      <c r="BB203">
        <v>683</v>
      </c>
      <c r="BC203">
        <v>692</v>
      </c>
      <c r="BD203" t="s">
        <v>74</v>
      </c>
      <c r="BE203" t="s">
        <v>4395</v>
      </c>
      <c r="BF203" t="str">
        <f>HYPERLINK("http://dx.doi.org/10.1109/TSMCA.2011.2132709","http://dx.doi.org/10.1109/TSMCA.2011.2132709")</f>
        <v>http://dx.doi.org/10.1109/TSMCA.2011.2132709</v>
      </c>
      <c r="BG203" t="s">
        <v>74</v>
      </c>
      <c r="BH203" t="s">
        <v>74</v>
      </c>
      <c r="BI203">
        <v>10</v>
      </c>
      <c r="BJ203" t="s">
        <v>4396</v>
      </c>
      <c r="BK203" t="s">
        <v>902</v>
      </c>
      <c r="BL203" t="s">
        <v>103</v>
      </c>
      <c r="BM203" t="s">
        <v>4397</v>
      </c>
      <c r="BN203" t="s">
        <v>74</v>
      </c>
      <c r="BO203" t="s">
        <v>346</v>
      </c>
      <c r="BP203" t="s">
        <v>74</v>
      </c>
      <c r="BQ203" t="s">
        <v>74</v>
      </c>
      <c r="BR203" t="s">
        <v>106</v>
      </c>
      <c r="BS203" t="s">
        <v>4398</v>
      </c>
      <c r="BT203" t="str">
        <f>HYPERLINK("https%3A%2F%2Fwww.webofscience.com%2Fwos%2Fwoscc%2Ffull-record%2FWOS:000291819000008","View Full Record in Web of Science")</f>
        <v>View Full Record in Web of Science</v>
      </c>
    </row>
    <row r="204" spans="1:72" x14ac:dyDescent="0.25">
      <c r="A204" t="s">
        <v>72</v>
      </c>
      <c r="B204" t="s">
        <v>4399</v>
      </c>
      <c r="C204" t="s">
        <v>74</v>
      </c>
      <c r="D204" t="s">
        <v>74</v>
      </c>
      <c r="E204" t="s">
        <v>74</v>
      </c>
      <c r="F204" t="s">
        <v>4400</v>
      </c>
      <c r="G204" t="s">
        <v>74</v>
      </c>
      <c r="H204" t="s">
        <v>74</v>
      </c>
      <c r="I204" t="s">
        <v>4401</v>
      </c>
      <c r="J204" t="s">
        <v>4402</v>
      </c>
      <c r="K204" t="s">
        <v>74</v>
      </c>
      <c r="L204" t="s">
        <v>74</v>
      </c>
      <c r="M204" t="s">
        <v>78</v>
      </c>
      <c r="N204" t="s">
        <v>79</v>
      </c>
      <c r="O204" t="s">
        <v>74</v>
      </c>
      <c r="P204" t="s">
        <v>74</v>
      </c>
      <c r="Q204" t="s">
        <v>74</v>
      </c>
      <c r="R204" t="s">
        <v>74</v>
      </c>
      <c r="S204" t="s">
        <v>74</v>
      </c>
      <c r="T204" t="s">
        <v>4403</v>
      </c>
      <c r="U204" t="s">
        <v>4404</v>
      </c>
      <c r="V204" t="s">
        <v>4405</v>
      </c>
      <c r="W204" t="s">
        <v>4406</v>
      </c>
      <c r="X204" t="s">
        <v>4407</v>
      </c>
      <c r="Y204" t="s">
        <v>4408</v>
      </c>
      <c r="Z204" t="s">
        <v>4409</v>
      </c>
      <c r="AA204" t="s">
        <v>4410</v>
      </c>
      <c r="AB204" t="s">
        <v>4411</v>
      </c>
      <c r="AC204" t="s">
        <v>4412</v>
      </c>
      <c r="AD204" t="s">
        <v>4412</v>
      </c>
      <c r="AE204" t="s">
        <v>4413</v>
      </c>
      <c r="AF204" t="s">
        <v>74</v>
      </c>
      <c r="AG204">
        <v>42</v>
      </c>
      <c r="AH204">
        <v>7</v>
      </c>
      <c r="AI204">
        <v>9</v>
      </c>
      <c r="AJ204">
        <v>4</v>
      </c>
      <c r="AK204">
        <v>85</v>
      </c>
      <c r="AL204" t="s">
        <v>310</v>
      </c>
      <c r="AM204" t="s">
        <v>311</v>
      </c>
      <c r="AN204" t="s">
        <v>312</v>
      </c>
      <c r="AO204" t="s">
        <v>4414</v>
      </c>
      <c r="AP204" t="s">
        <v>4415</v>
      </c>
      <c r="AQ204" t="s">
        <v>74</v>
      </c>
      <c r="AR204" t="s">
        <v>4416</v>
      </c>
      <c r="AS204" t="s">
        <v>4417</v>
      </c>
      <c r="AT204" t="s">
        <v>4418</v>
      </c>
      <c r="AU204">
        <v>2023</v>
      </c>
      <c r="AV204">
        <v>31</v>
      </c>
      <c r="AW204">
        <v>10</v>
      </c>
      <c r="AX204" t="s">
        <v>74</v>
      </c>
      <c r="AY204" t="s">
        <v>74</v>
      </c>
      <c r="AZ204" t="s">
        <v>74</v>
      </c>
      <c r="BA204" t="s">
        <v>74</v>
      </c>
      <c r="BB204">
        <v>6640</v>
      </c>
      <c r="BC204">
        <v>6651</v>
      </c>
      <c r="BD204" t="s">
        <v>74</v>
      </c>
      <c r="BE204" t="s">
        <v>4419</v>
      </c>
      <c r="BF204" t="str">
        <f>HYPERLINK("http://dx.doi.org/10.1080/10494820.2022.2042314","http://dx.doi.org/10.1080/10494820.2022.2042314")</f>
        <v>http://dx.doi.org/10.1080/10494820.2022.2042314</v>
      </c>
      <c r="BG204" t="s">
        <v>74</v>
      </c>
      <c r="BH204" t="s">
        <v>4420</v>
      </c>
      <c r="BI204">
        <v>12</v>
      </c>
      <c r="BJ204" t="s">
        <v>318</v>
      </c>
      <c r="BK204" t="s">
        <v>250</v>
      </c>
      <c r="BL204" t="s">
        <v>318</v>
      </c>
      <c r="BM204" t="s">
        <v>4421</v>
      </c>
      <c r="BN204" t="s">
        <v>74</v>
      </c>
      <c r="BO204" t="s">
        <v>74</v>
      </c>
      <c r="BP204" t="s">
        <v>74</v>
      </c>
      <c r="BQ204" t="s">
        <v>74</v>
      </c>
      <c r="BR204" t="s">
        <v>106</v>
      </c>
      <c r="BS204" t="s">
        <v>4422</v>
      </c>
      <c r="BT204" t="str">
        <f>HYPERLINK("https%3A%2F%2Fwww.webofscience.com%2Fwos%2Fwoscc%2Ffull-record%2FWOS:000762543000001","View Full Record in Web of Science")</f>
        <v>View Full Record in Web of Science</v>
      </c>
    </row>
    <row r="205" spans="1:72" x14ac:dyDescent="0.25">
      <c r="A205" t="s">
        <v>108</v>
      </c>
      <c r="B205" t="s">
        <v>4423</v>
      </c>
      <c r="C205" t="s">
        <v>74</v>
      </c>
      <c r="D205" t="s">
        <v>4424</v>
      </c>
      <c r="E205" t="s">
        <v>74</v>
      </c>
      <c r="F205" t="s">
        <v>4425</v>
      </c>
      <c r="G205" t="s">
        <v>74</v>
      </c>
      <c r="H205" t="s">
        <v>74</v>
      </c>
      <c r="I205" t="s">
        <v>4426</v>
      </c>
      <c r="J205" t="s">
        <v>4427</v>
      </c>
      <c r="K205" t="s">
        <v>4428</v>
      </c>
      <c r="L205" t="s">
        <v>74</v>
      </c>
      <c r="M205" t="s">
        <v>78</v>
      </c>
      <c r="N205" t="s">
        <v>115</v>
      </c>
      <c r="O205" t="s">
        <v>4429</v>
      </c>
      <c r="P205" t="s">
        <v>4430</v>
      </c>
      <c r="Q205" t="s">
        <v>4431</v>
      </c>
      <c r="R205" t="s">
        <v>74</v>
      </c>
      <c r="S205" t="s">
        <v>74</v>
      </c>
      <c r="T205" t="s">
        <v>4432</v>
      </c>
      <c r="U205" t="s">
        <v>74</v>
      </c>
      <c r="V205" t="s">
        <v>4433</v>
      </c>
      <c r="W205" t="s">
        <v>4434</v>
      </c>
      <c r="X205" t="s">
        <v>4435</v>
      </c>
      <c r="Y205" t="s">
        <v>4436</v>
      </c>
      <c r="Z205" t="s">
        <v>4437</v>
      </c>
      <c r="AA205" t="s">
        <v>4438</v>
      </c>
      <c r="AB205" t="s">
        <v>4439</v>
      </c>
      <c r="AC205" t="s">
        <v>74</v>
      </c>
      <c r="AD205" t="s">
        <v>74</v>
      </c>
      <c r="AE205" t="s">
        <v>74</v>
      </c>
      <c r="AF205" t="s">
        <v>74</v>
      </c>
      <c r="AG205">
        <v>33</v>
      </c>
      <c r="AH205">
        <v>3</v>
      </c>
      <c r="AI205">
        <v>4</v>
      </c>
      <c r="AJ205">
        <v>0</v>
      </c>
      <c r="AK205">
        <v>2</v>
      </c>
      <c r="AL205" t="s">
        <v>129</v>
      </c>
      <c r="AM205" t="s">
        <v>130</v>
      </c>
      <c r="AN205" t="s">
        <v>131</v>
      </c>
      <c r="AO205" t="s">
        <v>74</v>
      </c>
      <c r="AP205" t="s">
        <v>74</v>
      </c>
      <c r="AQ205" t="s">
        <v>4440</v>
      </c>
      <c r="AR205" t="s">
        <v>4441</v>
      </c>
      <c r="AS205" t="s">
        <v>74</v>
      </c>
      <c r="AT205" t="s">
        <v>74</v>
      </c>
      <c r="AU205">
        <v>2020</v>
      </c>
      <c r="AV205">
        <v>12388</v>
      </c>
      <c r="AW205" t="s">
        <v>74</v>
      </c>
      <c r="AX205" t="s">
        <v>74</v>
      </c>
      <c r="AY205" t="s">
        <v>74</v>
      </c>
      <c r="AZ205" t="s">
        <v>74</v>
      </c>
      <c r="BA205" t="s">
        <v>74</v>
      </c>
      <c r="BB205">
        <v>154</v>
      </c>
      <c r="BC205">
        <v>168</v>
      </c>
      <c r="BD205" t="s">
        <v>74</v>
      </c>
      <c r="BE205" t="s">
        <v>4442</v>
      </c>
      <c r="BF205" t="str">
        <f>HYPERLINK("http://dx.doi.org/10.1007/978-3-030-64823-7_15","http://dx.doi.org/10.1007/978-3-030-64823-7_15")</f>
        <v>http://dx.doi.org/10.1007/978-3-030-64823-7_15</v>
      </c>
      <c r="BG205" t="s">
        <v>74</v>
      </c>
      <c r="BH205" t="s">
        <v>74</v>
      </c>
      <c r="BI205">
        <v>15</v>
      </c>
      <c r="BJ205" t="s">
        <v>4443</v>
      </c>
      <c r="BK205" t="s">
        <v>203</v>
      </c>
      <c r="BL205" t="s">
        <v>953</v>
      </c>
      <c r="BM205" t="s">
        <v>4444</v>
      </c>
      <c r="BN205" t="s">
        <v>74</v>
      </c>
      <c r="BO205" t="s">
        <v>74</v>
      </c>
      <c r="BP205" t="s">
        <v>74</v>
      </c>
      <c r="BQ205" t="s">
        <v>74</v>
      </c>
      <c r="BR205" t="s">
        <v>106</v>
      </c>
      <c r="BS205" t="s">
        <v>4445</v>
      </c>
      <c r="BT205" t="str">
        <f>HYPERLINK("https%3A%2F%2Fwww.webofscience.com%2Fwos%2Fwoscc%2Ffull-record%2FWOS:001297793500015","View Full Record in Web of Science")</f>
        <v>View Full Record in Web of Science</v>
      </c>
    </row>
    <row r="206" spans="1:72" x14ac:dyDescent="0.25">
      <c r="A206" t="s">
        <v>72</v>
      </c>
      <c r="B206" t="s">
        <v>4446</v>
      </c>
      <c r="C206" t="s">
        <v>74</v>
      </c>
      <c r="D206" t="s">
        <v>74</v>
      </c>
      <c r="E206" t="s">
        <v>74</v>
      </c>
      <c r="F206" t="s">
        <v>4447</v>
      </c>
      <c r="G206" t="s">
        <v>74</v>
      </c>
      <c r="H206" t="s">
        <v>74</v>
      </c>
      <c r="I206" t="s">
        <v>4448</v>
      </c>
      <c r="J206" t="s">
        <v>3777</v>
      </c>
      <c r="K206" t="s">
        <v>74</v>
      </c>
      <c r="L206" t="s">
        <v>74</v>
      </c>
      <c r="M206" t="s">
        <v>78</v>
      </c>
      <c r="N206" t="s">
        <v>79</v>
      </c>
      <c r="O206" t="s">
        <v>74</v>
      </c>
      <c r="P206" t="s">
        <v>74</v>
      </c>
      <c r="Q206" t="s">
        <v>74</v>
      </c>
      <c r="R206" t="s">
        <v>74</v>
      </c>
      <c r="S206" t="s">
        <v>74</v>
      </c>
      <c r="T206" t="s">
        <v>4449</v>
      </c>
      <c r="U206" t="s">
        <v>4450</v>
      </c>
      <c r="V206" t="s">
        <v>4451</v>
      </c>
      <c r="W206" t="s">
        <v>4452</v>
      </c>
      <c r="X206" t="s">
        <v>4453</v>
      </c>
      <c r="Y206" t="s">
        <v>4454</v>
      </c>
      <c r="Z206" t="s">
        <v>4455</v>
      </c>
      <c r="AA206" t="s">
        <v>4456</v>
      </c>
      <c r="AB206" t="s">
        <v>4457</v>
      </c>
      <c r="AC206" t="s">
        <v>4458</v>
      </c>
      <c r="AD206" t="s">
        <v>4459</v>
      </c>
      <c r="AE206" t="s">
        <v>4460</v>
      </c>
      <c r="AF206" t="s">
        <v>74</v>
      </c>
      <c r="AG206">
        <v>33</v>
      </c>
      <c r="AH206">
        <v>82</v>
      </c>
      <c r="AI206">
        <v>83</v>
      </c>
      <c r="AJ206">
        <v>0</v>
      </c>
      <c r="AK206">
        <v>30</v>
      </c>
      <c r="AL206" t="s">
        <v>947</v>
      </c>
      <c r="AM206" t="s">
        <v>948</v>
      </c>
      <c r="AN206" t="s">
        <v>2346</v>
      </c>
      <c r="AO206" t="s">
        <v>3790</v>
      </c>
      <c r="AP206" t="s">
        <v>74</v>
      </c>
      <c r="AQ206" t="s">
        <v>74</v>
      </c>
      <c r="AR206" t="s">
        <v>3791</v>
      </c>
      <c r="AS206" t="s">
        <v>3792</v>
      </c>
      <c r="AT206" t="s">
        <v>4175</v>
      </c>
      <c r="AU206">
        <v>2021</v>
      </c>
      <c r="AV206">
        <v>8</v>
      </c>
      <c r="AW206">
        <v>2</v>
      </c>
      <c r="AX206" t="s">
        <v>74</v>
      </c>
      <c r="AY206" t="s">
        <v>74</v>
      </c>
      <c r="AZ206" t="s">
        <v>74</v>
      </c>
      <c r="BA206" t="s">
        <v>74</v>
      </c>
      <c r="BB206">
        <v>894</v>
      </c>
      <c r="BC206">
        <v>904</v>
      </c>
      <c r="BD206" t="s">
        <v>74</v>
      </c>
      <c r="BE206" t="s">
        <v>4461</v>
      </c>
      <c r="BF206" t="str">
        <f>HYPERLINK("http://dx.doi.org/10.1109/TNSE.2021.3064952","http://dx.doi.org/10.1109/TNSE.2021.3064952")</f>
        <v>http://dx.doi.org/10.1109/TNSE.2021.3064952</v>
      </c>
      <c r="BG206" t="s">
        <v>74</v>
      </c>
      <c r="BH206" t="s">
        <v>74</v>
      </c>
      <c r="BI206">
        <v>11</v>
      </c>
      <c r="BJ206" t="s">
        <v>3795</v>
      </c>
      <c r="BK206" t="s">
        <v>902</v>
      </c>
      <c r="BL206" t="s">
        <v>3796</v>
      </c>
      <c r="BM206" t="s">
        <v>4462</v>
      </c>
      <c r="BN206" t="s">
        <v>74</v>
      </c>
      <c r="BO206" t="s">
        <v>74</v>
      </c>
      <c r="BP206" t="s">
        <v>74</v>
      </c>
      <c r="BQ206" t="s">
        <v>74</v>
      </c>
      <c r="BR206" t="s">
        <v>106</v>
      </c>
      <c r="BS206" t="s">
        <v>4463</v>
      </c>
      <c r="BT206" t="str">
        <f>HYPERLINK("https%3A%2F%2Fwww.webofscience.com%2Fwos%2Fwoscc%2Ffull-record%2FWOS:000680892400008","View Full Record in Web of Science")</f>
        <v>View Full Record in Web of Science</v>
      </c>
    </row>
    <row r="207" spans="1:72" x14ac:dyDescent="0.25">
      <c r="A207" t="s">
        <v>108</v>
      </c>
      <c r="B207" t="s">
        <v>4464</v>
      </c>
      <c r="C207" t="s">
        <v>74</v>
      </c>
      <c r="D207" t="s">
        <v>74</v>
      </c>
      <c r="E207" t="s">
        <v>3480</v>
      </c>
      <c r="F207" t="s">
        <v>4465</v>
      </c>
      <c r="G207" t="s">
        <v>74</v>
      </c>
      <c r="H207" t="s">
        <v>74</v>
      </c>
      <c r="I207" t="s">
        <v>4466</v>
      </c>
      <c r="J207" t="s">
        <v>3483</v>
      </c>
      <c r="K207" t="s">
        <v>74</v>
      </c>
      <c r="L207" t="s">
        <v>74</v>
      </c>
      <c r="M207" t="s">
        <v>78</v>
      </c>
      <c r="N207" t="s">
        <v>115</v>
      </c>
      <c r="O207" t="s">
        <v>3484</v>
      </c>
      <c r="P207" t="s">
        <v>3485</v>
      </c>
      <c r="Q207" t="s">
        <v>3486</v>
      </c>
      <c r="R207" t="s">
        <v>3487</v>
      </c>
      <c r="S207" t="s">
        <v>74</v>
      </c>
      <c r="T207" t="s">
        <v>4467</v>
      </c>
      <c r="U207" t="s">
        <v>4468</v>
      </c>
      <c r="V207" t="s">
        <v>4469</v>
      </c>
      <c r="W207" t="s">
        <v>4470</v>
      </c>
      <c r="X207" t="s">
        <v>4471</v>
      </c>
      <c r="Y207" t="s">
        <v>4472</v>
      </c>
      <c r="Z207" t="s">
        <v>4473</v>
      </c>
      <c r="AA207" t="s">
        <v>4474</v>
      </c>
      <c r="AB207" t="s">
        <v>74</v>
      </c>
      <c r="AC207" t="s">
        <v>4475</v>
      </c>
      <c r="AD207" t="s">
        <v>4476</v>
      </c>
      <c r="AE207" t="s">
        <v>4477</v>
      </c>
      <c r="AF207" t="s">
        <v>74</v>
      </c>
      <c r="AG207">
        <v>29</v>
      </c>
      <c r="AH207">
        <v>40</v>
      </c>
      <c r="AI207">
        <v>43</v>
      </c>
      <c r="AJ207">
        <v>0</v>
      </c>
      <c r="AK207">
        <v>3</v>
      </c>
      <c r="AL207" t="s">
        <v>291</v>
      </c>
      <c r="AM207" t="s">
        <v>92</v>
      </c>
      <c r="AN207" t="s">
        <v>341</v>
      </c>
      <c r="AO207" t="s">
        <v>74</v>
      </c>
      <c r="AP207" t="s">
        <v>74</v>
      </c>
      <c r="AQ207" t="s">
        <v>3499</v>
      </c>
      <c r="AR207" t="s">
        <v>74</v>
      </c>
      <c r="AS207" t="s">
        <v>74</v>
      </c>
      <c r="AT207" t="s">
        <v>74</v>
      </c>
      <c r="AU207">
        <v>2017</v>
      </c>
      <c r="AV207" t="s">
        <v>74</v>
      </c>
      <c r="AW207" t="s">
        <v>74</v>
      </c>
      <c r="AX207" t="s">
        <v>74</v>
      </c>
      <c r="AY207" t="s">
        <v>74</v>
      </c>
      <c r="AZ207" t="s">
        <v>74</v>
      </c>
      <c r="BA207" t="s">
        <v>74</v>
      </c>
      <c r="BB207">
        <v>525</v>
      </c>
      <c r="BC207">
        <v>533</v>
      </c>
      <c r="BD207" t="s">
        <v>74</v>
      </c>
      <c r="BE207" t="s">
        <v>74</v>
      </c>
      <c r="BF207" t="s">
        <v>74</v>
      </c>
      <c r="BG207" t="s">
        <v>74</v>
      </c>
      <c r="BH207" t="s">
        <v>74</v>
      </c>
      <c r="BI207">
        <v>9</v>
      </c>
      <c r="BJ207" t="s">
        <v>3501</v>
      </c>
      <c r="BK207" t="s">
        <v>203</v>
      </c>
      <c r="BL207" t="s">
        <v>103</v>
      </c>
      <c r="BM207" t="s">
        <v>3502</v>
      </c>
      <c r="BN207" t="s">
        <v>74</v>
      </c>
      <c r="BO207" t="s">
        <v>74</v>
      </c>
      <c r="BP207" t="s">
        <v>74</v>
      </c>
      <c r="BQ207" t="s">
        <v>74</v>
      </c>
      <c r="BR207" t="s">
        <v>106</v>
      </c>
      <c r="BS207" t="s">
        <v>4478</v>
      </c>
      <c r="BT207" t="str">
        <f>HYPERLINK("https%3A%2F%2Fwww.webofscience.com%2Fwos%2Fwoscc%2Ffull-record%2FWOS:000712212600065","View Full Record in Web of Science")</f>
        <v>View Full Record in Web of Science</v>
      </c>
    </row>
    <row r="208" spans="1:72" x14ac:dyDescent="0.25">
      <c r="A208" t="s">
        <v>72</v>
      </c>
      <c r="B208" t="s">
        <v>4479</v>
      </c>
      <c r="C208" t="s">
        <v>74</v>
      </c>
      <c r="D208" t="s">
        <v>74</v>
      </c>
      <c r="E208" t="s">
        <v>74</v>
      </c>
      <c r="F208" t="s">
        <v>4480</v>
      </c>
      <c r="G208" t="s">
        <v>74</v>
      </c>
      <c r="H208" t="s">
        <v>74</v>
      </c>
      <c r="I208" t="s">
        <v>4481</v>
      </c>
      <c r="J208" t="s">
        <v>4482</v>
      </c>
      <c r="K208" t="s">
        <v>74</v>
      </c>
      <c r="L208" t="s">
        <v>74</v>
      </c>
      <c r="M208" t="s">
        <v>78</v>
      </c>
      <c r="N208" t="s">
        <v>79</v>
      </c>
      <c r="O208" t="s">
        <v>74</v>
      </c>
      <c r="P208" t="s">
        <v>74</v>
      </c>
      <c r="Q208" t="s">
        <v>74</v>
      </c>
      <c r="R208" t="s">
        <v>74</v>
      </c>
      <c r="S208" t="s">
        <v>74</v>
      </c>
      <c r="T208" t="s">
        <v>4483</v>
      </c>
      <c r="U208" t="s">
        <v>74</v>
      </c>
      <c r="V208" t="s">
        <v>4484</v>
      </c>
      <c r="W208" t="s">
        <v>4485</v>
      </c>
      <c r="X208" t="s">
        <v>4486</v>
      </c>
      <c r="Y208" t="s">
        <v>4487</v>
      </c>
      <c r="Z208" t="s">
        <v>4488</v>
      </c>
      <c r="AA208" t="s">
        <v>4489</v>
      </c>
      <c r="AB208" t="s">
        <v>4490</v>
      </c>
      <c r="AC208" t="s">
        <v>4491</v>
      </c>
      <c r="AD208" t="s">
        <v>4492</v>
      </c>
      <c r="AE208" t="s">
        <v>4493</v>
      </c>
      <c r="AF208" t="s">
        <v>74</v>
      </c>
      <c r="AG208">
        <v>64</v>
      </c>
      <c r="AH208">
        <v>3</v>
      </c>
      <c r="AI208">
        <v>5</v>
      </c>
      <c r="AJ208">
        <v>0</v>
      </c>
      <c r="AK208">
        <v>18</v>
      </c>
      <c r="AL208" t="s">
        <v>2465</v>
      </c>
      <c r="AM208" t="s">
        <v>311</v>
      </c>
      <c r="AN208" t="s">
        <v>2466</v>
      </c>
      <c r="AO208" t="s">
        <v>4494</v>
      </c>
      <c r="AP208" t="s">
        <v>4495</v>
      </c>
      <c r="AQ208" t="s">
        <v>74</v>
      </c>
      <c r="AR208" t="s">
        <v>4496</v>
      </c>
      <c r="AS208" t="s">
        <v>4497</v>
      </c>
      <c r="AT208" t="s">
        <v>4498</v>
      </c>
      <c r="AU208">
        <v>2022</v>
      </c>
      <c r="AV208">
        <v>16</v>
      </c>
      <c r="AW208" t="s">
        <v>4499</v>
      </c>
      <c r="AX208" t="s">
        <v>74</v>
      </c>
      <c r="AY208" t="s">
        <v>74</v>
      </c>
      <c r="AZ208" t="s">
        <v>74</v>
      </c>
      <c r="BA208" t="s">
        <v>74</v>
      </c>
      <c r="BB208">
        <v>1653</v>
      </c>
      <c r="BC208">
        <v>1693</v>
      </c>
      <c r="BD208" t="s">
        <v>74</v>
      </c>
      <c r="BE208" t="s">
        <v>4500</v>
      </c>
      <c r="BF208" t="str">
        <f>HYPERLINK("http://dx.doi.org/10.1080/17517575.2020.1856423","http://dx.doi.org/10.1080/17517575.2020.1856423")</f>
        <v>http://dx.doi.org/10.1080/17517575.2020.1856423</v>
      </c>
      <c r="BG208" t="s">
        <v>74</v>
      </c>
      <c r="BH208" t="s">
        <v>4501</v>
      </c>
      <c r="BI208">
        <v>41</v>
      </c>
      <c r="BJ208" t="s">
        <v>852</v>
      </c>
      <c r="BK208" t="s">
        <v>902</v>
      </c>
      <c r="BL208" t="s">
        <v>103</v>
      </c>
      <c r="BM208" t="s">
        <v>4502</v>
      </c>
      <c r="BN208" t="s">
        <v>74</v>
      </c>
      <c r="BO208" t="s">
        <v>74</v>
      </c>
      <c r="BP208" t="s">
        <v>74</v>
      </c>
      <c r="BQ208" t="s">
        <v>74</v>
      </c>
      <c r="BR208" t="s">
        <v>106</v>
      </c>
      <c r="BS208" t="s">
        <v>4503</v>
      </c>
      <c r="BT208" t="str">
        <f>HYPERLINK("https%3A%2F%2Fwww.webofscience.com%2Fwos%2Fwoscc%2Ffull-record%2FWOS:000603766300001","View Full Record in Web of Science")</f>
        <v>View Full Record in Web of Science</v>
      </c>
    </row>
    <row r="209" spans="1:72" x14ac:dyDescent="0.25">
      <c r="A209" t="s">
        <v>72</v>
      </c>
      <c r="B209" t="s">
        <v>4504</v>
      </c>
      <c r="C209" t="s">
        <v>74</v>
      </c>
      <c r="D209" t="s">
        <v>74</v>
      </c>
      <c r="E209" t="s">
        <v>74</v>
      </c>
      <c r="F209" t="s">
        <v>4505</v>
      </c>
      <c r="G209" t="s">
        <v>74</v>
      </c>
      <c r="H209" t="s">
        <v>74</v>
      </c>
      <c r="I209" t="s">
        <v>4506</v>
      </c>
      <c r="J209" t="s">
        <v>3839</v>
      </c>
      <c r="K209" t="s">
        <v>74</v>
      </c>
      <c r="L209" t="s">
        <v>74</v>
      </c>
      <c r="M209" t="s">
        <v>78</v>
      </c>
      <c r="N209" t="s">
        <v>79</v>
      </c>
      <c r="O209" t="s">
        <v>74</v>
      </c>
      <c r="P209" t="s">
        <v>74</v>
      </c>
      <c r="Q209" t="s">
        <v>74</v>
      </c>
      <c r="R209" t="s">
        <v>74</v>
      </c>
      <c r="S209" t="s">
        <v>74</v>
      </c>
      <c r="T209" t="s">
        <v>4507</v>
      </c>
      <c r="U209" t="s">
        <v>4508</v>
      </c>
      <c r="V209" t="s">
        <v>4509</v>
      </c>
      <c r="W209" t="s">
        <v>4510</v>
      </c>
      <c r="X209" t="s">
        <v>4511</v>
      </c>
      <c r="Y209" t="s">
        <v>4512</v>
      </c>
      <c r="Z209" t="s">
        <v>4513</v>
      </c>
      <c r="AA209" t="s">
        <v>4514</v>
      </c>
      <c r="AB209" t="s">
        <v>4515</v>
      </c>
      <c r="AC209" t="s">
        <v>74</v>
      </c>
      <c r="AD209" t="s">
        <v>74</v>
      </c>
      <c r="AE209" t="s">
        <v>74</v>
      </c>
      <c r="AF209" t="s">
        <v>74</v>
      </c>
      <c r="AG209">
        <v>30</v>
      </c>
      <c r="AH209">
        <v>4</v>
      </c>
      <c r="AI209">
        <v>4</v>
      </c>
      <c r="AJ209">
        <v>0</v>
      </c>
      <c r="AK209">
        <v>3</v>
      </c>
      <c r="AL209" t="s">
        <v>3157</v>
      </c>
      <c r="AM209" t="s">
        <v>3158</v>
      </c>
      <c r="AN209" t="s">
        <v>3159</v>
      </c>
      <c r="AO209" t="s">
        <v>3849</v>
      </c>
      <c r="AP209" t="s">
        <v>3850</v>
      </c>
      <c r="AQ209" t="s">
        <v>74</v>
      </c>
      <c r="AR209" t="s">
        <v>3851</v>
      </c>
      <c r="AS209" t="s">
        <v>3852</v>
      </c>
      <c r="AT209" t="s">
        <v>74</v>
      </c>
      <c r="AU209">
        <v>2018</v>
      </c>
      <c r="AV209">
        <v>16</v>
      </c>
      <c r="AW209">
        <v>3</v>
      </c>
      <c r="AX209" t="s">
        <v>74</v>
      </c>
      <c r="AY209" t="s">
        <v>74</v>
      </c>
      <c r="AZ209" t="s">
        <v>74</v>
      </c>
      <c r="BA209" t="s">
        <v>74</v>
      </c>
      <c r="BB209">
        <v>265</v>
      </c>
      <c r="BC209">
        <v>281</v>
      </c>
      <c r="BD209" t="s">
        <v>74</v>
      </c>
      <c r="BE209" t="s">
        <v>4516</v>
      </c>
      <c r="BF209" t="str">
        <f>HYPERLINK("http://dx.doi.org/10.1504/IJCSE.2018.091770","http://dx.doi.org/10.1504/IJCSE.2018.091770")</f>
        <v>http://dx.doi.org/10.1504/IJCSE.2018.091770</v>
      </c>
      <c r="BG209" t="s">
        <v>74</v>
      </c>
      <c r="BH209" t="s">
        <v>74</v>
      </c>
      <c r="BI209">
        <v>17</v>
      </c>
      <c r="BJ209" t="s">
        <v>101</v>
      </c>
      <c r="BK209" t="s">
        <v>102</v>
      </c>
      <c r="BL209" t="s">
        <v>103</v>
      </c>
      <c r="BM209" t="s">
        <v>4517</v>
      </c>
      <c r="BN209" t="s">
        <v>74</v>
      </c>
      <c r="BO209" t="s">
        <v>74</v>
      </c>
      <c r="BP209" t="s">
        <v>74</v>
      </c>
      <c r="BQ209" t="s">
        <v>74</v>
      </c>
      <c r="BR209" t="s">
        <v>106</v>
      </c>
      <c r="BS209" t="s">
        <v>4518</v>
      </c>
      <c r="BT209" t="str">
        <f>HYPERLINK("https%3A%2F%2Fwww.webofscience.com%2Fwos%2Fwoscc%2Ffull-record%2FWOS:000432812600006","View Full Record in Web of Science")</f>
        <v>View Full Record in Web of Science</v>
      </c>
    </row>
    <row r="210" spans="1:72" x14ac:dyDescent="0.25">
      <c r="A210" t="s">
        <v>72</v>
      </c>
      <c r="B210" t="s">
        <v>4519</v>
      </c>
      <c r="C210" t="s">
        <v>74</v>
      </c>
      <c r="D210" t="s">
        <v>74</v>
      </c>
      <c r="E210" t="s">
        <v>74</v>
      </c>
      <c r="F210" t="s">
        <v>4520</v>
      </c>
      <c r="G210" t="s">
        <v>74</v>
      </c>
      <c r="H210" t="s">
        <v>74</v>
      </c>
      <c r="I210" t="s">
        <v>4521</v>
      </c>
      <c r="J210" t="s">
        <v>2119</v>
      </c>
      <c r="K210" t="s">
        <v>74</v>
      </c>
      <c r="L210" t="s">
        <v>74</v>
      </c>
      <c r="M210" t="s">
        <v>78</v>
      </c>
      <c r="N210" t="s">
        <v>726</v>
      </c>
      <c r="O210" t="s">
        <v>74</v>
      </c>
      <c r="P210" t="s">
        <v>74</v>
      </c>
      <c r="Q210" t="s">
        <v>74</v>
      </c>
      <c r="R210" t="s">
        <v>74</v>
      </c>
      <c r="S210" t="s">
        <v>74</v>
      </c>
      <c r="T210" t="s">
        <v>4522</v>
      </c>
      <c r="U210" t="s">
        <v>4523</v>
      </c>
      <c r="V210" t="s">
        <v>4524</v>
      </c>
      <c r="W210" t="s">
        <v>4525</v>
      </c>
      <c r="X210" t="s">
        <v>74</v>
      </c>
      <c r="Y210" t="s">
        <v>4526</v>
      </c>
      <c r="Z210" t="s">
        <v>4527</v>
      </c>
      <c r="AA210" t="s">
        <v>4528</v>
      </c>
      <c r="AB210" t="s">
        <v>4529</v>
      </c>
      <c r="AC210" t="s">
        <v>4530</v>
      </c>
      <c r="AD210" t="s">
        <v>4531</v>
      </c>
      <c r="AE210" t="s">
        <v>4532</v>
      </c>
      <c r="AF210" t="s">
        <v>74</v>
      </c>
      <c r="AG210">
        <v>63</v>
      </c>
      <c r="AH210">
        <v>126</v>
      </c>
      <c r="AI210">
        <v>144</v>
      </c>
      <c r="AJ210">
        <v>3</v>
      </c>
      <c r="AK210">
        <v>90</v>
      </c>
      <c r="AL210" t="s">
        <v>2127</v>
      </c>
      <c r="AM210" t="s">
        <v>737</v>
      </c>
      <c r="AN210" t="s">
        <v>4533</v>
      </c>
      <c r="AO210" t="s">
        <v>2130</v>
      </c>
      <c r="AP210" t="s">
        <v>2131</v>
      </c>
      <c r="AQ210" t="s">
        <v>74</v>
      </c>
      <c r="AR210" t="s">
        <v>2132</v>
      </c>
      <c r="AS210" t="s">
        <v>2133</v>
      </c>
      <c r="AT210" t="s">
        <v>1166</v>
      </c>
      <c r="AU210">
        <v>2018</v>
      </c>
      <c r="AV210">
        <v>54</v>
      </c>
      <c r="AW210">
        <v>4</v>
      </c>
      <c r="AX210" t="s">
        <v>74</v>
      </c>
      <c r="AY210" t="s">
        <v>74</v>
      </c>
      <c r="AZ210" t="s">
        <v>74</v>
      </c>
      <c r="BA210" t="s">
        <v>74</v>
      </c>
      <c r="BB210">
        <v>529</v>
      </c>
      <c r="BC210">
        <v>544</v>
      </c>
      <c r="BD210" t="s">
        <v>74</v>
      </c>
      <c r="BE210" t="s">
        <v>4534</v>
      </c>
      <c r="BF210" t="str">
        <f>HYPERLINK("http://dx.doi.org/10.1016/j.ipm.2018.03.004","http://dx.doi.org/10.1016/j.ipm.2018.03.004")</f>
        <v>http://dx.doi.org/10.1016/j.ipm.2018.03.004</v>
      </c>
      <c r="BG210" t="s">
        <v>74</v>
      </c>
      <c r="BH210" t="s">
        <v>74</v>
      </c>
      <c r="BI210">
        <v>16</v>
      </c>
      <c r="BJ210" t="s">
        <v>295</v>
      </c>
      <c r="BK210" t="s">
        <v>745</v>
      </c>
      <c r="BL210" t="s">
        <v>296</v>
      </c>
      <c r="BM210" t="s">
        <v>4535</v>
      </c>
      <c r="BN210" t="s">
        <v>74</v>
      </c>
      <c r="BO210" t="s">
        <v>74</v>
      </c>
      <c r="BP210" t="s">
        <v>74</v>
      </c>
      <c r="BQ210" t="s">
        <v>74</v>
      </c>
      <c r="BR210" t="s">
        <v>106</v>
      </c>
      <c r="BS210" t="s">
        <v>4536</v>
      </c>
      <c r="BT210" t="str">
        <f>HYPERLINK("https%3A%2F%2Fwww.webofscience.com%2Fwos%2Fwoscc%2Ffull-record%2FWOS:000434743700004","View Full Record in Web of Science")</f>
        <v>View Full Record in Web of Science</v>
      </c>
    </row>
    <row r="211" spans="1:72" x14ac:dyDescent="0.25">
      <c r="A211" t="s">
        <v>72</v>
      </c>
      <c r="B211" t="s">
        <v>4537</v>
      </c>
      <c r="C211" t="s">
        <v>74</v>
      </c>
      <c r="D211" t="s">
        <v>74</v>
      </c>
      <c r="E211" t="s">
        <v>74</v>
      </c>
      <c r="F211" t="s">
        <v>4538</v>
      </c>
      <c r="G211" t="s">
        <v>74</v>
      </c>
      <c r="H211" t="s">
        <v>74</v>
      </c>
      <c r="I211" t="s">
        <v>4539</v>
      </c>
      <c r="J211" t="s">
        <v>4540</v>
      </c>
      <c r="K211" t="s">
        <v>74</v>
      </c>
      <c r="L211" t="s">
        <v>74</v>
      </c>
      <c r="M211" t="s">
        <v>78</v>
      </c>
      <c r="N211" t="s">
        <v>79</v>
      </c>
      <c r="O211" t="s">
        <v>74</v>
      </c>
      <c r="P211" t="s">
        <v>74</v>
      </c>
      <c r="Q211" t="s">
        <v>74</v>
      </c>
      <c r="R211" t="s">
        <v>74</v>
      </c>
      <c r="S211" t="s">
        <v>74</v>
      </c>
      <c r="T211" t="s">
        <v>4541</v>
      </c>
      <c r="U211" t="s">
        <v>4542</v>
      </c>
      <c r="V211" t="s">
        <v>4543</v>
      </c>
      <c r="W211" t="s">
        <v>4544</v>
      </c>
      <c r="X211" t="s">
        <v>4545</v>
      </c>
      <c r="Y211" t="s">
        <v>4546</v>
      </c>
      <c r="Z211" t="s">
        <v>4547</v>
      </c>
      <c r="AA211" t="s">
        <v>74</v>
      </c>
      <c r="AB211" t="s">
        <v>4548</v>
      </c>
      <c r="AC211" t="s">
        <v>74</v>
      </c>
      <c r="AD211" t="s">
        <v>74</v>
      </c>
      <c r="AE211" t="s">
        <v>74</v>
      </c>
      <c r="AF211" t="s">
        <v>74</v>
      </c>
      <c r="AG211">
        <v>51</v>
      </c>
      <c r="AH211">
        <v>4</v>
      </c>
      <c r="AI211">
        <v>4</v>
      </c>
      <c r="AJ211">
        <v>0</v>
      </c>
      <c r="AK211">
        <v>2</v>
      </c>
      <c r="AL211" t="s">
        <v>4549</v>
      </c>
      <c r="AM211" t="s">
        <v>4550</v>
      </c>
      <c r="AN211" t="s">
        <v>4551</v>
      </c>
      <c r="AO211" t="s">
        <v>4552</v>
      </c>
      <c r="AP211" t="s">
        <v>4553</v>
      </c>
      <c r="AQ211" t="s">
        <v>74</v>
      </c>
      <c r="AR211" t="s">
        <v>4554</v>
      </c>
      <c r="AS211" t="s">
        <v>4555</v>
      </c>
      <c r="AT211" t="s">
        <v>565</v>
      </c>
      <c r="AU211">
        <v>2011</v>
      </c>
      <c r="AV211">
        <v>44</v>
      </c>
      <c r="AW211">
        <v>4</v>
      </c>
      <c r="AX211" t="s">
        <v>74</v>
      </c>
      <c r="AY211" t="s">
        <v>74</v>
      </c>
      <c r="AZ211" t="s">
        <v>74</v>
      </c>
      <c r="BA211" t="s">
        <v>74</v>
      </c>
      <c r="BB211">
        <v>536</v>
      </c>
      <c r="BC211">
        <v>544</v>
      </c>
      <c r="BD211" t="s">
        <v>74</v>
      </c>
      <c r="BE211" t="s">
        <v>4556</v>
      </c>
      <c r="BF211" t="str">
        <f>HYPERLINK("http://dx.doi.org/10.1016/j.jbi.2011.01.010","http://dx.doi.org/10.1016/j.jbi.2011.01.010")</f>
        <v>http://dx.doi.org/10.1016/j.jbi.2011.01.010</v>
      </c>
      <c r="BG211" t="s">
        <v>74</v>
      </c>
      <c r="BH211" t="s">
        <v>74</v>
      </c>
      <c r="BI211">
        <v>9</v>
      </c>
      <c r="BJ211" t="s">
        <v>4557</v>
      </c>
      <c r="BK211" t="s">
        <v>902</v>
      </c>
      <c r="BL211" t="s">
        <v>4558</v>
      </c>
      <c r="BM211" t="s">
        <v>4559</v>
      </c>
      <c r="BN211">
        <v>21284958</v>
      </c>
      <c r="BO211" t="s">
        <v>205</v>
      </c>
      <c r="BP211" t="s">
        <v>74</v>
      </c>
      <c r="BQ211" t="s">
        <v>74</v>
      </c>
      <c r="BR211" t="s">
        <v>106</v>
      </c>
      <c r="BS211" t="s">
        <v>4560</v>
      </c>
      <c r="BT211" t="str">
        <f>HYPERLINK("https%3A%2F%2Fwww.webofscience.com%2Fwos%2Fwoscc%2Ffull-record%2FWOS:000293371500004","View Full Record in Web of Science")</f>
        <v>View Full Record in Web of Science</v>
      </c>
    </row>
    <row r="212" spans="1:72" x14ac:dyDescent="0.25">
      <c r="A212" t="s">
        <v>108</v>
      </c>
      <c r="B212" t="s">
        <v>4561</v>
      </c>
      <c r="C212" t="s">
        <v>74</v>
      </c>
      <c r="D212" t="s">
        <v>74</v>
      </c>
      <c r="E212" t="s">
        <v>322</v>
      </c>
      <c r="F212" t="s">
        <v>4562</v>
      </c>
      <c r="G212" t="s">
        <v>74</v>
      </c>
      <c r="H212" t="s">
        <v>74</v>
      </c>
      <c r="I212" t="s">
        <v>4563</v>
      </c>
      <c r="J212" t="s">
        <v>4564</v>
      </c>
      <c r="K212" t="s">
        <v>74</v>
      </c>
      <c r="L212" t="s">
        <v>74</v>
      </c>
      <c r="M212" t="s">
        <v>78</v>
      </c>
      <c r="N212" t="s">
        <v>115</v>
      </c>
      <c r="O212" t="s">
        <v>4565</v>
      </c>
      <c r="P212" t="s">
        <v>4566</v>
      </c>
      <c r="Q212" t="s">
        <v>1983</v>
      </c>
      <c r="R212" t="s">
        <v>273</v>
      </c>
      <c r="S212" t="s">
        <v>74</v>
      </c>
      <c r="T212" t="s">
        <v>4567</v>
      </c>
      <c r="U212" t="s">
        <v>74</v>
      </c>
      <c r="V212" t="s">
        <v>4568</v>
      </c>
      <c r="W212" t="s">
        <v>4569</v>
      </c>
      <c r="X212" t="s">
        <v>4570</v>
      </c>
      <c r="Y212" t="s">
        <v>4571</v>
      </c>
      <c r="Z212" t="s">
        <v>4572</v>
      </c>
      <c r="AA212" t="s">
        <v>4573</v>
      </c>
      <c r="AB212" t="s">
        <v>4574</v>
      </c>
      <c r="AC212" t="s">
        <v>4575</v>
      </c>
      <c r="AD212" t="s">
        <v>4576</v>
      </c>
      <c r="AE212" t="s">
        <v>4577</v>
      </c>
      <c r="AF212" t="s">
        <v>74</v>
      </c>
      <c r="AG212">
        <v>67</v>
      </c>
      <c r="AH212">
        <v>16</v>
      </c>
      <c r="AI212">
        <v>17</v>
      </c>
      <c r="AJ212">
        <v>1</v>
      </c>
      <c r="AK212">
        <v>8</v>
      </c>
      <c r="AL212" t="s">
        <v>291</v>
      </c>
      <c r="AM212" t="s">
        <v>92</v>
      </c>
      <c r="AN212" t="s">
        <v>341</v>
      </c>
      <c r="AO212" t="s">
        <v>74</v>
      </c>
      <c r="AP212" t="s">
        <v>74</v>
      </c>
      <c r="AQ212" t="s">
        <v>4578</v>
      </c>
      <c r="AR212" t="s">
        <v>74</v>
      </c>
      <c r="AS212" t="s">
        <v>74</v>
      </c>
      <c r="AT212" t="s">
        <v>74</v>
      </c>
      <c r="AU212">
        <v>2022</v>
      </c>
      <c r="AV212" t="s">
        <v>74</v>
      </c>
      <c r="AW212" t="s">
        <v>74</v>
      </c>
      <c r="AX212" t="s">
        <v>74</v>
      </c>
      <c r="AY212" t="s">
        <v>74</v>
      </c>
      <c r="AZ212" t="s">
        <v>74</v>
      </c>
      <c r="BA212" t="s">
        <v>74</v>
      </c>
      <c r="BB212">
        <v>1685</v>
      </c>
      <c r="BC212">
        <v>1695</v>
      </c>
      <c r="BD212" t="s">
        <v>74</v>
      </c>
      <c r="BE212" t="s">
        <v>4579</v>
      </c>
      <c r="BF212" t="str">
        <f>HYPERLINK("http://dx.doi.org/10.1145/3511808.3557278","http://dx.doi.org/10.1145/3511808.3557278")</f>
        <v>http://dx.doi.org/10.1145/3511808.3557278</v>
      </c>
      <c r="BG212" t="s">
        <v>74</v>
      </c>
      <c r="BH212" t="s">
        <v>74</v>
      </c>
      <c r="BI212">
        <v>11</v>
      </c>
      <c r="BJ212" t="s">
        <v>852</v>
      </c>
      <c r="BK212" t="s">
        <v>203</v>
      </c>
      <c r="BL212" t="s">
        <v>103</v>
      </c>
      <c r="BM212" t="s">
        <v>4580</v>
      </c>
      <c r="BN212" t="s">
        <v>74</v>
      </c>
      <c r="BO212" t="s">
        <v>105</v>
      </c>
      <c r="BP212" t="s">
        <v>74</v>
      </c>
      <c r="BQ212" t="s">
        <v>74</v>
      </c>
      <c r="BR212" t="s">
        <v>106</v>
      </c>
      <c r="BS212" t="s">
        <v>4581</v>
      </c>
      <c r="BT212" t="str">
        <f>HYPERLINK("https%3A%2F%2Fwww.webofscience.com%2Fwos%2Fwoscc%2Ffull-record%2FWOS:001074639601064","View Full Record in Web of Science")</f>
        <v>View Full Record in Web of Science</v>
      </c>
    </row>
    <row r="213" spans="1:72" x14ac:dyDescent="0.25">
      <c r="A213" t="s">
        <v>72</v>
      </c>
      <c r="B213" t="s">
        <v>4582</v>
      </c>
      <c r="C213" t="s">
        <v>74</v>
      </c>
      <c r="D213" t="s">
        <v>74</v>
      </c>
      <c r="E213" t="s">
        <v>74</v>
      </c>
      <c r="F213" t="s">
        <v>4583</v>
      </c>
      <c r="G213" t="s">
        <v>74</v>
      </c>
      <c r="H213" t="s">
        <v>74</v>
      </c>
      <c r="I213" t="s">
        <v>4584</v>
      </c>
      <c r="J213" t="s">
        <v>882</v>
      </c>
      <c r="K213" t="s">
        <v>74</v>
      </c>
      <c r="L213" t="s">
        <v>74</v>
      </c>
      <c r="M213" t="s">
        <v>78</v>
      </c>
      <c r="N213" t="s">
        <v>79</v>
      </c>
      <c r="O213" t="s">
        <v>74</v>
      </c>
      <c r="P213" t="s">
        <v>74</v>
      </c>
      <c r="Q213" t="s">
        <v>74</v>
      </c>
      <c r="R213" t="s">
        <v>74</v>
      </c>
      <c r="S213" t="s">
        <v>74</v>
      </c>
      <c r="T213" t="s">
        <v>4585</v>
      </c>
      <c r="U213" t="s">
        <v>2505</v>
      </c>
      <c r="V213" t="s">
        <v>4586</v>
      </c>
      <c r="W213" t="s">
        <v>4587</v>
      </c>
      <c r="X213" t="s">
        <v>4588</v>
      </c>
      <c r="Y213" t="s">
        <v>4589</v>
      </c>
      <c r="Z213" t="s">
        <v>4590</v>
      </c>
      <c r="AA213" t="s">
        <v>4591</v>
      </c>
      <c r="AB213" t="s">
        <v>4592</v>
      </c>
      <c r="AC213" t="s">
        <v>4593</v>
      </c>
      <c r="AD213" t="s">
        <v>4594</v>
      </c>
      <c r="AE213" t="s">
        <v>4595</v>
      </c>
      <c r="AF213" t="s">
        <v>74</v>
      </c>
      <c r="AG213">
        <v>39</v>
      </c>
      <c r="AH213">
        <v>1</v>
      </c>
      <c r="AI213">
        <v>1</v>
      </c>
      <c r="AJ213">
        <v>0</v>
      </c>
      <c r="AK213">
        <v>10</v>
      </c>
      <c r="AL213" t="s">
        <v>895</v>
      </c>
      <c r="AM213" t="s">
        <v>896</v>
      </c>
      <c r="AN213" t="s">
        <v>897</v>
      </c>
      <c r="AO213" t="s">
        <v>898</v>
      </c>
      <c r="AP213" t="s">
        <v>74</v>
      </c>
      <c r="AQ213" t="s">
        <v>74</v>
      </c>
      <c r="AR213" t="s">
        <v>882</v>
      </c>
      <c r="AS213" t="s">
        <v>899</v>
      </c>
      <c r="AT213" t="s">
        <v>74</v>
      </c>
      <c r="AU213">
        <v>2020</v>
      </c>
      <c r="AV213">
        <v>8</v>
      </c>
      <c r="AW213" t="s">
        <v>74</v>
      </c>
      <c r="AX213" t="s">
        <v>74</v>
      </c>
      <c r="AY213" t="s">
        <v>74</v>
      </c>
      <c r="AZ213" t="s">
        <v>74</v>
      </c>
      <c r="BA213" t="s">
        <v>74</v>
      </c>
      <c r="BB213">
        <v>108300</v>
      </c>
      <c r="BC213">
        <v>108309</v>
      </c>
      <c r="BD213" t="s">
        <v>74</v>
      </c>
      <c r="BE213" t="s">
        <v>4596</v>
      </c>
      <c r="BF213" t="str">
        <f>HYPERLINK("http://dx.doi.org/10.1109/ACCESS.2020.3001210","http://dx.doi.org/10.1109/ACCESS.2020.3001210")</f>
        <v>http://dx.doi.org/10.1109/ACCESS.2020.3001210</v>
      </c>
      <c r="BG213" t="s">
        <v>74</v>
      </c>
      <c r="BH213" t="s">
        <v>74</v>
      </c>
      <c r="BI213">
        <v>10</v>
      </c>
      <c r="BJ213" t="s">
        <v>901</v>
      </c>
      <c r="BK213" t="s">
        <v>902</v>
      </c>
      <c r="BL213" t="s">
        <v>903</v>
      </c>
      <c r="BM213" t="s">
        <v>4597</v>
      </c>
      <c r="BN213" t="s">
        <v>74</v>
      </c>
      <c r="BO213" t="s">
        <v>398</v>
      </c>
      <c r="BP213" t="s">
        <v>74</v>
      </c>
      <c r="BQ213" t="s">
        <v>74</v>
      </c>
      <c r="BR213" t="s">
        <v>106</v>
      </c>
      <c r="BS213" t="s">
        <v>4598</v>
      </c>
      <c r="BT213" t="str">
        <f>HYPERLINK("https%3A%2F%2Fwww.webofscience.com%2Fwos%2Fwoscc%2Ffull-record%2FWOS:000549852300001","View Full Record in Web of Science")</f>
        <v>View Full Record in Web of Science</v>
      </c>
    </row>
    <row r="214" spans="1:72" x14ac:dyDescent="0.25">
      <c r="A214" t="s">
        <v>72</v>
      </c>
      <c r="B214" t="s">
        <v>4599</v>
      </c>
      <c r="C214" t="s">
        <v>74</v>
      </c>
      <c r="D214" t="s">
        <v>74</v>
      </c>
      <c r="E214" t="s">
        <v>74</v>
      </c>
      <c r="F214" t="s">
        <v>4600</v>
      </c>
      <c r="G214" t="s">
        <v>74</v>
      </c>
      <c r="H214" t="s">
        <v>74</v>
      </c>
      <c r="I214" t="s">
        <v>4601</v>
      </c>
      <c r="J214" t="s">
        <v>2480</v>
      </c>
      <c r="K214" t="s">
        <v>74</v>
      </c>
      <c r="L214" t="s">
        <v>74</v>
      </c>
      <c r="M214" t="s">
        <v>78</v>
      </c>
      <c r="N214" t="s">
        <v>79</v>
      </c>
      <c r="O214" t="s">
        <v>74</v>
      </c>
      <c r="P214" t="s">
        <v>74</v>
      </c>
      <c r="Q214" t="s">
        <v>74</v>
      </c>
      <c r="R214" t="s">
        <v>74</v>
      </c>
      <c r="S214" t="s">
        <v>74</v>
      </c>
      <c r="T214" t="s">
        <v>4602</v>
      </c>
      <c r="U214" t="s">
        <v>74</v>
      </c>
      <c r="V214" t="s">
        <v>4603</v>
      </c>
      <c r="W214" t="s">
        <v>4604</v>
      </c>
      <c r="X214" t="s">
        <v>1204</v>
      </c>
      <c r="Y214" t="s">
        <v>4605</v>
      </c>
      <c r="Z214" t="s">
        <v>4606</v>
      </c>
      <c r="AA214" t="s">
        <v>4607</v>
      </c>
      <c r="AB214" t="s">
        <v>4608</v>
      </c>
      <c r="AC214" t="s">
        <v>4609</v>
      </c>
      <c r="AD214" t="s">
        <v>4610</v>
      </c>
      <c r="AE214" t="s">
        <v>4611</v>
      </c>
      <c r="AF214" t="s">
        <v>74</v>
      </c>
      <c r="AG214">
        <v>37</v>
      </c>
      <c r="AH214">
        <v>4</v>
      </c>
      <c r="AI214">
        <v>7</v>
      </c>
      <c r="AJ214">
        <v>0</v>
      </c>
      <c r="AK214">
        <v>13</v>
      </c>
      <c r="AL214" t="s">
        <v>178</v>
      </c>
      <c r="AM214" t="s">
        <v>1005</v>
      </c>
      <c r="AN214" t="s">
        <v>1006</v>
      </c>
      <c r="AO214" t="s">
        <v>2489</v>
      </c>
      <c r="AP214" t="s">
        <v>3079</v>
      </c>
      <c r="AQ214" t="s">
        <v>74</v>
      </c>
      <c r="AR214" t="s">
        <v>2490</v>
      </c>
      <c r="AS214" t="s">
        <v>2491</v>
      </c>
      <c r="AT214" t="s">
        <v>1375</v>
      </c>
      <c r="AU214">
        <v>2019</v>
      </c>
      <c r="AV214">
        <v>78</v>
      </c>
      <c r="AW214">
        <v>12</v>
      </c>
      <c r="AX214" t="s">
        <v>74</v>
      </c>
      <c r="AY214" t="s">
        <v>74</v>
      </c>
      <c r="AZ214" t="s">
        <v>74</v>
      </c>
      <c r="BA214" t="s">
        <v>74</v>
      </c>
      <c r="BB214">
        <v>16923</v>
      </c>
      <c r="BC214">
        <v>16943</v>
      </c>
      <c r="BD214" t="s">
        <v>74</v>
      </c>
      <c r="BE214" t="s">
        <v>4612</v>
      </c>
      <c r="BF214" t="str">
        <f>HYPERLINK("http://dx.doi.org/10.1007/s11042-018-7019-9","http://dx.doi.org/10.1007/s11042-018-7019-9")</f>
        <v>http://dx.doi.org/10.1007/s11042-018-7019-9</v>
      </c>
      <c r="BG214" t="s">
        <v>74</v>
      </c>
      <c r="BH214" t="s">
        <v>74</v>
      </c>
      <c r="BI214">
        <v>21</v>
      </c>
      <c r="BJ214" t="s">
        <v>2493</v>
      </c>
      <c r="BK214" t="s">
        <v>902</v>
      </c>
      <c r="BL214" t="s">
        <v>953</v>
      </c>
      <c r="BM214" t="s">
        <v>4613</v>
      </c>
      <c r="BN214" t="s">
        <v>74</v>
      </c>
      <c r="BO214" t="s">
        <v>74</v>
      </c>
      <c r="BP214" t="s">
        <v>74</v>
      </c>
      <c r="BQ214" t="s">
        <v>74</v>
      </c>
      <c r="BR214" t="s">
        <v>106</v>
      </c>
      <c r="BS214" t="s">
        <v>4614</v>
      </c>
      <c r="BT214" t="str">
        <f>HYPERLINK("https%3A%2F%2Fwww.webofscience.com%2Fwos%2Fwoscc%2Ffull-record%2FWOS:000472094500053","View Full Record in Web of Science")</f>
        <v>View Full Record in Web of Science</v>
      </c>
    </row>
    <row r="215" spans="1:72" x14ac:dyDescent="0.25">
      <c r="A215" t="s">
        <v>108</v>
      </c>
      <c r="B215" t="s">
        <v>4615</v>
      </c>
      <c r="C215" t="s">
        <v>74</v>
      </c>
      <c r="D215" t="s">
        <v>74</v>
      </c>
      <c r="E215" t="s">
        <v>465</v>
      </c>
      <c r="F215" t="s">
        <v>4616</v>
      </c>
      <c r="G215" t="s">
        <v>74</v>
      </c>
      <c r="H215" t="s">
        <v>74</v>
      </c>
      <c r="I215" t="s">
        <v>4617</v>
      </c>
      <c r="J215" t="s">
        <v>4618</v>
      </c>
      <c r="K215" t="s">
        <v>4619</v>
      </c>
      <c r="L215" t="s">
        <v>74</v>
      </c>
      <c r="M215" t="s">
        <v>78</v>
      </c>
      <c r="N215" t="s">
        <v>115</v>
      </c>
      <c r="O215" t="s">
        <v>4620</v>
      </c>
      <c r="P215" t="s">
        <v>4621</v>
      </c>
      <c r="Q215" t="s">
        <v>4622</v>
      </c>
      <c r="R215" t="s">
        <v>4623</v>
      </c>
      <c r="S215" t="s">
        <v>4624</v>
      </c>
      <c r="T215" t="s">
        <v>4625</v>
      </c>
      <c r="U215" t="s">
        <v>4626</v>
      </c>
      <c r="V215" t="s">
        <v>4627</v>
      </c>
      <c r="W215" t="s">
        <v>4628</v>
      </c>
      <c r="X215" t="s">
        <v>4629</v>
      </c>
      <c r="Y215" t="s">
        <v>4630</v>
      </c>
      <c r="Z215" t="s">
        <v>74</v>
      </c>
      <c r="AA215" t="s">
        <v>4631</v>
      </c>
      <c r="AB215" t="s">
        <v>4632</v>
      </c>
      <c r="AC215" t="s">
        <v>4633</v>
      </c>
      <c r="AD215" t="s">
        <v>4633</v>
      </c>
      <c r="AE215" t="s">
        <v>4634</v>
      </c>
      <c r="AF215" t="s">
        <v>74</v>
      </c>
      <c r="AG215">
        <v>36</v>
      </c>
      <c r="AH215">
        <v>3</v>
      </c>
      <c r="AI215">
        <v>3</v>
      </c>
      <c r="AJ215">
        <v>0</v>
      </c>
      <c r="AK215">
        <v>0</v>
      </c>
      <c r="AL215" t="s">
        <v>465</v>
      </c>
      <c r="AM215" t="s">
        <v>92</v>
      </c>
      <c r="AN215" t="s">
        <v>480</v>
      </c>
      <c r="AO215" t="s">
        <v>4635</v>
      </c>
      <c r="AP215" t="s">
        <v>74</v>
      </c>
      <c r="AQ215" t="s">
        <v>4636</v>
      </c>
      <c r="AR215" t="s">
        <v>4637</v>
      </c>
      <c r="AS215" t="s">
        <v>74</v>
      </c>
      <c r="AT215" t="s">
        <v>74</v>
      </c>
      <c r="AU215">
        <v>2018</v>
      </c>
      <c r="AV215" t="s">
        <v>74</v>
      </c>
      <c r="AW215" t="s">
        <v>74</v>
      </c>
      <c r="AX215" t="s">
        <v>74</v>
      </c>
      <c r="AY215" t="s">
        <v>74</v>
      </c>
      <c r="AZ215" t="s">
        <v>74</v>
      </c>
      <c r="BA215" t="s">
        <v>74</v>
      </c>
      <c r="BB215" t="s">
        <v>74</v>
      </c>
      <c r="BC215" t="s">
        <v>74</v>
      </c>
      <c r="BD215" t="s">
        <v>74</v>
      </c>
      <c r="BE215" t="s">
        <v>74</v>
      </c>
      <c r="BF215" t="s">
        <v>74</v>
      </c>
      <c r="BG215" t="s">
        <v>74</v>
      </c>
      <c r="BH215" t="s">
        <v>74</v>
      </c>
      <c r="BI215">
        <v>9</v>
      </c>
      <c r="BJ215" t="s">
        <v>4638</v>
      </c>
      <c r="BK215" t="s">
        <v>203</v>
      </c>
      <c r="BL215" t="s">
        <v>486</v>
      </c>
      <c r="BM215" t="s">
        <v>4639</v>
      </c>
      <c r="BN215" t="s">
        <v>74</v>
      </c>
      <c r="BO215" t="s">
        <v>74</v>
      </c>
      <c r="BP215" t="s">
        <v>74</v>
      </c>
      <c r="BQ215" t="s">
        <v>74</v>
      </c>
      <c r="BR215" t="s">
        <v>106</v>
      </c>
      <c r="BS215" t="s">
        <v>4640</v>
      </c>
      <c r="BT215" t="str">
        <f>HYPERLINK("https%3A%2F%2Fwww.webofscience.com%2Fwos%2Fwoscc%2Ffull-record%2FWOS:000468396901066","View Full Record in Web of Science")</f>
        <v>View Full Record in Web of Science</v>
      </c>
    </row>
    <row r="216" spans="1:72" x14ac:dyDescent="0.25">
      <c r="A216" t="s">
        <v>108</v>
      </c>
      <c r="B216" t="s">
        <v>4641</v>
      </c>
      <c r="C216" t="s">
        <v>74</v>
      </c>
      <c r="D216" t="s">
        <v>4642</v>
      </c>
      <c r="E216" t="s">
        <v>74</v>
      </c>
      <c r="F216" t="s">
        <v>4643</v>
      </c>
      <c r="G216" t="s">
        <v>74</v>
      </c>
      <c r="H216" t="s">
        <v>74</v>
      </c>
      <c r="I216" t="s">
        <v>4644</v>
      </c>
      <c r="J216" t="s">
        <v>4645</v>
      </c>
      <c r="K216" t="s">
        <v>4646</v>
      </c>
      <c r="L216" t="s">
        <v>74</v>
      </c>
      <c r="M216" t="s">
        <v>78</v>
      </c>
      <c r="N216" t="s">
        <v>115</v>
      </c>
      <c r="O216" t="s">
        <v>4647</v>
      </c>
      <c r="P216" t="s">
        <v>1290</v>
      </c>
      <c r="Q216" t="s">
        <v>4648</v>
      </c>
      <c r="R216" t="s">
        <v>4649</v>
      </c>
      <c r="S216" t="s">
        <v>74</v>
      </c>
      <c r="T216" t="s">
        <v>74</v>
      </c>
      <c r="U216" t="s">
        <v>74</v>
      </c>
      <c r="V216" t="s">
        <v>4650</v>
      </c>
      <c r="W216" t="s">
        <v>4651</v>
      </c>
      <c r="X216" t="s">
        <v>4652</v>
      </c>
      <c r="Y216" t="s">
        <v>4653</v>
      </c>
      <c r="Z216" t="s">
        <v>4654</v>
      </c>
      <c r="AA216" t="s">
        <v>4655</v>
      </c>
      <c r="AB216" t="s">
        <v>4656</v>
      </c>
      <c r="AC216" t="s">
        <v>74</v>
      </c>
      <c r="AD216" t="s">
        <v>74</v>
      </c>
      <c r="AE216" t="s">
        <v>74</v>
      </c>
      <c r="AF216" t="s">
        <v>74</v>
      </c>
      <c r="AG216">
        <v>8</v>
      </c>
      <c r="AH216">
        <v>19</v>
      </c>
      <c r="AI216">
        <v>22</v>
      </c>
      <c r="AJ216">
        <v>0</v>
      </c>
      <c r="AK216">
        <v>12</v>
      </c>
      <c r="AL216" t="s">
        <v>465</v>
      </c>
      <c r="AM216" t="s">
        <v>92</v>
      </c>
      <c r="AN216" t="s">
        <v>480</v>
      </c>
      <c r="AO216" t="s">
        <v>4657</v>
      </c>
      <c r="AP216" t="s">
        <v>74</v>
      </c>
      <c r="AQ216" t="s">
        <v>4658</v>
      </c>
      <c r="AR216" t="s">
        <v>4659</v>
      </c>
      <c r="AS216" t="s">
        <v>74</v>
      </c>
      <c r="AT216" t="s">
        <v>74</v>
      </c>
      <c r="AU216">
        <v>2015</v>
      </c>
      <c r="AV216" t="s">
        <v>74</v>
      </c>
      <c r="AW216" t="s">
        <v>74</v>
      </c>
      <c r="AX216" t="s">
        <v>74</v>
      </c>
      <c r="AY216" t="s">
        <v>74</v>
      </c>
      <c r="AZ216" t="s">
        <v>74</v>
      </c>
      <c r="BA216" t="s">
        <v>74</v>
      </c>
      <c r="BB216">
        <v>757</v>
      </c>
      <c r="BC216">
        <v>762</v>
      </c>
      <c r="BD216" t="s">
        <v>74</v>
      </c>
      <c r="BE216" t="s">
        <v>4660</v>
      </c>
      <c r="BF216" t="str">
        <f>HYPERLINK("http://dx.doi.org/10.1109/ICDM.2015.34","http://dx.doi.org/10.1109/ICDM.2015.34")</f>
        <v>http://dx.doi.org/10.1109/ICDM.2015.34</v>
      </c>
      <c r="BG216" t="s">
        <v>74</v>
      </c>
      <c r="BH216" t="s">
        <v>74</v>
      </c>
      <c r="BI216">
        <v>6</v>
      </c>
      <c r="BJ216" t="s">
        <v>202</v>
      </c>
      <c r="BK216" t="s">
        <v>203</v>
      </c>
      <c r="BL216" t="s">
        <v>103</v>
      </c>
      <c r="BM216" t="s">
        <v>4661</v>
      </c>
      <c r="BN216" t="s">
        <v>74</v>
      </c>
      <c r="BO216" t="s">
        <v>346</v>
      </c>
      <c r="BP216" t="s">
        <v>74</v>
      </c>
      <c r="BQ216" t="s">
        <v>74</v>
      </c>
      <c r="BR216" t="s">
        <v>106</v>
      </c>
      <c r="BS216" t="s">
        <v>4662</v>
      </c>
      <c r="BT216" t="str">
        <f>HYPERLINK("https%3A%2F%2Fwww.webofscience.com%2Fwos%2Fwoscc%2Ffull-record%2FWOS:000380541000082","View Full Record in Web of Science")</f>
        <v>View Full Record in Web of Science</v>
      </c>
    </row>
    <row r="217" spans="1:72" x14ac:dyDescent="0.25">
      <c r="A217" t="s">
        <v>108</v>
      </c>
      <c r="B217" t="s">
        <v>4663</v>
      </c>
      <c r="C217" t="s">
        <v>74</v>
      </c>
      <c r="D217" t="s">
        <v>74</v>
      </c>
      <c r="E217" t="s">
        <v>465</v>
      </c>
      <c r="F217" t="s">
        <v>4664</v>
      </c>
      <c r="G217" t="s">
        <v>74</v>
      </c>
      <c r="H217" t="s">
        <v>74</v>
      </c>
      <c r="I217" t="s">
        <v>4665</v>
      </c>
      <c r="J217" t="s">
        <v>4666</v>
      </c>
      <c r="K217" t="s">
        <v>74</v>
      </c>
      <c r="L217" t="s">
        <v>74</v>
      </c>
      <c r="M217" t="s">
        <v>78</v>
      </c>
      <c r="N217" t="s">
        <v>115</v>
      </c>
      <c r="O217" t="s">
        <v>4667</v>
      </c>
      <c r="P217" t="s">
        <v>4668</v>
      </c>
      <c r="Q217" t="s">
        <v>4669</v>
      </c>
      <c r="R217" t="s">
        <v>4670</v>
      </c>
      <c r="S217" t="s">
        <v>74</v>
      </c>
      <c r="T217" t="s">
        <v>4671</v>
      </c>
      <c r="U217" t="s">
        <v>74</v>
      </c>
      <c r="V217" t="s">
        <v>4672</v>
      </c>
      <c r="W217" t="s">
        <v>4673</v>
      </c>
      <c r="X217" t="s">
        <v>4674</v>
      </c>
      <c r="Y217" t="s">
        <v>4675</v>
      </c>
      <c r="Z217" t="s">
        <v>4676</v>
      </c>
      <c r="AA217" t="s">
        <v>4677</v>
      </c>
      <c r="AB217" t="s">
        <v>74</v>
      </c>
      <c r="AC217" t="s">
        <v>74</v>
      </c>
      <c r="AD217" t="s">
        <v>74</v>
      </c>
      <c r="AE217" t="s">
        <v>74</v>
      </c>
      <c r="AF217" t="s">
        <v>74</v>
      </c>
      <c r="AG217">
        <v>12</v>
      </c>
      <c r="AH217">
        <v>2</v>
      </c>
      <c r="AI217">
        <v>2</v>
      </c>
      <c r="AJ217">
        <v>0</v>
      </c>
      <c r="AK217">
        <v>8</v>
      </c>
      <c r="AL217" t="s">
        <v>465</v>
      </c>
      <c r="AM217" t="s">
        <v>92</v>
      </c>
      <c r="AN217" t="s">
        <v>480</v>
      </c>
      <c r="AO217" t="s">
        <v>74</v>
      </c>
      <c r="AP217" t="s">
        <v>74</v>
      </c>
      <c r="AQ217" t="s">
        <v>4678</v>
      </c>
      <c r="AR217" t="s">
        <v>74</v>
      </c>
      <c r="AS217" t="s">
        <v>74</v>
      </c>
      <c r="AT217" t="s">
        <v>74</v>
      </c>
      <c r="AU217">
        <v>2021</v>
      </c>
      <c r="AV217" t="s">
        <v>74</v>
      </c>
      <c r="AW217" t="s">
        <v>74</v>
      </c>
      <c r="AX217" t="s">
        <v>74</v>
      </c>
      <c r="AY217" t="s">
        <v>74</v>
      </c>
      <c r="AZ217" t="s">
        <v>74</v>
      </c>
      <c r="BA217" t="s">
        <v>74</v>
      </c>
      <c r="BB217" t="s">
        <v>74</v>
      </c>
      <c r="BC217" t="s">
        <v>74</v>
      </c>
      <c r="BD217">
        <v>407</v>
      </c>
      <c r="BE217" t="s">
        <v>4679</v>
      </c>
      <c r="BF217" t="str">
        <f>HYPERLINK("http://dx.doi.org/10.1109/I2CT51068.2021.9418126","http://dx.doi.org/10.1109/I2CT51068.2021.9418126")</f>
        <v>http://dx.doi.org/10.1109/I2CT51068.2021.9418126</v>
      </c>
      <c r="BG217" t="s">
        <v>74</v>
      </c>
      <c r="BH217" t="s">
        <v>74</v>
      </c>
      <c r="BI217">
        <v>6</v>
      </c>
      <c r="BJ217" t="s">
        <v>1817</v>
      </c>
      <c r="BK217" t="s">
        <v>203</v>
      </c>
      <c r="BL217" t="s">
        <v>1737</v>
      </c>
      <c r="BM217" t="s">
        <v>4680</v>
      </c>
      <c r="BN217" t="s">
        <v>74</v>
      </c>
      <c r="BO217" t="s">
        <v>74</v>
      </c>
      <c r="BP217" t="s">
        <v>74</v>
      </c>
      <c r="BQ217" t="s">
        <v>74</v>
      </c>
      <c r="BR217" t="s">
        <v>106</v>
      </c>
      <c r="BS217" t="s">
        <v>4681</v>
      </c>
      <c r="BT217" t="str">
        <f>HYPERLINK("https%3A%2F%2Fwww.webofscience.com%2Fwos%2Fwoscc%2Ffull-record%2FWOS:000679383900222","View Full Record in Web of Science")</f>
        <v>View Full Record in Web of Science</v>
      </c>
    </row>
    <row r="218" spans="1:72" x14ac:dyDescent="0.25">
      <c r="A218" t="s">
        <v>72</v>
      </c>
      <c r="B218" t="s">
        <v>4682</v>
      </c>
      <c r="C218" t="s">
        <v>74</v>
      </c>
      <c r="D218" t="s">
        <v>74</v>
      </c>
      <c r="E218" t="s">
        <v>74</v>
      </c>
      <c r="F218" t="s">
        <v>4683</v>
      </c>
      <c r="G218" t="s">
        <v>74</v>
      </c>
      <c r="H218" t="s">
        <v>74</v>
      </c>
      <c r="I218" t="s">
        <v>4684</v>
      </c>
      <c r="J218" t="s">
        <v>4685</v>
      </c>
      <c r="K218" t="s">
        <v>74</v>
      </c>
      <c r="L218" t="s">
        <v>74</v>
      </c>
      <c r="M218" t="s">
        <v>78</v>
      </c>
      <c r="N218" t="s">
        <v>79</v>
      </c>
      <c r="O218" t="s">
        <v>74</v>
      </c>
      <c r="P218" t="s">
        <v>74</v>
      </c>
      <c r="Q218" t="s">
        <v>74</v>
      </c>
      <c r="R218" t="s">
        <v>74</v>
      </c>
      <c r="S218" t="s">
        <v>74</v>
      </c>
      <c r="T218" t="s">
        <v>4686</v>
      </c>
      <c r="U218" t="s">
        <v>884</v>
      </c>
      <c r="V218" t="s">
        <v>4687</v>
      </c>
      <c r="W218" t="s">
        <v>4688</v>
      </c>
      <c r="X218" t="s">
        <v>4689</v>
      </c>
      <c r="Y218" t="s">
        <v>4690</v>
      </c>
      <c r="Z218" t="s">
        <v>4691</v>
      </c>
      <c r="AA218" t="s">
        <v>74</v>
      </c>
      <c r="AB218" t="s">
        <v>74</v>
      </c>
      <c r="AC218" t="s">
        <v>74</v>
      </c>
      <c r="AD218" t="s">
        <v>74</v>
      </c>
      <c r="AE218" t="s">
        <v>74</v>
      </c>
      <c r="AF218" t="s">
        <v>74</v>
      </c>
      <c r="AG218">
        <v>25</v>
      </c>
      <c r="AH218">
        <v>6</v>
      </c>
      <c r="AI218">
        <v>8</v>
      </c>
      <c r="AJ218">
        <v>0</v>
      </c>
      <c r="AK218">
        <v>11</v>
      </c>
      <c r="AL218" t="s">
        <v>178</v>
      </c>
      <c r="AM218" t="s">
        <v>1005</v>
      </c>
      <c r="AN218" t="s">
        <v>1006</v>
      </c>
      <c r="AO218" t="s">
        <v>4692</v>
      </c>
      <c r="AP218" t="s">
        <v>4693</v>
      </c>
      <c r="AQ218" t="s">
        <v>74</v>
      </c>
      <c r="AR218" t="s">
        <v>4694</v>
      </c>
      <c r="AS218" t="s">
        <v>4695</v>
      </c>
      <c r="AT218" t="s">
        <v>4318</v>
      </c>
      <c r="AU218">
        <v>2016</v>
      </c>
      <c r="AV218">
        <v>47</v>
      </c>
      <c r="AW218">
        <v>2</v>
      </c>
      <c r="AX218" t="s">
        <v>74</v>
      </c>
      <c r="AY218" t="s">
        <v>74</v>
      </c>
      <c r="AZ218" t="s">
        <v>74</v>
      </c>
      <c r="BA218" t="s">
        <v>74</v>
      </c>
      <c r="BB218">
        <v>247</v>
      </c>
      <c r="BC218">
        <v>265</v>
      </c>
      <c r="BD218" t="s">
        <v>74</v>
      </c>
      <c r="BE218" t="s">
        <v>4696</v>
      </c>
      <c r="BF218" t="str">
        <f>HYPERLINK("http://dx.doi.org/10.1007/s10844-016-0410-y","http://dx.doi.org/10.1007/s10844-016-0410-y")</f>
        <v>http://dx.doi.org/10.1007/s10844-016-0410-y</v>
      </c>
      <c r="BG218" t="s">
        <v>74</v>
      </c>
      <c r="BH218" t="s">
        <v>74</v>
      </c>
      <c r="BI218">
        <v>19</v>
      </c>
      <c r="BJ218" t="s">
        <v>202</v>
      </c>
      <c r="BK218" t="s">
        <v>902</v>
      </c>
      <c r="BL218" t="s">
        <v>103</v>
      </c>
      <c r="BM218" t="s">
        <v>4697</v>
      </c>
      <c r="BN218" t="s">
        <v>74</v>
      </c>
      <c r="BO218" t="s">
        <v>74</v>
      </c>
      <c r="BP218" t="s">
        <v>74</v>
      </c>
      <c r="BQ218" t="s">
        <v>74</v>
      </c>
      <c r="BR218" t="s">
        <v>106</v>
      </c>
      <c r="BS218" t="s">
        <v>4698</v>
      </c>
      <c r="BT218" t="str">
        <f>HYPERLINK("https%3A%2F%2Fwww.webofscience.com%2Fwos%2Fwoscc%2Ffull-record%2FWOS:000383574500005","View Full Record in Web of Science")</f>
        <v>View Full Record in Web of Science</v>
      </c>
    </row>
    <row r="219" spans="1:72" x14ac:dyDescent="0.25">
      <c r="A219" t="s">
        <v>108</v>
      </c>
      <c r="B219" t="s">
        <v>4699</v>
      </c>
      <c r="C219" t="s">
        <v>74</v>
      </c>
      <c r="D219" t="s">
        <v>74</v>
      </c>
      <c r="E219" t="s">
        <v>291</v>
      </c>
      <c r="F219" t="s">
        <v>4700</v>
      </c>
      <c r="G219" t="s">
        <v>74</v>
      </c>
      <c r="H219" t="s">
        <v>74</v>
      </c>
      <c r="I219" t="s">
        <v>4701</v>
      </c>
      <c r="J219" t="s">
        <v>4702</v>
      </c>
      <c r="K219" t="s">
        <v>74</v>
      </c>
      <c r="L219" t="s">
        <v>74</v>
      </c>
      <c r="M219" t="s">
        <v>78</v>
      </c>
      <c r="N219" t="s">
        <v>115</v>
      </c>
      <c r="O219" t="s">
        <v>4703</v>
      </c>
      <c r="P219" t="s">
        <v>4704</v>
      </c>
      <c r="Q219" t="s">
        <v>1983</v>
      </c>
      <c r="R219" t="s">
        <v>74</v>
      </c>
      <c r="S219" t="s">
        <v>74</v>
      </c>
      <c r="T219" t="s">
        <v>4705</v>
      </c>
      <c r="U219" t="s">
        <v>4706</v>
      </c>
      <c r="V219" t="s">
        <v>4707</v>
      </c>
      <c r="W219" t="s">
        <v>4708</v>
      </c>
      <c r="X219" t="s">
        <v>4709</v>
      </c>
      <c r="Y219" t="s">
        <v>4710</v>
      </c>
      <c r="Z219" t="s">
        <v>4711</v>
      </c>
      <c r="AA219" t="s">
        <v>4712</v>
      </c>
      <c r="AB219" t="s">
        <v>4713</v>
      </c>
      <c r="AC219" t="s">
        <v>74</v>
      </c>
      <c r="AD219" t="s">
        <v>74</v>
      </c>
      <c r="AE219" t="s">
        <v>74</v>
      </c>
      <c r="AF219" t="s">
        <v>74</v>
      </c>
      <c r="AG219">
        <v>37</v>
      </c>
      <c r="AH219">
        <v>1</v>
      </c>
      <c r="AI219">
        <v>4</v>
      </c>
      <c r="AJ219">
        <v>1</v>
      </c>
      <c r="AK219">
        <v>4</v>
      </c>
      <c r="AL219" t="s">
        <v>291</v>
      </c>
      <c r="AM219" t="s">
        <v>92</v>
      </c>
      <c r="AN219" t="s">
        <v>341</v>
      </c>
      <c r="AO219" t="s">
        <v>74</v>
      </c>
      <c r="AP219" t="s">
        <v>74</v>
      </c>
      <c r="AQ219" t="s">
        <v>4714</v>
      </c>
      <c r="AR219" t="s">
        <v>74</v>
      </c>
      <c r="AS219" t="s">
        <v>74</v>
      </c>
      <c r="AT219" t="s">
        <v>74</v>
      </c>
      <c r="AU219">
        <v>2024</v>
      </c>
      <c r="AV219" t="s">
        <v>74</v>
      </c>
      <c r="AW219" t="s">
        <v>74</v>
      </c>
      <c r="AX219" t="s">
        <v>74</v>
      </c>
      <c r="AY219" t="s">
        <v>74</v>
      </c>
      <c r="AZ219" t="s">
        <v>74</v>
      </c>
      <c r="BA219" t="s">
        <v>74</v>
      </c>
      <c r="BB219">
        <v>154</v>
      </c>
      <c r="BC219">
        <v>164</v>
      </c>
      <c r="BD219" t="s">
        <v>74</v>
      </c>
      <c r="BE219" t="s">
        <v>4715</v>
      </c>
      <c r="BF219" t="str">
        <f>HYPERLINK("http://dx.doi.org/10.1145/3657604.3662037","http://dx.doi.org/10.1145/3657604.3662037")</f>
        <v>http://dx.doi.org/10.1145/3657604.3662037</v>
      </c>
      <c r="BG219" t="s">
        <v>74</v>
      </c>
      <c r="BH219" t="s">
        <v>74</v>
      </c>
      <c r="BI219">
        <v>11</v>
      </c>
      <c r="BJ219" t="s">
        <v>4716</v>
      </c>
      <c r="BK219" t="s">
        <v>138</v>
      </c>
      <c r="BL219" t="s">
        <v>139</v>
      </c>
      <c r="BM219" t="s">
        <v>4717</v>
      </c>
      <c r="BN219" t="s">
        <v>74</v>
      </c>
      <c r="BO219" t="s">
        <v>372</v>
      </c>
      <c r="BP219" t="s">
        <v>74</v>
      </c>
      <c r="BQ219" t="s">
        <v>74</v>
      </c>
      <c r="BR219" t="s">
        <v>106</v>
      </c>
      <c r="BS219" t="s">
        <v>4718</v>
      </c>
      <c r="BT219" t="str">
        <f>HYPERLINK("https%3A%2F%2Fwww.webofscience.com%2Fwos%2Fwoscc%2Ffull-record%2FWOS:001276257200013","View Full Record in Web of Science")</f>
        <v>View Full Record in Web of Science</v>
      </c>
    </row>
    <row r="220" spans="1:72" x14ac:dyDescent="0.25">
      <c r="A220" t="s">
        <v>108</v>
      </c>
      <c r="B220" t="s">
        <v>4719</v>
      </c>
      <c r="C220" t="s">
        <v>74</v>
      </c>
      <c r="D220" t="s">
        <v>74</v>
      </c>
      <c r="E220" t="s">
        <v>322</v>
      </c>
      <c r="F220" t="s">
        <v>4720</v>
      </c>
      <c r="G220" t="s">
        <v>74</v>
      </c>
      <c r="H220" t="s">
        <v>74</v>
      </c>
      <c r="I220" t="s">
        <v>4721</v>
      </c>
      <c r="J220" t="s">
        <v>4722</v>
      </c>
      <c r="K220" t="s">
        <v>74</v>
      </c>
      <c r="L220" t="s">
        <v>74</v>
      </c>
      <c r="M220" t="s">
        <v>78</v>
      </c>
      <c r="N220" t="s">
        <v>115</v>
      </c>
      <c r="O220" t="s">
        <v>4723</v>
      </c>
      <c r="P220" t="s">
        <v>4724</v>
      </c>
      <c r="Q220" t="s">
        <v>4725</v>
      </c>
      <c r="R220" t="s">
        <v>74</v>
      </c>
      <c r="S220" t="s">
        <v>4726</v>
      </c>
      <c r="T220" t="s">
        <v>4727</v>
      </c>
      <c r="U220" t="s">
        <v>4728</v>
      </c>
      <c r="V220" t="s">
        <v>4729</v>
      </c>
      <c r="W220" t="s">
        <v>4730</v>
      </c>
      <c r="X220" t="s">
        <v>4731</v>
      </c>
      <c r="Y220" t="s">
        <v>4732</v>
      </c>
      <c r="Z220" t="s">
        <v>4733</v>
      </c>
      <c r="AA220" t="s">
        <v>4734</v>
      </c>
      <c r="AB220" t="s">
        <v>4735</v>
      </c>
      <c r="AC220" t="s">
        <v>74</v>
      </c>
      <c r="AD220" t="s">
        <v>74</v>
      </c>
      <c r="AE220" t="s">
        <v>74</v>
      </c>
      <c r="AF220" t="s">
        <v>74</v>
      </c>
      <c r="AG220">
        <v>19</v>
      </c>
      <c r="AH220">
        <v>4</v>
      </c>
      <c r="AI220">
        <v>6</v>
      </c>
      <c r="AJ220">
        <v>0</v>
      </c>
      <c r="AK220">
        <v>19</v>
      </c>
      <c r="AL220" t="s">
        <v>291</v>
      </c>
      <c r="AM220" t="s">
        <v>92</v>
      </c>
      <c r="AN220" t="s">
        <v>292</v>
      </c>
      <c r="AO220" t="s">
        <v>74</v>
      </c>
      <c r="AP220" t="s">
        <v>74</v>
      </c>
      <c r="AQ220" t="s">
        <v>4736</v>
      </c>
      <c r="AR220" t="s">
        <v>74</v>
      </c>
      <c r="AS220" t="s">
        <v>74</v>
      </c>
      <c r="AT220" t="s">
        <v>74</v>
      </c>
      <c r="AU220">
        <v>2018</v>
      </c>
      <c r="AV220" t="s">
        <v>74</v>
      </c>
      <c r="AW220" t="s">
        <v>74</v>
      </c>
      <c r="AX220" t="s">
        <v>74</v>
      </c>
      <c r="AY220" t="s">
        <v>74</v>
      </c>
      <c r="AZ220" t="s">
        <v>74</v>
      </c>
      <c r="BA220" t="s">
        <v>74</v>
      </c>
      <c r="BB220">
        <v>10</v>
      </c>
      <c r="BC220">
        <v>15</v>
      </c>
      <c r="BD220" t="s">
        <v>74</v>
      </c>
      <c r="BE220" t="s">
        <v>4737</v>
      </c>
      <c r="BF220" t="str">
        <f>HYPERLINK("http://dx.doi.org/10.1145/3268808.3268817","http://dx.doi.org/10.1145/3268808.3268817")</f>
        <v>http://dx.doi.org/10.1145/3268808.3268817</v>
      </c>
      <c r="BG220" t="s">
        <v>74</v>
      </c>
      <c r="BH220" t="s">
        <v>74</v>
      </c>
      <c r="BI220">
        <v>6</v>
      </c>
      <c r="BJ220" t="s">
        <v>4738</v>
      </c>
      <c r="BK220" t="s">
        <v>138</v>
      </c>
      <c r="BL220" t="s">
        <v>139</v>
      </c>
      <c r="BM220" t="s">
        <v>4739</v>
      </c>
      <c r="BN220" t="s">
        <v>74</v>
      </c>
      <c r="BO220" t="s">
        <v>74</v>
      </c>
      <c r="BP220" t="s">
        <v>74</v>
      </c>
      <c r="BQ220" t="s">
        <v>74</v>
      </c>
      <c r="BR220" t="s">
        <v>106</v>
      </c>
      <c r="BS220" t="s">
        <v>4740</v>
      </c>
      <c r="BT220" t="str">
        <f>HYPERLINK("https%3A%2F%2Fwww.webofscience.com%2Fwos%2Fwoscc%2Ffull-record%2FWOS:000515699400003","View Full Record in Web of Science")</f>
        <v>View Full Record in Web of Science</v>
      </c>
    </row>
    <row r="221" spans="1:72" x14ac:dyDescent="0.25">
      <c r="A221" t="s">
        <v>72</v>
      </c>
      <c r="B221" t="s">
        <v>4741</v>
      </c>
      <c r="C221" t="s">
        <v>74</v>
      </c>
      <c r="D221" t="s">
        <v>74</v>
      </c>
      <c r="E221" t="s">
        <v>74</v>
      </c>
      <c r="F221" t="s">
        <v>4742</v>
      </c>
      <c r="G221" t="s">
        <v>74</v>
      </c>
      <c r="H221" t="s">
        <v>74</v>
      </c>
      <c r="I221" t="s">
        <v>4743</v>
      </c>
      <c r="J221" t="s">
        <v>4744</v>
      </c>
      <c r="K221" t="s">
        <v>74</v>
      </c>
      <c r="L221" t="s">
        <v>74</v>
      </c>
      <c r="M221" t="s">
        <v>78</v>
      </c>
      <c r="N221" t="s">
        <v>79</v>
      </c>
      <c r="O221" t="s">
        <v>74</v>
      </c>
      <c r="P221" t="s">
        <v>74</v>
      </c>
      <c r="Q221" t="s">
        <v>74</v>
      </c>
      <c r="R221" t="s">
        <v>74</v>
      </c>
      <c r="S221" t="s">
        <v>74</v>
      </c>
      <c r="T221" t="s">
        <v>4745</v>
      </c>
      <c r="U221" t="s">
        <v>74</v>
      </c>
      <c r="V221" t="s">
        <v>4746</v>
      </c>
      <c r="W221" t="s">
        <v>4747</v>
      </c>
      <c r="X221" t="s">
        <v>4748</v>
      </c>
      <c r="Y221" t="s">
        <v>4749</v>
      </c>
      <c r="Z221" t="s">
        <v>4750</v>
      </c>
      <c r="AA221" t="s">
        <v>4751</v>
      </c>
      <c r="AB221" t="s">
        <v>4752</v>
      </c>
      <c r="AC221" t="s">
        <v>74</v>
      </c>
      <c r="AD221" t="s">
        <v>74</v>
      </c>
      <c r="AE221" t="s">
        <v>74</v>
      </c>
      <c r="AF221" t="s">
        <v>74</v>
      </c>
      <c r="AG221">
        <v>34</v>
      </c>
      <c r="AH221">
        <v>48</v>
      </c>
      <c r="AI221">
        <v>58</v>
      </c>
      <c r="AJ221">
        <v>1</v>
      </c>
      <c r="AK221">
        <v>18</v>
      </c>
      <c r="AL221" t="s">
        <v>178</v>
      </c>
      <c r="AM221" t="s">
        <v>92</v>
      </c>
      <c r="AN221" t="s">
        <v>179</v>
      </c>
      <c r="AO221" t="s">
        <v>4753</v>
      </c>
      <c r="AP221" t="s">
        <v>4754</v>
      </c>
      <c r="AQ221" t="s">
        <v>74</v>
      </c>
      <c r="AR221" t="s">
        <v>4755</v>
      </c>
      <c r="AS221" t="s">
        <v>4756</v>
      </c>
      <c r="AT221" t="s">
        <v>246</v>
      </c>
      <c r="AU221">
        <v>2019</v>
      </c>
      <c r="AV221">
        <v>22</v>
      </c>
      <c r="AW221">
        <v>6</v>
      </c>
      <c r="AX221" t="s">
        <v>74</v>
      </c>
      <c r="AY221" t="s">
        <v>74</v>
      </c>
      <c r="AZ221" t="s">
        <v>247</v>
      </c>
      <c r="BA221" t="s">
        <v>74</v>
      </c>
      <c r="BB221">
        <v>2611</v>
      </c>
      <c r="BC221">
        <v>2632</v>
      </c>
      <c r="BD221" t="s">
        <v>74</v>
      </c>
      <c r="BE221" t="s">
        <v>4757</v>
      </c>
      <c r="BF221" t="str">
        <f>HYPERLINK("http://dx.doi.org/10.1007/s11280-018-0572-3","http://dx.doi.org/10.1007/s11280-018-0572-3")</f>
        <v>http://dx.doi.org/10.1007/s11280-018-0572-3</v>
      </c>
      <c r="BG221" t="s">
        <v>74</v>
      </c>
      <c r="BH221" t="s">
        <v>74</v>
      </c>
      <c r="BI221">
        <v>22</v>
      </c>
      <c r="BJ221" t="s">
        <v>2540</v>
      </c>
      <c r="BK221" t="s">
        <v>902</v>
      </c>
      <c r="BL221" t="s">
        <v>103</v>
      </c>
      <c r="BM221" t="s">
        <v>4758</v>
      </c>
      <c r="BN221" t="s">
        <v>74</v>
      </c>
      <c r="BO221" t="s">
        <v>74</v>
      </c>
      <c r="BP221" t="s">
        <v>74</v>
      </c>
      <c r="BQ221" t="s">
        <v>74</v>
      </c>
      <c r="BR221" t="s">
        <v>106</v>
      </c>
      <c r="BS221" t="s">
        <v>4759</v>
      </c>
      <c r="BT221" t="str">
        <f>HYPERLINK("https%3A%2F%2Fwww.webofscience.com%2Fwos%2Fwoscc%2Ffull-record%2FWOS:000504322400016","View Full Record in Web of Science")</f>
        <v>View Full Record in Web of Science</v>
      </c>
    </row>
    <row r="222" spans="1:72" x14ac:dyDescent="0.25">
      <c r="A222" t="s">
        <v>72</v>
      </c>
      <c r="B222" t="s">
        <v>4760</v>
      </c>
      <c r="C222" t="s">
        <v>74</v>
      </c>
      <c r="D222" t="s">
        <v>74</v>
      </c>
      <c r="E222" t="s">
        <v>74</v>
      </c>
      <c r="F222" t="s">
        <v>4761</v>
      </c>
      <c r="G222" t="s">
        <v>74</v>
      </c>
      <c r="H222" t="s">
        <v>74</v>
      </c>
      <c r="I222" t="s">
        <v>4762</v>
      </c>
      <c r="J222" t="s">
        <v>3087</v>
      </c>
      <c r="K222" t="s">
        <v>74</v>
      </c>
      <c r="L222" t="s">
        <v>74</v>
      </c>
      <c r="M222" t="s">
        <v>78</v>
      </c>
      <c r="N222" t="s">
        <v>79</v>
      </c>
      <c r="O222" t="s">
        <v>74</v>
      </c>
      <c r="P222" t="s">
        <v>74</v>
      </c>
      <c r="Q222" t="s">
        <v>74</v>
      </c>
      <c r="R222" t="s">
        <v>74</v>
      </c>
      <c r="S222" t="s">
        <v>74</v>
      </c>
      <c r="T222" t="s">
        <v>4763</v>
      </c>
      <c r="U222" t="s">
        <v>4764</v>
      </c>
      <c r="V222" t="s">
        <v>4765</v>
      </c>
      <c r="W222" t="s">
        <v>4766</v>
      </c>
      <c r="X222" t="s">
        <v>4767</v>
      </c>
      <c r="Y222" t="s">
        <v>4768</v>
      </c>
      <c r="Z222" t="s">
        <v>4769</v>
      </c>
      <c r="AA222" t="s">
        <v>74</v>
      </c>
      <c r="AB222" t="s">
        <v>74</v>
      </c>
      <c r="AC222" t="s">
        <v>4770</v>
      </c>
      <c r="AD222" t="s">
        <v>4771</v>
      </c>
      <c r="AE222" t="s">
        <v>4772</v>
      </c>
      <c r="AF222" t="s">
        <v>74</v>
      </c>
      <c r="AG222">
        <v>30</v>
      </c>
      <c r="AH222">
        <v>2</v>
      </c>
      <c r="AI222">
        <v>3</v>
      </c>
      <c r="AJ222">
        <v>0</v>
      </c>
      <c r="AK222">
        <v>15</v>
      </c>
      <c r="AL222" t="s">
        <v>1272</v>
      </c>
      <c r="AM222" t="s">
        <v>1273</v>
      </c>
      <c r="AN222" t="s">
        <v>3098</v>
      </c>
      <c r="AO222" t="s">
        <v>74</v>
      </c>
      <c r="AP222" t="s">
        <v>3099</v>
      </c>
      <c r="AQ222" t="s">
        <v>74</v>
      </c>
      <c r="AR222" t="s">
        <v>3100</v>
      </c>
      <c r="AS222" t="s">
        <v>3101</v>
      </c>
      <c r="AT222" t="s">
        <v>246</v>
      </c>
      <c r="AU222">
        <v>2022</v>
      </c>
      <c r="AV222">
        <v>24</v>
      </c>
      <c r="AW222">
        <v>11</v>
      </c>
      <c r="AX222" t="s">
        <v>74</v>
      </c>
      <c r="AY222" t="s">
        <v>74</v>
      </c>
      <c r="AZ222" t="s">
        <v>74</v>
      </c>
      <c r="BA222" t="s">
        <v>74</v>
      </c>
      <c r="BB222" t="s">
        <v>74</v>
      </c>
      <c r="BC222" t="s">
        <v>74</v>
      </c>
      <c r="BD222">
        <v>1662</v>
      </c>
      <c r="BE222" t="s">
        <v>4773</v>
      </c>
      <c r="BF222" t="str">
        <f>HYPERLINK("http://dx.doi.org/10.3390/e24111662","http://dx.doi.org/10.3390/e24111662")</f>
        <v>http://dx.doi.org/10.3390/e24111662</v>
      </c>
      <c r="BG222" t="s">
        <v>74</v>
      </c>
      <c r="BH222" t="s">
        <v>74</v>
      </c>
      <c r="BI222">
        <v>13</v>
      </c>
      <c r="BJ222" t="s">
        <v>3103</v>
      </c>
      <c r="BK222" t="s">
        <v>902</v>
      </c>
      <c r="BL222" t="s">
        <v>3104</v>
      </c>
      <c r="BM222" t="s">
        <v>4774</v>
      </c>
      <c r="BN222" t="s">
        <v>74</v>
      </c>
      <c r="BO222" t="s">
        <v>398</v>
      </c>
      <c r="BP222" t="s">
        <v>74</v>
      </c>
      <c r="BQ222" t="s">
        <v>74</v>
      </c>
      <c r="BR222" t="s">
        <v>106</v>
      </c>
      <c r="BS222" t="s">
        <v>4775</v>
      </c>
      <c r="BT222" t="str">
        <f>HYPERLINK("https%3A%2F%2Fwww.webofscience.com%2Fwos%2Fwoscc%2Ffull-record%2FWOS:000895255900001","View Full Record in Web of Science")</f>
        <v>View Full Record in Web of Science</v>
      </c>
    </row>
    <row r="223" spans="1:72" x14ac:dyDescent="0.25">
      <c r="A223" t="s">
        <v>72</v>
      </c>
      <c r="B223" t="s">
        <v>4776</v>
      </c>
      <c r="C223" t="s">
        <v>74</v>
      </c>
      <c r="D223" t="s">
        <v>74</v>
      </c>
      <c r="E223" t="s">
        <v>74</v>
      </c>
      <c r="F223" t="s">
        <v>4777</v>
      </c>
      <c r="G223" t="s">
        <v>74</v>
      </c>
      <c r="H223" t="s">
        <v>74</v>
      </c>
      <c r="I223" t="s">
        <v>4778</v>
      </c>
      <c r="J223" t="s">
        <v>4779</v>
      </c>
      <c r="K223" t="s">
        <v>74</v>
      </c>
      <c r="L223" t="s">
        <v>74</v>
      </c>
      <c r="M223" t="s">
        <v>78</v>
      </c>
      <c r="N223" t="s">
        <v>79</v>
      </c>
      <c r="O223" t="s">
        <v>74</v>
      </c>
      <c r="P223" t="s">
        <v>74</v>
      </c>
      <c r="Q223" t="s">
        <v>74</v>
      </c>
      <c r="R223" t="s">
        <v>74</v>
      </c>
      <c r="S223" t="s">
        <v>74</v>
      </c>
      <c r="T223" t="s">
        <v>4780</v>
      </c>
      <c r="U223" t="s">
        <v>4781</v>
      </c>
      <c r="V223" t="s">
        <v>4782</v>
      </c>
      <c r="W223" t="s">
        <v>4783</v>
      </c>
      <c r="X223" t="s">
        <v>4784</v>
      </c>
      <c r="Y223" t="s">
        <v>4785</v>
      </c>
      <c r="Z223" t="s">
        <v>4786</v>
      </c>
      <c r="AA223" t="s">
        <v>4787</v>
      </c>
      <c r="AB223" t="s">
        <v>4788</v>
      </c>
      <c r="AC223" t="s">
        <v>4789</v>
      </c>
      <c r="AD223" t="s">
        <v>4790</v>
      </c>
      <c r="AE223" t="s">
        <v>4791</v>
      </c>
      <c r="AF223" t="s">
        <v>74</v>
      </c>
      <c r="AG223">
        <v>40</v>
      </c>
      <c r="AH223">
        <v>22</v>
      </c>
      <c r="AI223">
        <v>29</v>
      </c>
      <c r="AJ223">
        <v>0</v>
      </c>
      <c r="AK223">
        <v>28</v>
      </c>
      <c r="AL223" t="s">
        <v>4792</v>
      </c>
      <c r="AM223" t="s">
        <v>4793</v>
      </c>
      <c r="AN223" t="s">
        <v>4794</v>
      </c>
      <c r="AO223" t="s">
        <v>4795</v>
      </c>
      <c r="AP223" t="s">
        <v>74</v>
      </c>
      <c r="AQ223" t="s">
        <v>74</v>
      </c>
      <c r="AR223" t="s">
        <v>4796</v>
      </c>
      <c r="AS223" t="s">
        <v>4797</v>
      </c>
      <c r="AT223" t="s">
        <v>74</v>
      </c>
      <c r="AU223">
        <v>2013</v>
      </c>
      <c r="AV223">
        <v>52</v>
      </c>
      <c r="AW223">
        <v>2</v>
      </c>
      <c r="AX223" t="s">
        <v>74</v>
      </c>
      <c r="AY223" t="s">
        <v>74</v>
      </c>
      <c r="AZ223" t="s">
        <v>74</v>
      </c>
      <c r="BA223" t="s">
        <v>74</v>
      </c>
      <c r="BB223">
        <v>160</v>
      </c>
      <c r="BC223">
        <v>167</v>
      </c>
      <c r="BD223" t="s">
        <v>74</v>
      </c>
      <c r="BE223" t="s">
        <v>4798</v>
      </c>
      <c r="BF223" t="str">
        <f>HYPERLINK("http://dx.doi.org/10.3414/ME12-02-0003","http://dx.doi.org/10.3414/ME12-02-0003")</f>
        <v>http://dx.doi.org/10.3414/ME12-02-0003</v>
      </c>
      <c r="BG223" t="s">
        <v>74</v>
      </c>
      <c r="BH223" t="s">
        <v>74</v>
      </c>
      <c r="BI223">
        <v>8</v>
      </c>
      <c r="BJ223" t="s">
        <v>4799</v>
      </c>
      <c r="BK223" t="s">
        <v>745</v>
      </c>
      <c r="BL223" t="s">
        <v>4800</v>
      </c>
      <c r="BM223" t="s">
        <v>4801</v>
      </c>
      <c r="BN223">
        <v>23392282</v>
      </c>
      <c r="BO223" t="s">
        <v>74</v>
      </c>
      <c r="BP223" t="s">
        <v>74</v>
      </c>
      <c r="BQ223" t="s">
        <v>74</v>
      </c>
      <c r="BR223" t="s">
        <v>106</v>
      </c>
      <c r="BS223" t="s">
        <v>4802</v>
      </c>
      <c r="BT223" t="str">
        <f>HYPERLINK("https%3A%2F%2Fwww.webofscience.com%2Fwos%2Fwoscc%2Ffull-record%2FWOS:000316841400008","View Full Record in Web of Science")</f>
        <v>View Full Record in Web of Science</v>
      </c>
    </row>
    <row r="224" spans="1:72" x14ac:dyDescent="0.25">
      <c r="A224" t="s">
        <v>108</v>
      </c>
      <c r="B224" t="s">
        <v>4803</v>
      </c>
      <c r="C224" t="s">
        <v>74</v>
      </c>
      <c r="D224" t="s">
        <v>74</v>
      </c>
      <c r="E224" t="s">
        <v>465</v>
      </c>
      <c r="F224" t="s">
        <v>4804</v>
      </c>
      <c r="G224" t="s">
        <v>74</v>
      </c>
      <c r="H224" t="s">
        <v>74</v>
      </c>
      <c r="I224" t="s">
        <v>4805</v>
      </c>
      <c r="J224" t="s">
        <v>4806</v>
      </c>
      <c r="K224" t="s">
        <v>74</v>
      </c>
      <c r="L224" t="s">
        <v>74</v>
      </c>
      <c r="M224" t="s">
        <v>78</v>
      </c>
      <c r="N224" t="s">
        <v>115</v>
      </c>
      <c r="O224" t="s">
        <v>4807</v>
      </c>
      <c r="P224" t="s">
        <v>4808</v>
      </c>
      <c r="Q224" t="s">
        <v>4809</v>
      </c>
      <c r="R224" t="s">
        <v>2823</v>
      </c>
      <c r="S224" t="s">
        <v>74</v>
      </c>
      <c r="T224" t="s">
        <v>4810</v>
      </c>
      <c r="U224" t="s">
        <v>4811</v>
      </c>
      <c r="V224" t="s">
        <v>4812</v>
      </c>
      <c r="W224" t="s">
        <v>4813</v>
      </c>
      <c r="X224" t="s">
        <v>4814</v>
      </c>
      <c r="Y224" t="s">
        <v>4815</v>
      </c>
      <c r="Z224" t="s">
        <v>4816</v>
      </c>
      <c r="AA224" t="s">
        <v>4817</v>
      </c>
      <c r="AB224" t="s">
        <v>74</v>
      </c>
      <c r="AC224" t="s">
        <v>74</v>
      </c>
      <c r="AD224" t="s">
        <v>74</v>
      </c>
      <c r="AE224" t="s">
        <v>74</v>
      </c>
      <c r="AF224" t="s">
        <v>74</v>
      </c>
      <c r="AG224">
        <v>34</v>
      </c>
      <c r="AH224">
        <v>0</v>
      </c>
      <c r="AI224">
        <v>0</v>
      </c>
      <c r="AJ224">
        <v>0</v>
      </c>
      <c r="AK224">
        <v>1</v>
      </c>
      <c r="AL224" t="s">
        <v>465</v>
      </c>
      <c r="AM224" t="s">
        <v>92</v>
      </c>
      <c r="AN224" t="s">
        <v>480</v>
      </c>
      <c r="AO224" t="s">
        <v>74</v>
      </c>
      <c r="AP224" t="s">
        <v>74</v>
      </c>
      <c r="AQ224" t="s">
        <v>4818</v>
      </c>
      <c r="AR224" t="s">
        <v>74</v>
      </c>
      <c r="AS224" t="s">
        <v>74</v>
      </c>
      <c r="AT224" t="s">
        <v>74</v>
      </c>
      <c r="AU224">
        <v>2025</v>
      </c>
      <c r="AV224" t="s">
        <v>74</v>
      </c>
      <c r="AW224" t="s">
        <v>74</v>
      </c>
      <c r="AX224" t="s">
        <v>74</v>
      </c>
      <c r="AY224" t="s">
        <v>74</v>
      </c>
      <c r="AZ224" t="s">
        <v>74</v>
      </c>
      <c r="BA224" t="s">
        <v>74</v>
      </c>
      <c r="BB224">
        <v>75</v>
      </c>
      <c r="BC224">
        <v>82</v>
      </c>
      <c r="BD224" t="s">
        <v>74</v>
      </c>
      <c r="BE224" t="s">
        <v>4819</v>
      </c>
      <c r="BF224" t="str">
        <f>HYPERLINK("http://dx.doi.org/10.1109/ICMISI65108.2025.11115465","http://dx.doi.org/10.1109/ICMISI65108.2025.11115465")</f>
        <v>http://dx.doi.org/10.1109/ICMISI65108.2025.11115465</v>
      </c>
      <c r="BG224" t="s">
        <v>74</v>
      </c>
      <c r="BH224" t="s">
        <v>74</v>
      </c>
      <c r="BI224">
        <v>8</v>
      </c>
      <c r="BJ224" t="s">
        <v>4820</v>
      </c>
      <c r="BK224" t="s">
        <v>203</v>
      </c>
      <c r="BL224" t="s">
        <v>953</v>
      </c>
      <c r="BM224" t="s">
        <v>4821</v>
      </c>
      <c r="BN224" t="s">
        <v>74</v>
      </c>
      <c r="BO224" t="s">
        <v>74</v>
      </c>
      <c r="BP224" t="s">
        <v>74</v>
      </c>
      <c r="BQ224" t="s">
        <v>74</v>
      </c>
      <c r="BR224" t="s">
        <v>106</v>
      </c>
      <c r="BS224" t="s">
        <v>4822</v>
      </c>
      <c r="BT224" t="str">
        <f>HYPERLINK("https%3A%2F%2Fwww.webofscience.com%2Fwos%2Fwoscc%2Ffull-record%2FWOS:001583425500014","View Full Record in Web of Science")</f>
        <v>View Full Record in Web of Science</v>
      </c>
    </row>
    <row r="225" spans="1:72" x14ac:dyDescent="0.25">
      <c r="A225" t="s">
        <v>72</v>
      </c>
      <c r="B225" t="s">
        <v>4823</v>
      </c>
      <c r="C225" t="s">
        <v>74</v>
      </c>
      <c r="D225" t="s">
        <v>74</v>
      </c>
      <c r="E225" t="s">
        <v>74</v>
      </c>
      <c r="F225" t="s">
        <v>4824</v>
      </c>
      <c r="G225" t="s">
        <v>74</v>
      </c>
      <c r="H225" t="s">
        <v>74</v>
      </c>
      <c r="I225" t="s">
        <v>4825</v>
      </c>
      <c r="J225" t="s">
        <v>4826</v>
      </c>
      <c r="K225" t="s">
        <v>74</v>
      </c>
      <c r="L225" t="s">
        <v>74</v>
      </c>
      <c r="M225" t="s">
        <v>78</v>
      </c>
      <c r="N225" t="s">
        <v>79</v>
      </c>
      <c r="O225" t="s">
        <v>74</v>
      </c>
      <c r="P225" t="s">
        <v>74</v>
      </c>
      <c r="Q225" t="s">
        <v>74</v>
      </c>
      <c r="R225" t="s">
        <v>74</v>
      </c>
      <c r="S225" t="s">
        <v>74</v>
      </c>
      <c r="T225" t="s">
        <v>4827</v>
      </c>
      <c r="U225" t="s">
        <v>4828</v>
      </c>
      <c r="V225" t="s">
        <v>4829</v>
      </c>
      <c r="W225" t="s">
        <v>4830</v>
      </c>
      <c r="X225" t="s">
        <v>4831</v>
      </c>
      <c r="Y225" t="s">
        <v>4832</v>
      </c>
      <c r="Z225" t="s">
        <v>4833</v>
      </c>
      <c r="AA225" t="s">
        <v>4834</v>
      </c>
      <c r="AB225" t="s">
        <v>74</v>
      </c>
      <c r="AC225" t="s">
        <v>4835</v>
      </c>
      <c r="AD225" t="s">
        <v>4835</v>
      </c>
      <c r="AE225" t="s">
        <v>4836</v>
      </c>
      <c r="AF225" t="s">
        <v>74</v>
      </c>
      <c r="AG225">
        <v>54</v>
      </c>
      <c r="AH225">
        <v>1</v>
      </c>
      <c r="AI225">
        <v>2</v>
      </c>
      <c r="AJ225">
        <v>0</v>
      </c>
      <c r="AK225">
        <v>18</v>
      </c>
      <c r="AL225" t="s">
        <v>4837</v>
      </c>
      <c r="AM225" t="s">
        <v>4838</v>
      </c>
      <c r="AN225" t="s">
        <v>4839</v>
      </c>
      <c r="AO225" t="s">
        <v>4840</v>
      </c>
      <c r="AP225" t="s">
        <v>4841</v>
      </c>
      <c r="AQ225" t="s">
        <v>74</v>
      </c>
      <c r="AR225" t="s">
        <v>4842</v>
      </c>
      <c r="AS225" t="s">
        <v>4843</v>
      </c>
      <c r="AT225" t="s">
        <v>74</v>
      </c>
      <c r="AU225">
        <v>2023</v>
      </c>
      <c r="AV225">
        <v>36</v>
      </c>
      <c r="AW225">
        <v>2</v>
      </c>
      <c r="AX225" t="s">
        <v>74</v>
      </c>
      <c r="AY225" t="s">
        <v>74</v>
      </c>
      <c r="AZ225" t="s">
        <v>74</v>
      </c>
      <c r="BA225" t="s">
        <v>74</v>
      </c>
      <c r="BB225">
        <v>1715</v>
      </c>
      <c r="BC225">
        <v>1731</v>
      </c>
      <c r="BD225" t="s">
        <v>74</v>
      </c>
      <c r="BE225" t="s">
        <v>4844</v>
      </c>
      <c r="BF225" t="str">
        <f>HYPERLINK("http://dx.doi.org/10.32604/iasc.2023.034019","http://dx.doi.org/10.32604/iasc.2023.034019")</f>
        <v>http://dx.doi.org/10.32604/iasc.2023.034019</v>
      </c>
      <c r="BG225" t="s">
        <v>74</v>
      </c>
      <c r="BH225" t="s">
        <v>74</v>
      </c>
      <c r="BI225">
        <v>17</v>
      </c>
      <c r="BJ225" t="s">
        <v>4845</v>
      </c>
      <c r="BK225" t="s">
        <v>902</v>
      </c>
      <c r="BL225" t="s">
        <v>2756</v>
      </c>
      <c r="BM225" t="s">
        <v>4846</v>
      </c>
      <c r="BN225" t="s">
        <v>74</v>
      </c>
      <c r="BO225" t="s">
        <v>105</v>
      </c>
      <c r="BP225" t="s">
        <v>74</v>
      </c>
      <c r="BQ225" t="s">
        <v>74</v>
      </c>
      <c r="BR225" t="s">
        <v>106</v>
      </c>
      <c r="BS225" t="s">
        <v>4847</v>
      </c>
      <c r="BT225" t="str">
        <f>HYPERLINK("https%3A%2F%2Fwww.webofscience.com%2Fwos%2Fwoscc%2Ffull-record%2FWOS:000921512300005","View Full Record in Web of Science")</f>
        <v>View Full Record in Web of Science</v>
      </c>
    </row>
    <row r="226" spans="1:72" x14ac:dyDescent="0.25">
      <c r="A226" t="s">
        <v>108</v>
      </c>
      <c r="B226" t="s">
        <v>4848</v>
      </c>
      <c r="C226" t="s">
        <v>74</v>
      </c>
      <c r="D226" t="s">
        <v>4849</v>
      </c>
      <c r="E226" t="s">
        <v>74</v>
      </c>
      <c r="F226" t="s">
        <v>4850</v>
      </c>
      <c r="G226" t="s">
        <v>74</v>
      </c>
      <c r="H226" t="s">
        <v>74</v>
      </c>
      <c r="I226" t="s">
        <v>4851</v>
      </c>
      <c r="J226" t="s">
        <v>4852</v>
      </c>
      <c r="K226" t="s">
        <v>4853</v>
      </c>
      <c r="L226" t="s">
        <v>74</v>
      </c>
      <c r="M226" t="s">
        <v>78</v>
      </c>
      <c r="N226" t="s">
        <v>115</v>
      </c>
      <c r="O226" t="s">
        <v>4854</v>
      </c>
      <c r="P226" t="s">
        <v>4855</v>
      </c>
      <c r="Q226" t="s">
        <v>705</v>
      </c>
      <c r="R226" t="s">
        <v>74</v>
      </c>
      <c r="S226" t="s">
        <v>74</v>
      </c>
      <c r="T226" t="s">
        <v>4856</v>
      </c>
      <c r="U226" t="s">
        <v>4857</v>
      </c>
      <c r="V226" t="s">
        <v>4858</v>
      </c>
      <c r="W226" t="s">
        <v>4859</v>
      </c>
      <c r="X226" t="s">
        <v>4860</v>
      </c>
      <c r="Y226" t="s">
        <v>4861</v>
      </c>
      <c r="Z226" t="s">
        <v>4862</v>
      </c>
      <c r="AA226" t="s">
        <v>4863</v>
      </c>
      <c r="AB226" t="s">
        <v>4864</v>
      </c>
      <c r="AC226" t="s">
        <v>74</v>
      </c>
      <c r="AD226" t="s">
        <v>74</v>
      </c>
      <c r="AE226" t="s">
        <v>74</v>
      </c>
      <c r="AF226" t="s">
        <v>74</v>
      </c>
      <c r="AG226">
        <v>27</v>
      </c>
      <c r="AH226">
        <v>1</v>
      </c>
      <c r="AI226">
        <v>1</v>
      </c>
      <c r="AJ226">
        <v>0</v>
      </c>
      <c r="AK226">
        <v>1</v>
      </c>
      <c r="AL226" t="s">
        <v>129</v>
      </c>
      <c r="AM226" t="s">
        <v>130</v>
      </c>
      <c r="AN226" t="s">
        <v>131</v>
      </c>
      <c r="AO226" t="s">
        <v>4865</v>
      </c>
      <c r="AP226" t="s">
        <v>4866</v>
      </c>
      <c r="AQ226" t="s">
        <v>4867</v>
      </c>
      <c r="AR226" t="s">
        <v>4868</v>
      </c>
      <c r="AS226" t="s">
        <v>74</v>
      </c>
      <c r="AT226" t="s">
        <v>74</v>
      </c>
      <c r="AU226">
        <v>2021</v>
      </c>
      <c r="AV226">
        <v>1504</v>
      </c>
      <c r="AW226" t="s">
        <v>74</v>
      </c>
      <c r="AX226" t="s">
        <v>74</v>
      </c>
      <c r="AY226" t="s">
        <v>74</v>
      </c>
      <c r="AZ226" t="s">
        <v>74</v>
      </c>
      <c r="BA226" t="s">
        <v>74</v>
      </c>
      <c r="BB226">
        <v>47</v>
      </c>
      <c r="BC226">
        <v>61</v>
      </c>
      <c r="BD226" t="s">
        <v>74</v>
      </c>
      <c r="BE226" t="s">
        <v>4869</v>
      </c>
      <c r="BF226" t="str">
        <f>HYPERLINK("http://dx.doi.org/10.1007/978-981-16-8531-6_4","http://dx.doi.org/10.1007/978-981-16-8531-6_4")</f>
        <v>http://dx.doi.org/10.1007/978-981-16-8531-6_4</v>
      </c>
      <c r="BG226" t="s">
        <v>74</v>
      </c>
      <c r="BH226" t="s">
        <v>74</v>
      </c>
      <c r="BI226">
        <v>15</v>
      </c>
      <c r="BJ226" t="s">
        <v>1399</v>
      </c>
      <c r="BK226" t="s">
        <v>203</v>
      </c>
      <c r="BL226" t="s">
        <v>103</v>
      </c>
      <c r="BM226" t="s">
        <v>4870</v>
      </c>
      <c r="BN226" t="s">
        <v>74</v>
      </c>
      <c r="BO226" t="s">
        <v>346</v>
      </c>
      <c r="BP226" t="s">
        <v>74</v>
      </c>
      <c r="BQ226" t="s">
        <v>74</v>
      </c>
      <c r="BR226" t="s">
        <v>106</v>
      </c>
      <c r="BS226" t="s">
        <v>4871</v>
      </c>
      <c r="BT226" t="str">
        <f>HYPERLINK("https%3A%2F%2Fwww.webofscience.com%2Fwos%2Fwoscc%2Ffull-record%2FWOS:000923379400004","View Full Record in Web of Science")</f>
        <v>View Full Record in Web of Science</v>
      </c>
    </row>
    <row r="227" spans="1:72" x14ac:dyDescent="0.25">
      <c r="A227" t="s">
        <v>108</v>
      </c>
      <c r="B227" t="s">
        <v>4872</v>
      </c>
      <c r="C227" t="s">
        <v>74</v>
      </c>
      <c r="D227" t="s">
        <v>4873</v>
      </c>
      <c r="E227" t="s">
        <v>74</v>
      </c>
      <c r="F227" t="s">
        <v>4874</v>
      </c>
      <c r="G227" t="s">
        <v>74</v>
      </c>
      <c r="H227" t="s">
        <v>74</v>
      </c>
      <c r="I227" t="s">
        <v>4875</v>
      </c>
      <c r="J227" t="s">
        <v>4876</v>
      </c>
      <c r="K227" t="s">
        <v>74</v>
      </c>
      <c r="L227" t="s">
        <v>74</v>
      </c>
      <c r="M227" t="s">
        <v>78</v>
      </c>
      <c r="N227" t="s">
        <v>115</v>
      </c>
      <c r="O227" t="s">
        <v>4877</v>
      </c>
      <c r="P227" t="s">
        <v>4878</v>
      </c>
      <c r="Q227" t="s">
        <v>4266</v>
      </c>
      <c r="R227" t="s">
        <v>4879</v>
      </c>
      <c r="S227" t="s">
        <v>74</v>
      </c>
      <c r="T227" t="s">
        <v>4880</v>
      </c>
      <c r="U227" t="s">
        <v>74</v>
      </c>
      <c r="V227" t="s">
        <v>4881</v>
      </c>
      <c r="W227" t="s">
        <v>4882</v>
      </c>
      <c r="X227" t="s">
        <v>4883</v>
      </c>
      <c r="Y227" t="s">
        <v>4884</v>
      </c>
      <c r="Z227" t="s">
        <v>4885</v>
      </c>
      <c r="AA227" t="s">
        <v>4886</v>
      </c>
      <c r="AB227" t="s">
        <v>4887</v>
      </c>
      <c r="AC227" t="s">
        <v>4888</v>
      </c>
      <c r="AD227" t="s">
        <v>4889</v>
      </c>
      <c r="AE227" t="s">
        <v>4890</v>
      </c>
      <c r="AF227" t="s">
        <v>74</v>
      </c>
      <c r="AG227">
        <v>25</v>
      </c>
      <c r="AH227">
        <v>12</v>
      </c>
      <c r="AI227">
        <v>14</v>
      </c>
      <c r="AJ227">
        <v>0</v>
      </c>
      <c r="AK227">
        <v>14</v>
      </c>
      <c r="AL227" t="s">
        <v>465</v>
      </c>
      <c r="AM227" t="s">
        <v>92</v>
      </c>
      <c r="AN227" t="s">
        <v>480</v>
      </c>
      <c r="AO227" t="s">
        <v>74</v>
      </c>
      <c r="AP227" t="s">
        <v>74</v>
      </c>
      <c r="AQ227" t="s">
        <v>4891</v>
      </c>
      <c r="AR227" t="s">
        <v>74</v>
      </c>
      <c r="AS227" t="s">
        <v>74</v>
      </c>
      <c r="AT227" t="s">
        <v>74</v>
      </c>
      <c r="AU227">
        <v>2016</v>
      </c>
      <c r="AV227" t="s">
        <v>74</v>
      </c>
      <c r="AW227" t="s">
        <v>74</v>
      </c>
      <c r="AX227" t="s">
        <v>74</v>
      </c>
      <c r="AY227" t="s">
        <v>74</v>
      </c>
      <c r="AZ227" t="s">
        <v>74</v>
      </c>
      <c r="BA227" t="s">
        <v>74</v>
      </c>
      <c r="BB227">
        <v>89</v>
      </c>
      <c r="BC227">
        <v>92</v>
      </c>
      <c r="BD227" t="s">
        <v>74</v>
      </c>
      <c r="BE227" t="s">
        <v>74</v>
      </c>
      <c r="BF227" t="s">
        <v>74</v>
      </c>
      <c r="BG227" t="s">
        <v>74</v>
      </c>
      <c r="BH227" t="s">
        <v>74</v>
      </c>
      <c r="BI227">
        <v>4</v>
      </c>
      <c r="BJ227" t="s">
        <v>852</v>
      </c>
      <c r="BK227" t="s">
        <v>203</v>
      </c>
      <c r="BL227" t="s">
        <v>103</v>
      </c>
      <c r="BM227" t="s">
        <v>4892</v>
      </c>
      <c r="BN227" t="s">
        <v>74</v>
      </c>
      <c r="BO227" t="s">
        <v>74</v>
      </c>
      <c r="BP227" t="s">
        <v>74</v>
      </c>
      <c r="BQ227" t="s">
        <v>74</v>
      </c>
      <c r="BR227" t="s">
        <v>106</v>
      </c>
      <c r="BS227" t="s">
        <v>4893</v>
      </c>
      <c r="BT227" t="str">
        <f>HYPERLINK("https%3A%2F%2Fwww.webofscience.com%2Fwos%2Fwoscc%2Ffull-record%2FWOS:000391858200016","View Full Record in Web of Science")</f>
        <v>View Full Record in Web of Science</v>
      </c>
    </row>
    <row r="228" spans="1:72" x14ac:dyDescent="0.25">
      <c r="A228" t="s">
        <v>108</v>
      </c>
      <c r="B228" t="s">
        <v>4894</v>
      </c>
      <c r="C228" t="s">
        <v>74</v>
      </c>
      <c r="D228" t="s">
        <v>74</v>
      </c>
      <c r="E228" t="s">
        <v>322</v>
      </c>
      <c r="F228" t="s">
        <v>4895</v>
      </c>
      <c r="G228" t="s">
        <v>74</v>
      </c>
      <c r="H228" t="s">
        <v>74</v>
      </c>
      <c r="I228" t="s">
        <v>4896</v>
      </c>
      <c r="J228" t="s">
        <v>4897</v>
      </c>
      <c r="K228" t="s">
        <v>74</v>
      </c>
      <c r="L228" t="s">
        <v>74</v>
      </c>
      <c r="M228" t="s">
        <v>78</v>
      </c>
      <c r="N228" t="s">
        <v>115</v>
      </c>
      <c r="O228" t="s">
        <v>4898</v>
      </c>
      <c r="P228" t="s">
        <v>4899</v>
      </c>
      <c r="Q228" t="s">
        <v>4900</v>
      </c>
      <c r="R228" t="s">
        <v>4901</v>
      </c>
      <c r="S228" t="s">
        <v>74</v>
      </c>
      <c r="T228" t="s">
        <v>4902</v>
      </c>
      <c r="U228" t="s">
        <v>74</v>
      </c>
      <c r="V228" t="s">
        <v>4903</v>
      </c>
      <c r="W228" t="s">
        <v>4904</v>
      </c>
      <c r="X228" t="s">
        <v>4905</v>
      </c>
      <c r="Y228" t="s">
        <v>4906</v>
      </c>
      <c r="Z228" t="s">
        <v>4907</v>
      </c>
      <c r="AA228" t="s">
        <v>4908</v>
      </c>
      <c r="AB228" t="s">
        <v>4909</v>
      </c>
      <c r="AC228" t="s">
        <v>74</v>
      </c>
      <c r="AD228" t="s">
        <v>74</v>
      </c>
      <c r="AE228" t="s">
        <v>74</v>
      </c>
      <c r="AF228" t="s">
        <v>74</v>
      </c>
      <c r="AG228">
        <v>27</v>
      </c>
      <c r="AH228">
        <v>13</v>
      </c>
      <c r="AI228">
        <v>13</v>
      </c>
      <c r="AJ228">
        <v>0</v>
      </c>
      <c r="AK228">
        <v>6</v>
      </c>
      <c r="AL228" t="s">
        <v>291</v>
      </c>
      <c r="AM228" t="s">
        <v>92</v>
      </c>
      <c r="AN228" t="s">
        <v>341</v>
      </c>
      <c r="AO228" t="s">
        <v>74</v>
      </c>
      <c r="AP228" t="s">
        <v>74</v>
      </c>
      <c r="AQ228" t="s">
        <v>4910</v>
      </c>
      <c r="AR228" t="s">
        <v>74</v>
      </c>
      <c r="AS228" t="s">
        <v>74</v>
      </c>
      <c r="AT228" t="s">
        <v>74</v>
      </c>
      <c r="AU228">
        <v>2012</v>
      </c>
      <c r="AV228" t="s">
        <v>74</v>
      </c>
      <c r="AW228" t="s">
        <v>74</v>
      </c>
      <c r="AX228" t="s">
        <v>74</v>
      </c>
      <c r="AY228" t="s">
        <v>74</v>
      </c>
      <c r="AZ228" t="s">
        <v>74</v>
      </c>
      <c r="BA228" t="s">
        <v>74</v>
      </c>
      <c r="BB228">
        <v>51</v>
      </c>
      <c r="BC228">
        <v>58</v>
      </c>
      <c r="BD228" t="s">
        <v>74</v>
      </c>
      <c r="BE228" t="s">
        <v>74</v>
      </c>
      <c r="BF228" t="s">
        <v>74</v>
      </c>
      <c r="BG228" t="s">
        <v>74</v>
      </c>
      <c r="BH228" t="s">
        <v>74</v>
      </c>
      <c r="BI228">
        <v>8</v>
      </c>
      <c r="BJ228" t="s">
        <v>852</v>
      </c>
      <c r="BK228" t="s">
        <v>203</v>
      </c>
      <c r="BL228" t="s">
        <v>103</v>
      </c>
      <c r="BM228" t="s">
        <v>4911</v>
      </c>
      <c r="BN228" t="s">
        <v>74</v>
      </c>
      <c r="BO228" t="s">
        <v>74</v>
      </c>
      <c r="BP228" t="s">
        <v>74</v>
      </c>
      <c r="BQ228" t="s">
        <v>74</v>
      </c>
      <c r="BR228" t="s">
        <v>106</v>
      </c>
      <c r="BS228" t="s">
        <v>4912</v>
      </c>
      <c r="BT228" t="str">
        <f>HYPERLINK("https%3A%2F%2Fwww.webofscience.com%2Fwos%2Fwoscc%2Ffull-record%2FWOS:000312656600008","View Full Record in Web of Science")</f>
        <v>View Full Record in Web of Science</v>
      </c>
    </row>
    <row r="229" spans="1:72" x14ac:dyDescent="0.25">
      <c r="A229" t="s">
        <v>108</v>
      </c>
      <c r="B229" t="s">
        <v>4913</v>
      </c>
      <c r="C229" t="s">
        <v>74</v>
      </c>
      <c r="D229" t="s">
        <v>4914</v>
      </c>
      <c r="E229" t="s">
        <v>74</v>
      </c>
      <c r="F229" t="s">
        <v>4915</v>
      </c>
      <c r="G229" t="s">
        <v>74</v>
      </c>
      <c r="H229" t="s">
        <v>74</v>
      </c>
      <c r="I229" t="s">
        <v>4916</v>
      </c>
      <c r="J229" t="s">
        <v>4917</v>
      </c>
      <c r="K229" t="s">
        <v>74</v>
      </c>
      <c r="L229" t="s">
        <v>74</v>
      </c>
      <c r="M229" t="s">
        <v>78</v>
      </c>
      <c r="N229" t="s">
        <v>115</v>
      </c>
      <c r="O229" t="s">
        <v>4918</v>
      </c>
      <c r="P229" t="s">
        <v>4919</v>
      </c>
      <c r="Q229" t="s">
        <v>4920</v>
      </c>
      <c r="R229" t="s">
        <v>4921</v>
      </c>
      <c r="S229" t="s">
        <v>465</v>
      </c>
      <c r="T229" t="s">
        <v>74</v>
      </c>
      <c r="U229" t="s">
        <v>4922</v>
      </c>
      <c r="V229" t="s">
        <v>4923</v>
      </c>
      <c r="W229" t="s">
        <v>4924</v>
      </c>
      <c r="X229" t="s">
        <v>4925</v>
      </c>
      <c r="Y229" t="s">
        <v>4926</v>
      </c>
      <c r="Z229" t="s">
        <v>4927</v>
      </c>
      <c r="AA229" t="s">
        <v>74</v>
      </c>
      <c r="AB229" t="s">
        <v>74</v>
      </c>
      <c r="AC229" t="s">
        <v>74</v>
      </c>
      <c r="AD229" t="s">
        <v>74</v>
      </c>
      <c r="AE229" t="s">
        <v>74</v>
      </c>
      <c r="AF229" t="s">
        <v>74</v>
      </c>
      <c r="AG229">
        <v>76</v>
      </c>
      <c r="AH229">
        <v>2</v>
      </c>
      <c r="AI229">
        <v>2</v>
      </c>
      <c r="AJ229">
        <v>0</v>
      </c>
      <c r="AK229">
        <v>4</v>
      </c>
      <c r="AL229" t="s">
        <v>465</v>
      </c>
      <c r="AM229" t="s">
        <v>92</v>
      </c>
      <c r="AN229" t="s">
        <v>480</v>
      </c>
      <c r="AO229" t="s">
        <v>74</v>
      </c>
      <c r="AP229" t="s">
        <v>74</v>
      </c>
      <c r="AQ229" t="s">
        <v>4928</v>
      </c>
      <c r="AR229" t="s">
        <v>74</v>
      </c>
      <c r="AS229" t="s">
        <v>74</v>
      </c>
      <c r="AT229" t="s">
        <v>74</v>
      </c>
      <c r="AU229">
        <v>2015</v>
      </c>
      <c r="AV229" t="s">
        <v>74</v>
      </c>
      <c r="AW229" t="s">
        <v>74</v>
      </c>
      <c r="AX229" t="s">
        <v>74</v>
      </c>
      <c r="AY229" t="s">
        <v>74</v>
      </c>
      <c r="AZ229" t="s">
        <v>74</v>
      </c>
      <c r="BA229" t="s">
        <v>74</v>
      </c>
      <c r="BB229">
        <v>971</v>
      </c>
      <c r="BC229">
        <v>980</v>
      </c>
      <c r="BD229" t="s">
        <v>74</v>
      </c>
      <c r="BE229" t="s">
        <v>74</v>
      </c>
      <c r="BF229" t="s">
        <v>74</v>
      </c>
      <c r="BG229" t="s">
        <v>74</v>
      </c>
      <c r="BH229" t="s">
        <v>74</v>
      </c>
      <c r="BI229">
        <v>10</v>
      </c>
      <c r="BJ229" t="s">
        <v>4929</v>
      </c>
      <c r="BK229" t="s">
        <v>203</v>
      </c>
      <c r="BL229" t="s">
        <v>103</v>
      </c>
      <c r="BM229" t="s">
        <v>4930</v>
      </c>
      <c r="BN229" t="s">
        <v>74</v>
      </c>
      <c r="BO229" t="s">
        <v>74</v>
      </c>
      <c r="BP229" t="s">
        <v>74</v>
      </c>
      <c r="BQ229" t="s">
        <v>74</v>
      </c>
      <c r="BR229" t="s">
        <v>106</v>
      </c>
      <c r="BS229" t="s">
        <v>4931</v>
      </c>
      <c r="BT229" t="str">
        <f>HYPERLINK("https%3A%2F%2Fwww.webofscience.com%2Fwos%2Fwoscc%2Ffull-record%2FWOS:000380468400107","View Full Record in Web of Science")</f>
        <v>View Full Record in Web of Science</v>
      </c>
    </row>
    <row r="230" spans="1:72" x14ac:dyDescent="0.25">
      <c r="A230" t="s">
        <v>108</v>
      </c>
      <c r="B230" t="s">
        <v>4932</v>
      </c>
      <c r="C230" t="s">
        <v>74</v>
      </c>
      <c r="D230" t="s">
        <v>4933</v>
      </c>
      <c r="E230" t="s">
        <v>74</v>
      </c>
      <c r="F230" t="s">
        <v>4934</v>
      </c>
      <c r="G230" t="s">
        <v>74</v>
      </c>
      <c r="H230" t="s">
        <v>74</v>
      </c>
      <c r="I230" t="s">
        <v>4935</v>
      </c>
      <c r="J230" t="s">
        <v>4936</v>
      </c>
      <c r="K230" t="s">
        <v>74</v>
      </c>
      <c r="L230" t="s">
        <v>74</v>
      </c>
      <c r="M230" t="s">
        <v>78</v>
      </c>
      <c r="N230" t="s">
        <v>115</v>
      </c>
      <c r="O230" t="s">
        <v>4937</v>
      </c>
      <c r="P230" t="s">
        <v>4938</v>
      </c>
      <c r="Q230" t="s">
        <v>1847</v>
      </c>
      <c r="R230" t="s">
        <v>4939</v>
      </c>
      <c r="S230" t="s">
        <v>74</v>
      </c>
      <c r="T230" t="s">
        <v>4940</v>
      </c>
      <c r="U230" t="s">
        <v>4941</v>
      </c>
      <c r="V230" t="s">
        <v>4942</v>
      </c>
      <c r="W230" t="s">
        <v>4943</v>
      </c>
      <c r="X230" t="s">
        <v>4944</v>
      </c>
      <c r="Y230" t="s">
        <v>4945</v>
      </c>
      <c r="Z230" t="s">
        <v>4946</v>
      </c>
      <c r="AA230" t="s">
        <v>74</v>
      </c>
      <c r="AB230" t="s">
        <v>74</v>
      </c>
      <c r="AC230" t="s">
        <v>74</v>
      </c>
      <c r="AD230" t="s">
        <v>74</v>
      </c>
      <c r="AE230" t="s">
        <v>74</v>
      </c>
      <c r="AF230" t="s">
        <v>74</v>
      </c>
      <c r="AG230">
        <v>18</v>
      </c>
      <c r="AH230">
        <v>1</v>
      </c>
      <c r="AI230">
        <v>1</v>
      </c>
      <c r="AJ230">
        <v>0</v>
      </c>
      <c r="AK230">
        <v>2</v>
      </c>
      <c r="AL230" t="s">
        <v>465</v>
      </c>
      <c r="AM230" t="s">
        <v>92</v>
      </c>
      <c r="AN230" t="s">
        <v>480</v>
      </c>
      <c r="AO230" t="s">
        <v>74</v>
      </c>
      <c r="AP230" t="s">
        <v>74</v>
      </c>
      <c r="AQ230" t="s">
        <v>4947</v>
      </c>
      <c r="AR230" t="s">
        <v>74</v>
      </c>
      <c r="AS230" t="s">
        <v>74</v>
      </c>
      <c r="AT230" t="s">
        <v>74</v>
      </c>
      <c r="AU230">
        <v>2016</v>
      </c>
      <c r="AV230" t="s">
        <v>74</v>
      </c>
      <c r="AW230" t="s">
        <v>74</v>
      </c>
      <c r="AX230" t="s">
        <v>74</v>
      </c>
      <c r="AY230" t="s">
        <v>74</v>
      </c>
      <c r="AZ230" t="s">
        <v>74</v>
      </c>
      <c r="BA230" t="s">
        <v>74</v>
      </c>
      <c r="BB230">
        <v>716</v>
      </c>
      <c r="BC230">
        <v>719</v>
      </c>
      <c r="BD230" t="s">
        <v>74</v>
      </c>
      <c r="BE230" t="s">
        <v>4948</v>
      </c>
      <c r="BF230" t="str">
        <f>HYPERLINK("http://dx.doi.org/10.1109/ICWS.2016.101","http://dx.doi.org/10.1109/ICWS.2016.101")</f>
        <v>http://dx.doi.org/10.1109/ICWS.2016.101</v>
      </c>
      <c r="BG230" t="s">
        <v>74</v>
      </c>
      <c r="BH230" t="s">
        <v>74</v>
      </c>
      <c r="BI230">
        <v>4</v>
      </c>
      <c r="BJ230" t="s">
        <v>4949</v>
      </c>
      <c r="BK230" t="s">
        <v>203</v>
      </c>
      <c r="BL230" t="s">
        <v>953</v>
      </c>
      <c r="BM230" t="s">
        <v>4950</v>
      </c>
      <c r="BN230" t="s">
        <v>74</v>
      </c>
      <c r="BO230" t="s">
        <v>74</v>
      </c>
      <c r="BP230" t="s">
        <v>74</v>
      </c>
      <c r="BQ230" t="s">
        <v>74</v>
      </c>
      <c r="BR230" t="s">
        <v>106</v>
      </c>
      <c r="BS230" t="s">
        <v>4951</v>
      </c>
      <c r="BT230" t="str">
        <f>HYPERLINK("https%3A%2F%2Fwww.webofscience.com%2Fwos%2Fwoscc%2Ffull-record%2FWOS:000389471700099","View Full Record in Web of Science")</f>
        <v>View Full Record in Web of Science</v>
      </c>
    </row>
    <row r="231" spans="1:72" x14ac:dyDescent="0.25">
      <c r="A231" t="s">
        <v>108</v>
      </c>
      <c r="B231" t="s">
        <v>4952</v>
      </c>
      <c r="C231" t="s">
        <v>74</v>
      </c>
      <c r="D231" t="s">
        <v>4953</v>
      </c>
      <c r="E231" t="s">
        <v>74</v>
      </c>
      <c r="F231" t="s">
        <v>4952</v>
      </c>
      <c r="G231" t="s">
        <v>74</v>
      </c>
      <c r="H231" t="s">
        <v>74</v>
      </c>
      <c r="I231" t="s">
        <v>4954</v>
      </c>
      <c r="J231" t="s">
        <v>4955</v>
      </c>
      <c r="K231" t="s">
        <v>74</v>
      </c>
      <c r="L231" t="s">
        <v>74</v>
      </c>
      <c r="M231" t="s">
        <v>78</v>
      </c>
      <c r="N231" t="s">
        <v>115</v>
      </c>
      <c r="O231" t="s">
        <v>4956</v>
      </c>
      <c r="P231" t="s">
        <v>4957</v>
      </c>
      <c r="Q231" t="s">
        <v>4958</v>
      </c>
      <c r="R231" t="s">
        <v>4959</v>
      </c>
      <c r="S231" t="s">
        <v>74</v>
      </c>
      <c r="T231" t="s">
        <v>4960</v>
      </c>
      <c r="U231" t="s">
        <v>74</v>
      </c>
      <c r="V231" t="s">
        <v>4961</v>
      </c>
      <c r="W231" t="s">
        <v>4962</v>
      </c>
      <c r="X231" t="s">
        <v>285</v>
      </c>
      <c r="Y231" t="s">
        <v>4963</v>
      </c>
      <c r="Z231" t="s">
        <v>4964</v>
      </c>
      <c r="AA231" t="s">
        <v>4965</v>
      </c>
      <c r="AB231" t="s">
        <v>4966</v>
      </c>
      <c r="AC231" t="s">
        <v>74</v>
      </c>
      <c r="AD231" t="s">
        <v>74</v>
      </c>
      <c r="AE231" t="s">
        <v>74</v>
      </c>
      <c r="AF231" t="s">
        <v>74</v>
      </c>
      <c r="AG231">
        <v>18</v>
      </c>
      <c r="AH231">
        <v>39</v>
      </c>
      <c r="AI231">
        <v>74</v>
      </c>
      <c r="AJ231">
        <v>0</v>
      </c>
      <c r="AK231">
        <v>1</v>
      </c>
      <c r="AL231" t="s">
        <v>291</v>
      </c>
      <c r="AM231" t="s">
        <v>92</v>
      </c>
      <c r="AN231" t="s">
        <v>341</v>
      </c>
      <c r="AO231" t="s">
        <v>74</v>
      </c>
      <c r="AP231" t="s">
        <v>74</v>
      </c>
      <c r="AQ231" t="s">
        <v>4967</v>
      </c>
      <c r="AR231" t="s">
        <v>74</v>
      </c>
      <c r="AS231" t="s">
        <v>74</v>
      </c>
      <c r="AT231" t="s">
        <v>74</v>
      </c>
      <c r="AU231">
        <v>1999</v>
      </c>
      <c r="AV231" t="s">
        <v>74</v>
      </c>
      <c r="AW231" t="s">
        <v>74</v>
      </c>
      <c r="AX231" t="s">
        <v>74</v>
      </c>
      <c r="AY231" t="s">
        <v>74</v>
      </c>
      <c r="AZ231" t="s">
        <v>74</v>
      </c>
      <c r="BA231" t="s">
        <v>74</v>
      </c>
      <c r="BB231">
        <v>405</v>
      </c>
      <c r="BC231">
        <v>412</v>
      </c>
      <c r="BD231" t="s">
        <v>74</v>
      </c>
      <c r="BE231" t="s">
        <v>4968</v>
      </c>
      <c r="BF231" t="str">
        <f>HYPERLINK("http://dx.doi.org/10.1145/319950.323230","http://dx.doi.org/10.1145/319950.323230")</f>
        <v>http://dx.doi.org/10.1145/319950.323230</v>
      </c>
      <c r="BG231" t="s">
        <v>74</v>
      </c>
      <c r="BH231" t="s">
        <v>74</v>
      </c>
      <c r="BI231">
        <v>8</v>
      </c>
      <c r="BJ231" t="s">
        <v>852</v>
      </c>
      <c r="BK231" t="s">
        <v>203</v>
      </c>
      <c r="BL231" t="s">
        <v>103</v>
      </c>
      <c r="BM231" t="s">
        <v>4969</v>
      </c>
      <c r="BN231" t="s">
        <v>74</v>
      </c>
      <c r="BO231" t="s">
        <v>372</v>
      </c>
      <c r="BP231" t="s">
        <v>74</v>
      </c>
      <c r="BQ231" t="s">
        <v>74</v>
      </c>
      <c r="BR231" t="s">
        <v>106</v>
      </c>
      <c r="BS231" t="s">
        <v>4970</v>
      </c>
      <c r="BT231" t="str">
        <f>HYPERLINK("https%3A%2F%2Fwww.webofscience.com%2Fwos%2Fwoscc%2Ffull-record%2FWOS:000084311500053","View Full Record in Web of Science")</f>
        <v>View Full Record in Web of Science</v>
      </c>
    </row>
    <row r="232" spans="1:72" x14ac:dyDescent="0.25">
      <c r="A232" t="s">
        <v>108</v>
      </c>
      <c r="B232" t="s">
        <v>4971</v>
      </c>
      <c r="C232" t="s">
        <v>74</v>
      </c>
      <c r="D232" t="s">
        <v>4972</v>
      </c>
      <c r="E232" t="s">
        <v>74</v>
      </c>
      <c r="F232" t="s">
        <v>4973</v>
      </c>
      <c r="G232" t="s">
        <v>74</v>
      </c>
      <c r="H232" t="s">
        <v>74</v>
      </c>
      <c r="I232" t="s">
        <v>4974</v>
      </c>
      <c r="J232" t="s">
        <v>4975</v>
      </c>
      <c r="K232" t="s">
        <v>74</v>
      </c>
      <c r="L232" t="s">
        <v>74</v>
      </c>
      <c r="M232" t="s">
        <v>78</v>
      </c>
      <c r="N232" t="s">
        <v>115</v>
      </c>
      <c r="O232" t="s">
        <v>4976</v>
      </c>
      <c r="P232" t="s">
        <v>4977</v>
      </c>
      <c r="Q232" t="s">
        <v>4978</v>
      </c>
      <c r="R232" t="s">
        <v>4979</v>
      </c>
      <c r="S232" t="s">
        <v>74</v>
      </c>
      <c r="T232" t="s">
        <v>4980</v>
      </c>
      <c r="U232" t="s">
        <v>74</v>
      </c>
      <c r="V232" t="s">
        <v>4981</v>
      </c>
      <c r="W232" t="s">
        <v>4982</v>
      </c>
      <c r="X232" t="s">
        <v>4983</v>
      </c>
      <c r="Y232" t="s">
        <v>4984</v>
      </c>
      <c r="Z232" t="s">
        <v>4985</v>
      </c>
      <c r="AA232" t="s">
        <v>4514</v>
      </c>
      <c r="AB232" t="s">
        <v>4515</v>
      </c>
      <c r="AC232" t="s">
        <v>4986</v>
      </c>
      <c r="AD232" t="s">
        <v>4986</v>
      </c>
      <c r="AE232" t="s">
        <v>4987</v>
      </c>
      <c r="AF232" t="s">
        <v>74</v>
      </c>
      <c r="AG232">
        <v>22</v>
      </c>
      <c r="AH232">
        <v>3</v>
      </c>
      <c r="AI232">
        <v>4</v>
      </c>
      <c r="AJ232">
        <v>0</v>
      </c>
      <c r="AK232">
        <v>6</v>
      </c>
      <c r="AL232" t="s">
        <v>465</v>
      </c>
      <c r="AM232" t="s">
        <v>92</v>
      </c>
      <c r="AN232" t="s">
        <v>480</v>
      </c>
      <c r="AO232" t="s">
        <v>74</v>
      </c>
      <c r="AP232" t="s">
        <v>74</v>
      </c>
      <c r="AQ232" t="s">
        <v>4988</v>
      </c>
      <c r="AR232" t="s">
        <v>74</v>
      </c>
      <c r="AS232" t="s">
        <v>74</v>
      </c>
      <c r="AT232" t="s">
        <v>74</v>
      </c>
      <c r="AU232">
        <v>2018</v>
      </c>
      <c r="AV232" t="s">
        <v>74</v>
      </c>
      <c r="AW232" t="s">
        <v>74</v>
      </c>
      <c r="AX232" t="s">
        <v>74</v>
      </c>
      <c r="AY232" t="s">
        <v>74</v>
      </c>
      <c r="AZ232" t="s">
        <v>74</v>
      </c>
      <c r="BA232" t="s">
        <v>74</v>
      </c>
      <c r="BB232">
        <v>480</v>
      </c>
      <c r="BC232">
        <v>484</v>
      </c>
      <c r="BD232" t="s">
        <v>74</v>
      </c>
      <c r="BE232" t="s">
        <v>4989</v>
      </c>
      <c r="BF232" t="str">
        <f>HYPERLINK("http://dx.doi.org/10.1109/SITIS.2018.00079","http://dx.doi.org/10.1109/SITIS.2018.00079")</f>
        <v>http://dx.doi.org/10.1109/SITIS.2018.00079</v>
      </c>
      <c r="BG232" t="s">
        <v>74</v>
      </c>
      <c r="BH232" t="s">
        <v>74</v>
      </c>
      <c r="BI232">
        <v>5</v>
      </c>
      <c r="BJ232" t="s">
        <v>4990</v>
      </c>
      <c r="BK232" t="s">
        <v>203</v>
      </c>
      <c r="BL232" t="s">
        <v>953</v>
      </c>
      <c r="BM232" t="s">
        <v>4991</v>
      </c>
      <c r="BN232" t="s">
        <v>74</v>
      </c>
      <c r="BO232" t="s">
        <v>74</v>
      </c>
      <c r="BP232" t="s">
        <v>74</v>
      </c>
      <c r="BQ232" t="s">
        <v>74</v>
      </c>
      <c r="BR232" t="s">
        <v>106</v>
      </c>
      <c r="BS232" t="s">
        <v>4992</v>
      </c>
      <c r="BT232" t="str">
        <f>HYPERLINK("https%3A%2F%2Fwww.webofscience.com%2Fwos%2Fwoscc%2Ffull-record%2FWOS:000469258400068","View Full Record in Web of Science")</f>
        <v>View Full Record in Web of Science</v>
      </c>
    </row>
    <row r="233" spans="1:72" x14ac:dyDescent="0.25">
      <c r="A233" t="s">
        <v>108</v>
      </c>
      <c r="B233" t="s">
        <v>4993</v>
      </c>
      <c r="C233" t="s">
        <v>74</v>
      </c>
      <c r="D233" t="s">
        <v>4994</v>
      </c>
      <c r="E233" t="s">
        <v>74</v>
      </c>
      <c r="F233" t="s">
        <v>4995</v>
      </c>
      <c r="G233" t="s">
        <v>74</v>
      </c>
      <c r="H233" t="s">
        <v>74</v>
      </c>
      <c r="I233" t="s">
        <v>4996</v>
      </c>
      <c r="J233" t="s">
        <v>4997</v>
      </c>
      <c r="K233" t="s">
        <v>74</v>
      </c>
      <c r="L233" t="s">
        <v>74</v>
      </c>
      <c r="M233" t="s">
        <v>78</v>
      </c>
      <c r="N233" t="s">
        <v>115</v>
      </c>
      <c r="O233" t="s">
        <v>4998</v>
      </c>
      <c r="P233" t="s">
        <v>4999</v>
      </c>
      <c r="Q233" t="s">
        <v>5000</v>
      </c>
      <c r="R233" t="s">
        <v>5001</v>
      </c>
      <c r="S233" t="s">
        <v>5002</v>
      </c>
      <c r="T233" t="s">
        <v>5003</v>
      </c>
      <c r="U233" t="s">
        <v>74</v>
      </c>
      <c r="V233" t="s">
        <v>5004</v>
      </c>
      <c r="W233" t="s">
        <v>5005</v>
      </c>
      <c r="X233" t="s">
        <v>5006</v>
      </c>
      <c r="Y233" t="s">
        <v>5007</v>
      </c>
      <c r="Z233" t="s">
        <v>5008</v>
      </c>
      <c r="AA233" t="s">
        <v>74</v>
      </c>
      <c r="AB233" t="s">
        <v>74</v>
      </c>
      <c r="AC233" t="s">
        <v>74</v>
      </c>
      <c r="AD233" t="s">
        <v>74</v>
      </c>
      <c r="AE233" t="s">
        <v>74</v>
      </c>
      <c r="AF233" t="s">
        <v>74</v>
      </c>
      <c r="AG233">
        <v>15</v>
      </c>
      <c r="AH233">
        <v>2</v>
      </c>
      <c r="AI233">
        <v>2</v>
      </c>
      <c r="AJ233">
        <v>0</v>
      </c>
      <c r="AK233">
        <v>1</v>
      </c>
      <c r="AL233" t="s">
        <v>465</v>
      </c>
      <c r="AM233" t="s">
        <v>92</v>
      </c>
      <c r="AN233" t="s">
        <v>480</v>
      </c>
      <c r="AO233" t="s">
        <v>74</v>
      </c>
      <c r="AP233" t="s">
        <v>74</v>
      </c>
      <c r="AQ233" t="s">
        <v>5009</v>
      </c>
      <c r="AR233" t="s">
        <v>74</v>
      </c>
      <c r="AS233" t="s">
        <v>74</v>
      </c>
      <c r="AT233" t="s">
        <v>74</v>
      </c>
      <c r="AU233">
        <v>2016</v>
      </c>
      <c r="AV233" t="s">
        <v>74</v>
      </c>
      <c r="AW233" t="s">
        <v>74</v>
      </c>
      <c r="AX233" t="s">
        <v>74</v>
      </c>
      <c r="AY233" t="s">
        <v>74</v>
      </c>
      <c r="AZ233" t="s">
        <v>74</v>
      </c>
      <c r="BA233" t="s">
        <v>74</v>
      </c>
      <c r="BB233">
        <v>91</v>
      </c>
      <c r="BC233">
        <v>96</v>
      </c>
      <c r="BD233" t="s">
        <v>74</v>
      </c>
      <c r="BE233" t="s">
        <v>74</v>
      </c>
      <c r="BF233" t="s">
        <v>74</v>
      </c>
      <c r="BG233" t="s">
        <v>74</v>
      </c>
      <c r="BH233" t="s">
        <v>74</v>
      </c>
      <c r="BI233">
        <v>6</v>
      </c>
      <c r="BJ233" t="s">
        <v>5010</v>
      </c>
      <c r="BK233" t="s">
        <v>203</v>
      </c>
      <c r="BL233" t="s">
        <v>103</v>
      </c>
      <c r="BM233" t="s">
        <v>5011</v>
      </c>
      <c r="BN233" t="s">
        <v>74</v>
      </c>
      <c r="BO233" t="s">
        <v>74</v>
      </c>
      <c r="BP233" t="s">
        <v>74</v>
      </c>
      <c r="BQ233" t="s">
        <v>74</v>
      </c>
      <c r="BR233" t="s">
        <v>106</v>
      </c>
      <c r="BS233" t="s">
        <v>5012</v>
      </c>
      <c r="BT233" t="str">
        <f>HYPERLINK("https%3A%2F%2Fwww.webofscience.com%2Fwos%2Fwoscc%2Ffull-record%2FWOS:000401505300015","View Full Record in Web of Science")</f>
        <v>View Full Record in Web of Science</v>
      </c>
    </row>
    <row r="234" spans="1:72" x14ac:dyDescent="0.25">
      <c r="A234" t="s">
        <v>72</v>
      </c>
      <c r="B234" t="s">
        <v>5013</v>
      </c>
      <c r="C234" t="s">
        <v>74</v>
      </c>
      <c r="D234" t="s">
        <v>74</v>
      </c>
      <c r="E234" t="s">
        <v>74</v>
      </c>
      <c r="F234" t="s">
        <v>5014</v>
      </c>
      <c r="G234" t="s">
        <v>74</v>
      </c>
      <c r="H234" t="s">
        <v>74</v>
      </c>
      <c r="I234" t="s">
        <v>5015</v>
      </c>
      <c r="J234" t="s">
        <v>5016</v>
      </c>
      <c r="K234" t="s">
        <v>74</v>
      </c>
      <c r="L234" t="s">
        <v>74</v>
      </c>
      <c r="M234" t="s">
        <v>78</v>
      </c>
      <c r="N234" t="s">
        <v>79</v>
      </c>
      <c r="O234" t="s">
        <v>74</v>
      </c>
      <c r="P234" t="s">
        <v>74</v>
      </c>
      <c r="Q234" t="s">
        <v>74</v>
      </c>
      <c r="R234" t="s">
        <v>74</v>
      </c>
      <c r="S234" t="s">
        <v>74</v>
      </c>
      <c r="T234" t="s">
        <v>5017</v>
      </c>
      <c r="U234" t="s">
        <v>74</v>
      </c>
      <c r="V234" t="s">
        <v>5018</v>
      </c>
      <c r="W234" t="s">
        <v>5019</v>
      </c>
      <c r="X234" t="s">
        <v>5020</v>
      </c>
      <c r="Y234" t="s">
        <v>5021</v>
      </c>
      <c r="Z234" t="s">
        <v>5022</v>
      </c>
      <c r="AA234" t="s">
        <v>74</v>
      </c>
      <c r="AB234" t="s">
        <v>74</v>
      </c>
      <c r="AC234" t="s">
        <v>74</v>
      </c>
      <c r="AD234" t="s">
        <v>74</v>
      </c>
      <c r="AE234" t="s">
        <v>74</v>
      </c>
      <c r="AF234" t="s">
        <v>74</v>
      </c>
      <c r="AG234">
        <v>11</v>
      </c>
      <c r="AH234">
        <v>0</v>
      </c>
      <c r="AI234">
        <v>0</v>
      </c>
      <c r="AJ234">
        <v>0</v>
      </c>
      <c r="AK234">
        <v>1</v>
      </c>
      <c r="AL234" t="s">
        <v>2946</v>
      </c>
      <c r="AM234" t="s">
        <v>5023</v>
      </c>
      <c r="AN234" t="s">
        <v>5024</v>
      </c>
      <c r="AO234" t="s">
        <v>5025</v>
      </c>
      <c r="AP234" t="s">
        <v>5026</v>
      </c>
      <c r="AQ234" t="s">
        <v>74</v>
      </c>
      <c r="AR234" t="s">
        <v>5027</v>
      </c>
      <c r="AS234" t="s">
        <v>5028</v>
      </c>
      <c r="AT234" t="s">
        <v>74</v>
      </c>
      <c r="AU234">
        <v>2012</v>
      </c>
      <c r="AV234">
        <v>7</v>
      </c>
      <c r="AW234">
        <v>3</v>
      </c>
      <c r="AX234" t="s">
        <v>74</v>
      </c>
      <c r="AY234" t="s">
        <v>74</v>
      </c>
      <c r="AZ234" t="s">
        <v>74</v>
      </c>
      <c r="BA234" t="s">
        <v>74</v>
      </c>
      <c r="BB234">
        <v>103</v>
      </c>
      <c r="BC234">
        <v>111</v>
      </c>
      <c r="BD234" t="s">
        <v>74</v>
      </c>
      <c r="BE234" t="s">
        <v>5029</v>
      </c>
      <c r="BF234" t="str">
        <f>HYPERLINK("http://dx.doi.org/10.1108/17556221211269910","http://dx.doi.org/10.1108/17556221211269910")</f>
        <v>http://dx.doi.org/10.1108/17556221211269910</v>
      </c>
      <c r="BG234" t="s">
        <v>74</v>
      </c>
      <c r="BH234" t="s">
        <v>74</v>
      </c>
      <c r="BI234">
        <v>9</v>
      </c>
      <c r="BJ234" t="s">
        <v>5030</v>
      </c>
      <c r="BK234" t="s">
        <v>102</v>
      </c>
      <c r="BL234" t="s">
        <v>5030</v>
      </c>
      <c r="BM234" t="s">
        <v>5031</v>
      </c>
      <c r="BN234" t="s">
        <v>74</v>
      </c>
      <c r="BO234" t="s">
        <v>74</v>
      </c>
      <c r="BP234" t="s">
        <v>74</v>
      </c>
      <c r="BQ234" t="s">
        <v>74</v>
      </c>
      <c r="BR234" t="s">
        <v>106</v>
      </c>
      <c r="BS234" t="s">
        <v>5032</v>
      </c>
      <c r="BT234" t="str">
        <f>HYPERLINK("https%3A%2F%2Fwww.webofscience.com%2Fwos%2Fwoscc%2Ffull-record%2FWOS:000420125100002","View Full Record in Web of Science")</f>
        <v>View Full Record in Web of Science</v>
      </c>
    </row>
    <row r="235" spans="1:72" x14ac:dyDescent="0.25">
      <c r="A235" t="s">
        <v>72</v>
      </c>
      <c r="B235" t="s">
        <v>5033</v>
      </c>
      <c r="C235" t="s">
        <v>74</v>
      </c>
      <c r="D235" t="s">
        <v>74</v>
      </c>
      <c r="E235" t="s">
        <v>74</v>
      </c>
      <c r="F235" t="s">
        <v>5034</v>
      </c>
      <c r="G235" t="s">
        <v>74</v>
      </c>
      <c r="H235" t="s">
        <v>74</v>
      </c>
      <c r="I235" t="s">
        <v>5035</v>
      </c>
      <c r="J235" t="s">
        <v>976</v>
      </c>
      <c r="K235" t="s">
        <v>74</v>
      </c>
      <c r="L235" t="s">
        <v>74</v>
      </c>
      <c r="M235" t="s">
        <v>78</v>
      </c>
      <c r="N235" t="s">
        <v>79</v>
      </c>
      <c r="O235" t="s">
        <v>74</v>
      </c>
      <c r="P235" t="s">
        <v>74</v>
      </c>
      <c r="Q235" t="s">
        <v>74</v>
      </c>
      <c r="R235" t="s">
        <v>74</v>
      </c>
      <c r="S235" t="s">
        <v>74</v>
      </c>
      <c r="T235" t="s">
        <v>5036</v>
      </c>
      <c r="U235" t="s">
        <v>5037</v>
      </c>
      <c r="V235" t="s">
        <v>5038</v>
      </c>
      <c r="W235" t="s">
        <v>5039</v>
      </c>
      <c r="X235" t="s">
        <v>5040</v>
      </c>
      <c r="Y235" t="s">
        <v>5041</v>
      </c>
      <c r="Z235" t="s">
        <v>5042</v>
      </c>
      <c r="AA235" t="s">
        <v>5043</v>
      </c>
      <c r="AB235" t="s">
        <v>5044</v>
      </c>
      <c r="AC235" t="s">
        <v>74</v>
      </c>
      <c r="AD235" t="s">
        <v>74</v>
      </c>
      <c r="AE235" t="s">
        <v>74</v>
      </c>
      <c r="AF235" t="s">
        <v>74</v>
      </c>
      <c r="AG235">
        <v>81</v>
      </c>
      <c r="AH235">
        <v>27</v>
      </c>
      <c r="AI235">
        <v>33</v>
      </c>
      <c r="AJ235">
        <v>0</v>
      </c>
      <c r="AK235">
        <v>39</v>
      </c>
      <c r="AL235" t="s">
        <v>310</v>
      </c>
      <c r="AM235" t="s">
        <v>311</v>
      </c>
      <c r="AN235" t="s">
        <v>312</v>
      </c>
      <c r="AO235" t="s">
        <v>983</v>
      </c>
      <c r="AP235" t="s">
        <v>984</v>
      </c>
      <c r="AQ235" t="s">
        <v>74</v>
      </c>
      <c r="AR235" t="s">
        <v>985</v>
      </c>
      <c r="AS235" t="s">
        <v>986</v>
      </c>
      <c r="AT235" t="s">
        <v>74</v>
      </c>
      <c r="AU235">
        <v>2014</v>
      </c>
      <c r="AV235">
        <v>82</v>
      </c>
      <c r="AW235">
        <v>4</v>
      </c>
      <c r="AX235" t="s">
        <v>74</v>
      </c>
      <c r="AY235" t="s">
        <v>74</v>
      </c>
      <c r="AZ235" t="s">
        <v>74</v>
      </c>
      <c r="BA235" t="s">
        <v>74</v>
      </c>
      <c r="BB235">
        <v>455</v>
      </c>
      <c r="BC235">
        <v>479</v>
      </c>
      <c r="BD235" t="s">
        <v>74</v>
      </c>
      <c r="BE235" t="s">
        <v>5045</v>
      </c>
      <c r="BF235" t="str">
        <f>HYPERLINK("http://dx.doi.org/10.1080/00220973.2013.813370","http://dx.doi.org/10.1080/00220973.2013.813370")</f>
        <v>http://dx.doi.org/10.1080/00220973.2013.813370</v>
      </c>
      <c r="BG235" t="s">
        <v>74</v>
      </c>
      <c r="BH235" t="s">
        <v>74</v>
      </c>
      <c r="BI235">
        <v>25</v>
      </c>
      <c r="BJ235" t="s">
        <v>664</v>
      </c>
      <c r="BK235" t="s">
        <v>250</v>
      </c>
      <c r="BL235" t="s">
        <v>665</v>
      </c>
      <c r="BM235" t="s">
        <v>5046</v>
      </c>
      <c r="BN235" t="s">
        <v>74</v>
      </c>
      <c r="BO235" t="s">
        <v>74</v>
      </c>
      <c r="BP235" t="s">
        <v>74</v>
      </c>
      <c r="BQ235" t="s">
        <v>74</v>
      </c>
      <c r="BR235" t="s">
        <v>106</v>
      </c>
      <c r="BS235" t="s">
        <v>5047</v>
      </c>
      <c r="BT235" t="str">
        <f>HYPERLINK("https%3A%2F%2Fwww.webofscience.com%2Fwos%2Fwoscc%2Ffull-record%2FWOS:000340364100002","View Full Record in Web of Science")</f>
        <v>View Full Record in Web of Science</v>
      </c>
    </row>
    <row r="236" spans="1:72" x14ac:dyDescent="0.25">
      <c r="A236" t="s">
        <v>108</v>
      </c>
      <c r="B236" t="s">
        <v>5048</v>
      </c>
      <c r="C236" t="s">
        <v>74</v>
      </c>
      <c r="D236" t="s">
        <v>5049</v>
      </c>
      <c r="E236" t="s">
        <v>74</v>
      </c>
      <c r="F236" t="s">
        <v>5050</v>
      </c>
      <c r="G236" t="s">
        <v>74</v>
      </c>
      <c r="H236" t="s">
        <v>74</v>
      </c>
      <c r="I236" t="s">
        <v>5051</v>
      </c>
      <c r="J236" t="s">
        <v>5052</v>
      </c>
      <c r="K236" t="s">
        <v>5053</v>
      </c>
      <c r="L236" t="s">
        <v>74</v>
      </c>
      <c r="M236" t="s">
        <v>78</v>
      </c>
      <c r="N236" t="s">
        <v>115</v>
      </c>
      <c r="O236" t="s">
        <v>5054</v>
      </c>
      <c r="P236" t="s">
        <v>5055</v>
      </c>
      <c r="Q236" t="s">
        <v>5056</v>
      </c>
      <c r="R236" t="s">
        <v>74</v>
      </c>
      <c r="S236" t="s">
        <v>5057</v>
      </c>
      <c r="T236" t="s">
        <v>5058</v>
      </c>
      <c r="U236" t="s">
        <v>74</v>
      </c>
      <c r="V236" t="s">
        <v>5059</v>
      </c>
      <c r="W236" t="s">
        <v>5060</v>
      </c>
      <c r="X236" t="s">
        <v>5061</v>
      </c>
      <c r="Y236" t="s">
        <v>5062</v>
      </c>
      <c r="Z236" t="s">
        <v>5063</v>
      </c>
      <c r="AA236" t="s">
        <v>5064</v>
      </c>
      <c r="AB236" t="s">
        <v>74</v>
      </c>
      <c r="AC236" t="s">
        <v>74</v>
      </c>
      <c r="AD236" t="s">
        <v>74</v>
      </c>
      <c r="AE236" t="s">
        <v>74</v>
      </c>
      <c r="AF236" t="s">
        <v>74</v>
      </c>
      <c r="AG236">
        <v>14</v>
      </c>
      <c r="AH236">
        <v>5</v>
      </c>
      <c r="AI236">
        <v>5</v>
      </c>
      <c r="AJ236">
        <v>0</v>
      </c>
      <c r="AK236">
        <v>6</v>
      </c>
      <c r="AL236" t="s">
        <v>2996</v>
      </c>
      <c r="AM236" t="s">
        <v>1814</v>
      </c>
      <c r="AN236" t="s">
        <v>2997</v>
      </c>
      <c r="AO236" t="s">
        <v>5065</v>
      </c>
      <c r="AP236" t="s">
        <v>74</v>
      </c>
      <c r="AQ236" t="s">
        <v>5066</v>
      </c>
      <c r="AR236" t="s">
        <v>5067</v>
      </c>
      <c r="AS236" t="s">
        <v>74</v>
      </c>
      <c r="AT236" t="s">
        <v>74</v>
      </c>
      <c r="AU236">
        <v>2018</v>
      </c>
      <c r="AV236">
        <v>9</v>
      </c>
      <c r="AW236" t="s">
        <v>74</v>
      </c>
      <c r="AX236" t="s">
        <v>74</v>
      </c>
      <c r="AY236" t="s">
        <v>74</v>
      </c>
      <c r="AZ236" t="s">
        <v>74</v>
      </c>
      <c r="BA236" t="s">
        <v>74</v>
      </c>
      <c r="BB236">
        <v>55</v>
      </c>
      <c r="BC236">
        <v>64</v>
      </c>
      <c r="BD236" t="s">
        <v>74</v>
      </c>
      <c r="BE236" t="s">
        <v>5068</v>
      </c>
      <c r="BF236" t="str">
        <f>HYPERLINK("http://dx.doi.org/10.1007/978-981-10-6319-0_5","http://dx.doi.org/10.1007/978-981-10-6319-0_5")</f>
        <v>http://dx.doi.org/10.1007/978-981-10-6319-0_5</v>
      </c>
      <c r="BG236" t="s">
        <v>74</v>
      </c>
      <c r="BH236" t="s">
        <v>74</v>
      </c>
      <c r="BI236">
        <v>10</v>
      </c>
      <c r="BJ236" t="s">
        <v>202</v>
      </c>
      <c r="BK236" t="s">
        <v>203</v>
      </c>
      <c r="BL236" t="s">
        <v>103</v>
      </c>
      <c r="BM236" t="s">
        <v>5069</v>
      </c>
      <c r="BN236" t="s">
        <v>74</v>
      </c>
      <c r="BO236" t="s">
        <v>74</v>
      </c>
      <c r="BP236" t="s">
        <v>74</v>
      </c>
      <c r="BQ236" t="s">
        <v>74</v>
      </c>
      <c r="BR236" t="s">
        <v>106</v>
      </c>
      <c r="BS236" t="s">
        <v>5070</v>
      </c>
      <c r="BT236" t="str">
        <f>HYPERLINK("https%3A%2F%2Fwww.webofscience.com%2Fwos%2Fwoscc%2Ffull-record%2FWOS:000450834400005","View Full Record in Web of Science")</f>
        <v>View Full Record in Web of Science</v>
      </c>
    </row>
    <row r="237" spans="1:72" x14ac:dyDescent="0.25">
      <c r="A237" t="s">
        <v>72</v>
      </c>
      <c r="B237" t="s">
        <v>5071</v>
      </c>
      <c r="C237" t="s">
        <v>74</v>
      </c>
      <c r="D237" t="s">
        <v>74</v>
      </c>
      <c r="E237" t="s">
        <v>74</v>
      </c>
      <c r="F237" t="s">
        <v>5072</v>
      </c>
      <c r="G237" t="s">
        <v>74</v>
      </c>
      <c r="H237" t="s">
        <v>74</v>
      </c>
      <c r="I237" t="s">
        <v>5073</v>
      </c>
      <c r="J237" t="s">
        <v>1572</v>
      </c>
      <c r="K237" t="s">
        <v>74</v>
      </c>
      <c r="L237" t="s">
        <v>74</v>
      </c>
      <c r="M237" t="s">
        <v>78</v>
      </c>
      <c r="N237" t="s">
        <v>79</v>
      </c>
      <c r="O237" t="s">
        <v>74</v>
      </c>
      <c r="P237" t="s">
        <v>74</v>
      </c>
      <c r="Q237" t="s">
        <v>74</v>
      </c>
      <c r="R237" t="s">
        <v>74</v>
      </c>
      <c r="S237" t="s">
        <v>74</v>
      </c>
      <c r="T237" t="s">
        <v>5074</v>
      </c>
      <c r="U237" t="s">
        <v>5075</v>
      </c>
      <c r="V237" t="s">
        <v>5076</v>
      </c>
      <c r="W237" t="s">
        <v>5077</v>
      </c>
      <c r="X237" t="s">
        <v>5078</v>
      </c>
      <c r="Y237" t="s">
        <v>5079</v>
      </c>
      <c r="Z237" t="s">
        <v>5080</v>
      </c>
      <c r="AA237" t="s">
        <v>5081</v>
      </c>
      <c r="AB237" t="s">
        <v>5082</v>
      </c>
      <c r="AC237" t="s">
        <v>5083</v>
      </c>
      <c r="AD237" t="s">
        <v>5084</v>
      </c>
      <c r="AE237" t="s">
        <v>5085</v>
      </c>
      <c r="AF237" t="s">
        <v>74</v>
      </c>
      <c r="AG237">
        <v>52</v>
      </c>
      <c r="AH237">
        <v>16</v>
      </c>
      <c r="AI237">
        <v>18</v>
      </c>
      <c r="AJ237">
        <v>0</v>
      </c>
      <c r="AK237">
        <v>75</v>
      </c>
      <c r="AL237" t="s">
        <v>362</v>
      </c>
      <c r="AM237" t="s">
        <v>363</v>
      </c>
      <c r="AN237" t="s">
        <v>364</v>
      </c>
      <c r="AO237" t="s">
        <v>1584</v>
      </c>
      <c r="AP237" t="s">
        <v>1585</v>
      </c>
      <c r="AQ237" t="s">
        <v>74</v>
      </c>
      <c r="AR237" t="s">
        <v>1586</v>
      </c>
      <c r="AS237" t="s">
        <v>1587</v>
      </c>
      <c r="AT237" t="s">
        <v>1588</v>
      </c>
      <c r="AU237">
        <v>2019</v>
      </c>
      <c r="AV237">
        <v>35</v>
      </c>
      <c r="AW237" t="s">
        <v>74</v>
      </c>
      <c r="AX237" t="s">
        <v>74</v>
      </c>
      <c r="AY237" t="s">
        <v>74</v>
      </c>
      <c r="AZ237" t="s">
        <v>74</v>
      </c>
      <c r="BA237" t="s">
        <v>74</v>
      </c>
      <c r="BB237" t="s">
        <v>74</v>
      </c>
      <c r="BC237" t="s">
        <v>74</v>
      </c>
      <c r="BD237">
        <v>100845</v>
      </c>
      <c r="BE237" t="s">
        <v>5086</v>
      </c>
      <c r="BF237" t="str">
        <f>HYPERLINK("http://dx.doi.org/10.1016/j.elerap.2019.100845","http://dx.doi.org/10.1016/j.elerap.2019.100845")</f>
        <v>http://dx.doi.org/10.1016/j.elerap.2019.100845</v>
      </c>
      <c r="BG237" t="s">
        <v>74</v>
      </c>
      <c r="BH237" t="s">
        <v>74</v>
      </c>
      <c r="BI237">
        <v>12</v>
      </c>
      <c r="BJ237" t="s">
        <v>1590</v>
      </c>
      <c r="BK237" t="s">
        <v>745</v>
      </c>
      <c r="BL237" t="s">
        <v>1591</v>
      </c>
      <c r="BM237" t="s">
        <v>5087</v>
      </c>
      <c r="BN237" t="s">
        <v>74</v>
      </c>
      <c r="BO237" t="s">
        <v>74</v>
      </c>
      <c r="BP237" t="s">
        <v>74</v>
      </c>
      <c r="BQ237" t="s">
        <v>74</v>
      </c>
      <c r="BR237" t="s">
        <v>106</v>
      </c>
      <c r="BS237" t="s">
        <v>5088</v>
      </c>
      <c r="BT237" t="str">
        <f>HYPERLINK("https%3A%2F%2Fwww.webofscience.com%2Fwos%2Fwoscc%2Ffull-record%2FWOS:000477668400007","View Full Record in Web of Science")</f>
        <v>View Full Record in Web of Science</v>
      </c>
    </row>
    <row r="238" spans="1:72" x14ac:dyDescent="0.25">
      <c r="A238" t="s">
        <v>108</v>
      </c>
      <c r="B238" t="s">
        <v>5089</v>
      </c>
      <c r="C238" t="s">
        <v>74</v>
      </c>
      <c r="D238" t="s">
        <v>1651</v>
      </c>
      <c r="E238" t="s">
        <v>74</v>
      </c>
      <c r="F238" t="s">
        <v>5090</v>
      </c>
      <c r="G238" t="s">
        <v>74</v>
      </c>
      <c r="H238" t="s">
        <v>74</v>
      </c>
      <c r="I238" t="s">
        <v>5091</v>
      </c>
      <c r="J238" t="s">
        <v>5092</v>
      </c>
      <c r="K238" t="s">
        <v>74</v>
      </c>
      <c r="L238" t="s">
        <v>74</v>
      </c>
      <c r="M238" t="s">
        <v>78</v>
      </c>
      <c r="N238" t="s">
        <v>115</v>
      </c>
      <c r="O238" t="s">
        <v>5093</v>
      </c>
      <c r="P238" t="s">
        <v>5094</v>
      </c>
      <c r="Q238" t="s">
        <v>1658</v>
      </c>
      <c r="R238" t="s">
        <v>74</v>
      </c>
      <c r="S238" t="s">
        <v>74</v>
      </c>
      <c r="T238" t="s">
        <v>5095</v>
      </c>
      <c r="U238" t="s">
        <v>74</v>
      </c>
      <c r="V238" t="s">
        <v>5096</v>
      </c>
      <c r="W238" t="s">
        <v>5097</v>
      </c>
      <c r="X238" t="s">
        <v>74</v>
      </c>
      <c r="Y238" t="s">
        <v>74</v>
      </c>
      <c r="Z238" t="s">
        <v>74</v>
      </c>
      <c r="AA238" t="s">
        <v>74</v>
      </c>
      <c r="AB238" t="s">
        <v>74</v>
      </c>
      <c r="AC238" t="s">
        <v>74</v>
      </c>
      <c r="AD238" t="s">
        <v>74</v>
      </c>
      <c r="AE238" t="s">
        <v>74</v>
      </c>
      <c r="AF238" t="s">
        <v>74</v>
      </c>
      <c r="AG238">
        <v>5</v>
      </c>
      <c r="AH238">
        <v>0</v>
      </c>
      <c r="AI238">
        <v>0</v>
      </c>
      <c r="AJ238">
        <v>0</v>
      </c>
      <c r="AK238">
        <v>15</v>
      </c>
      <c r="AL238" t="s">
        <v>1668</v>
      </c>
      <c r="AM238" t="s">
        <v>1669</v>
      </c>
      <c r="AN238" t="s">
        <v>1670</v>
      </c>
      <c r="AO238" t="s">
        <v>74</v>
      </c>
      <c r="AP238" t="s">
        <v>74</v>
      </c>
      <c r="AQ238" t="s">
        <v>5098</v>
      </c>
      <c r="AR238" t="s">
        <v>74</v>
      </c>
      <c r="AS238" t="s">
        <v>74</v>
      </c>
      <c r="AT238" t="s">
        <v>74</v>
      </c>
      <c r="AU238">
        <v>2013</v>
      </c>
      <c r="AV238" t="s">
        <v>74</v>
      </c>
      <c r="AW238" t="s">
        <v>74</v>
      </c>
      <c r="AX238" t="s">
        <v>74</v>
      </c>
      <c r="AY238" t="s">
        <v>74</v>
      </c>
      <c r="AZ238" t="s">
        <v>74</v>
      </c>
      <c r="BA238" t="s">
        <v>74</v>
      </c>
      <c r="BB238">
        <v>2827</v>
      </c>
      <c r="BC238">
        <v>2835</v>
      </c>
      <c r="BD238" t="s">
        <v>74</v>
      </c>
      <c r="BE238" t="s">
        <v>74</v>
      </c>
      <c r="BF238" t="s">
        <v>74</v>
      </c>
      <c r="BG238" t="s">
        <v>74</v>
      </c>
      <c r="BH238" t="s">
        <v>74</v>
      </c>
      <c r="BI238">
        <v>9</v>
      </c>
      <c r="BJ238" t="s">
        <v>318</v>
      </c>
      <c r="BK238" t="s">
        <v>1042</v>
      </c>
      <c r="BL238" t="s">
        <v>318</v>
      </c>
      <c r="BM238" t="s">
        <v>5099</v>
      </c>
      <c r="BN238" t="s">
        <v>74</v>
      </c>
      <c r="BO238" t="s">
        <v>74</v>
      </c>
      <c r="BP238" t="s">
        <v>74</v>
      </c>
      <c r="BQ238" t="s">
        <v>74</v>
      </c>
      <c r="BR238" t="s">
        <v>106</v>
      </c>
      <c r="BS238" t="s">
        <v>5100</v>
      </c>
      <c r="BT238" t="str">
        <f>HYPERLINK("https%3A%2F%2Fwww.webofscience.com%2Fwos%2Fwoscc%2Ffull-record%2FWOS:000347240602132","View Full Record in Web of Science")</f>
        <v>View Full Record in Web of Science</v>
      </c>
    </row>
    <row r="239" spans="1:72" x14ac:dyDescent="0.25">
      <c r="A239" t="s">
        <v>72</v>
      </c>
      <c r="B239" t="s">
        <v>5101</v>
      </c>
      <c r="C239" t="s">
        <v>74</v>
      </c>
      <c r="D239" t="s">
        <v>74</v>
      </c>
      <c r="E239" t="s">
        <v>74</v>
      </c>
      <c r="F239" t="s">
        <v>5102</v>
      </c>
      <c r="G239" t="s">
        <v>74</v>
      </c>
      <c r="H239" t="s">
        <v>74</v>
      </c>
      <c r="I239" t="s">
        <v>5103</v>
      </c>
      <c r="J239" t="s">
        <v>5104</v>
      </c>
      <c r="K239" t="s">
        <v>74</v>
      </c>
      <c r="L239" t="s">
        <v>74</v>
      </c>
      <c r="M239" t="s">
        <v>78</v>
      </c>
      <c r="N239" t="s">
        <v>79</v>
      </c>
      <c r="O239" t="s">
        <v>74</v>
      </c>
      <c r="P239" t="s">
        <v>74</v>
      </c>
      <c r="Q239" t="s">
        <v>74</v>
      </c>
      <c r="R239" t="s">
        <v>74</v>
      </c>
      <c r="S239" t="s">
        <v>74</v>
      </c>
      <c r="T239" t="s">
        <v>74</v>
      </c>
      <c r="U239" t="s">
        <v>74</v>
      </c>
      <c r="V239" t="s">
        <v>5105</v>
      </c>
      <c r="W239" t="s">
        <v>5106</v>
      </c>
      <c r="X239" t="s">
        <v>5107</v>
      </c>
      <c r="Y239" t="s">
        <v>5108</v>
      </c>
      <c r="Z239" t="s">
        <v>5109</v>
      </c>
      <c r="AA239" t="s">
        <v>5110</v>
      </c>
      <c r="AB239" t="s">
        <v>5111</v>
      </c>
      <c r="AC239" t="s">
        <v>5112</v>
      </c>
      <c r="AD239" t="s">
        <v>5113</v>
      </c>
      <c r="AE239" t="s">
        <v>5114</v>
      </c>
      <c r="AF239" t="s">
        <v>74</v>
      </c>
      <c r="AG239">
        <v>10</v>
      </c>
      <c r="AH239">
        <v>19</v>
      </c>
      <c r="AI239">
        <v>22</v>
      </c>
      <c r="AJ239">
        <v>0</v>
      </c>
      <c r="AK239">
        <v>9</v>
      </c>
      <c r="AL239" t="s">
        <v>895</v>
      </c>
      <c r="AM239" t="s">
        <v>896</v>
      </c>
      <c r="AN239" t="s">
        <v>897</v>
      </c>
      <c r="AO239" t="s">
        <v>5115</v>
      </c>
      <c r="AP239" t="s">
        <v>5116</v>
      </c>
      <c r="AQ239" t="s">
        <v>74</v>
      </c>
      <c r="AR239" t="s">
        <v>5117</v>
      </c>
      <c r="AS239" t="s">
        <v>5118</v>
      </c>
      <c r="AT239" t="s">
        <v>1375</v>
      </c>
      <c r="AU239">
        <v>2012</v>
      </c>
      <c r="AV239">
        <v>50</v>
      </c>
      <c r="AW239">
        <v>6</v>
      </c>
      <c r="AX239" t="s">
        <v>74</v>
      </c>
      <c r="AY239" t="s">
        <v>74</v>
      </c>
      <c r="AZ239" t="s">
        <v>74</v>
      </c>
      <c r="BA239" t="s">
        <v>74</v>
      </c>
      <c r="BB239">
        <v>74</v>
      </c>
      <c r="BC239">
        <v>81</v>
      </c>
      <c r="BD239" t="s">
        <v>74</v>
      </c>
      <c r="BE239" t="s">
        <v>5119</v>
      </c>
      <c r="BF239" t="str">
        <f>HYPERLINK("http://dx.doi.org/10.1109/MCOM.2012.6211489","http://dx.doi.org/10.1109/MCOM.2012.6211489")</f>
        <v>http://dx.doi.org/10.1109/MCOM.2012.6211489</v>
      </c>
      <c r="BG239" t="s">
        <v>74</v>
      </c>
      <c r="BH239" t="s">
        <v>74</v>
      </c>
      <c r="BI239">
        <v>8</v>
      </c>
      <c r="BJ239" t="s">
        <v>2268</v>
      </c>
      <c r="BK239" t="s">
        <v>902</v>
      </c>
      <c r="BL239" t="s">
        <v>2269</v>
      </c>
      <c r="BM239" t="s">
        <v>5120</v>
      </c>
      <c r="BN239" t="s">
        <v>74</v>
      </c>
      <c r="BO239" t="s">
        <v>346</v>
      </c>
      <c r="BP239" t="s">
        <v>74</v>
      </c>
      <c r="BQ239" t="s">
        <v>74</v>
      </c>
      <c r="BR239" t="s">
        <v>106</v>
      </c>
      <c r="BS239" t="s">
        <v>5121</v>
      </c>
      <c r="BT239" t="str">
        <f>HYPERLINK("https%3A%2F%2Fwww.webofscience.com%2Fwos%2Fwoscc%2Ffull-record%2FWOS:000305157200009","View Full Record in Web of Science")</f>
        <v>View Full Record in Web of Science</v>
      </c>
    </row>
    <row r="240" spans="1:72" x14ac:dyDescent="0.25">
      <c r="A240" t="s">
        <v>72</v>
      </c>
      <c r="B240" t="s">
        <v>5122</v>
      </c>
      <c r="C240" t="s">
        <v>74</v>
      </c>
      <c r="D240" t="s">
        <v>74</v>
      </c>
      <c r="E240" t="s">
        <v>74</v>
      </c>
      <c r="F240" t="s">
        <v>5123</v>
      </c>
      <c r="G240" t="s">
        <v>74</v>
      </c>
      <c r="H240" t="s">
        <v>74</v>
      </c>
      <c r="I240" t="s">
        <v>5124</v>
      </c>
      <c r="J240" t="s">
        <v>2480</v>
      </c>
      <c r="K240" t="s">
        <v>74</v>
      </c>
      <c r="L240" t="s">
        <v>74</v>
      </c>
      <c r="M240" t="s">
        <v>78</v>
      </c>
      <c r="N240" t="s">
        <v>79</v>
      </c>
      <c r="O240" t="s">
        <v>74</v>
      </c>
      <c r="P240" t="s">
        <v>74</v>
      </c>
      <c r="Q240" t="s">
        <v>74</v>
      </c>
      <c r="R240" t="s">
        <v>74</v>
      </c>
      <c r="S240" t="s">
        <v>74</v>
      </c>
      <c r="T240" t="s">
        <v>5125</v>
      </c>
      <c r="U240" t="s">
        <v>74</v>
      </c>
      <c r="V240" t="s">
        <v>5126</v>
      </c>
      <c r="W240" t="s">
        <v>5127</v>
      </c>
      <c r="X240" t="s">
        <v>5128</v>
      </c>
      <c r="Y240" t="s">
        <v>5129</v>
      </c>
      <c r="Z240" t="s">
        <v>5130</v>
      </c>
      <c r="AA240" t="s">
        <v>5131</v>
      </c>
      <c r="AB240" t="s">
        <v>5132</v>
      </c>
      <c r="AC240" t="s">
        <v>74</v>
      </c>
      <c r="AD240" t="s">
        <v>74</v>
      </c>
      <c r="AE240" t="s">
        <v>74</v>
      </c>
      <c r="AF240" t="s">
        <v>74</v>
      </c>
      <c r="AG240">
        <v>26</v>
      </c>
      <c r="AH240">
        <v>11</v>
      </c>
      <c r="AI240">
        <v>13</v>
      </c>
      <c r="AJ240">
        <v>2</v>
      </c>
      <c r="AK240">
        <v>32</v>
      </c>
      <c r="AL240" t="s">
        <v>178</v>
      </c>
      <c r="AM240" t="s">
        <v>1005</v>
      </c>
      <c r="AN240" t="s">
        <v>1006</v>
      </c>
      <c r="AO240" t="s">
        <v>2489</v>
      </c>
      <c r="AP240" t="s">
        <v>3079</v>
      </c>
      <c r="AQ240" t="s">
        <v>74</v>
      </c>
      <c r="AR240" t="s">
        <v>2490</v>
      </c>
      <c r="AS240" t="s">
        <v>2491</v>
      </c>
      <c r="AT240" t="s">
        <v>223</v>
      </c>
      <c r="AU240">
        <v>2024</v>
      </c>
      <c r="AV240">
        <v>83</v>
      </c>
      <c r="AW240">
        <v>9</v>
      </c>
      <c r="AX240" t="s">
        <v>74</v>
      </c>
      <c r="AY240" t="s">
        <v>74</v>
      </c>
      <c r="AZ240" t="s">
        <v>74</v>
      </c>
      <c r="BA240" t="s">
        <v>74</v>
      </c>
      <c r="BB240">
        <v>25951</v>
      </c>
      <c r="BC240">
        <v>25967</v>
      </c>
      <c r="BD240" t="s">
        <v>74</v>
      </c>
      <c r="BE240" t="s">
        <v>5133</v>
      </c>
      <c r="BF240" t="str">
        <f>HYPERLINK("http://dx.doi.org/10.1007/s11042-023-16564-7","http://dx.doi.org/10.1007/s11042-023-16564-7")</f>
        <v>http://dx.doi.org/10.1007/s11042-023-16564-7</v>
      </c>
      <c r="BG240" t="s">
        <v>74</v>
      </c>
      <c r="BH240" t="s">
        <v>5134</v>
      </c>
      <c r="BI240">
        <v>17</v>
      </c>
      <c r="BJ240" t="s">
        <v>2493</v>
      </c>
      <c r="BK240" t="s">
        <v>902</v>
      </c>
      <c r="BL240" t="s">
        <v>953</v>
      </c>
      <c r="BM240" t="s">
        <v>5135</v>
      </c>
      <c r="BN240" t="s">
        <v>74</v>
      </c>
      <c r="BO240" t="s">
        <v>74</v>
      </c>
      <c r="BP240" t="s">
        <v>74</v>
      </c>
      <c r="BQ240" t="s">
        <v>74</v>
      </c>
      <c r="BR240" t="s">
        <v>106</v>
      </c>
      <c r="BS240" t="s">
        <v>5136</v>
      </c>
      <c r="BT240" t="str">
        <f>HYPERLINK("https%3A%2F%2Fwww.webofscience.com%2Fwos%2Fwoscc%2Ffull-record%2FWOS:001060201500005","View Full Record in Web of Science")</f>
        <v>View Full Record in Web of Science</v>
      </c>
    </row>
    <row r="241" spans="1:72" x14ac:dyDescent="0.25">
      <c r="A241" t="s">
        <v>72</v>
      </c>
      <c r="B241" t="s">
        <v>5137</v>
      </c>
      <c r="C241" t="s">
        <v>74</v>
      </c>
      <c r="D241" t="s">
        <v>74</v>
      </c>
      <c r="E241" t="s">
        <v>74</v>
      </c>
      <c r="F241" t="s">
        <v>5138</v>
      </c>
      <c r="G241" t="s">
        <v>74</v>
      </c>
      <c r="H241" t="s">
        <v>74</v>
      </c>
      <c r="I241" t="s">
        <v>5139</v>
      </c>
      <c r="J241" t="s">
        <v>5140</v>
      </c>
      <c r="K241" t="s">
        <v>74</v>
      </c>
      <c r="L241" t="s">
        <v>74</v>
      </c>
      <c r="M241" t="s">
        <v>78</v>
      </c>
      <c r="N241" t="s">
        <v>79</v>
      </c>
      <c r="O241" t="s">
        <v>74</v>
      </c>
      <c r="P241" t="s">
        <v>74</v>
      </c>
      <c r="Q241" t="s">
        <v>74</v>
      </c>
      <c r="R241" t="s">
        <v>74</v>
      </c>
      <c r="S241" t="s">
        <v>74</v>
      </c>
      <c r="T241" t="s">
        <v>5141</v>
      </c>
      <c r="U241" t="s">
        <v>5142</v>
      </c>
      <c r="V241" t="s">
        <v>5143</v>
      </c>
      <c r="W241" t="s">
        <v>5144</v>
      </c>
      <c r="X241" t="s">
        <v>5145</v>
      </c>
      <c r="Y241" t="s">
        <v>5146</v>
      </c>
      <c r="Z241" t="s">
        <v>5147</v>
      </c>
      <c r="AA241" t="s">
        <v>5148</v>
      </c>
      <c r="AB241" t="s">
        <v>5149</v>
      </c>
      <c r="AC241" t="s">
        <v>5150</v>
      </c>
      <c r="AD241" t="s">
        <v>5151</v>
      </c>
      <c r="AE241" t="s">
        <v>5152</v>
      </c>
      <c r="AF241" t="s">
        <v>74</v>
      </c>
      <c r="AG241">
        <v>48</v>
      </c>
      <c r="AH241">
        <v>0</v>
      </c>
      <c r="AI241">
        <v>0</v>
      </c>
      <c r="AJ241">
        <v>4</v>
      </c>
      <c r="AK241">
        <v>7</v>
      </c>
      <c r="AL241" t="s">
        <v>1272</v>
      </c>
      <c r="AM241" t="s">
        <v>1273</v>
      </c>
      <c r="AN241" t="s">
        <v>1274</v>
      </c>
      <c r="AO241" t="s">
        <v>74</v>
      </c>
      <c r="AP241" t="s">
        <v>5153</v>
      </c>
      <c r="AQ241" t="s">
        <v>74</v>
      </c>
      <c r="AR241" t="s">
        <v>5154</v>
      </c>
      <c r="AS241" t="s">
        <v>5155</v>
      </c>
      <c r="AT241" t="s">
        <v>5156</v>
      </c>
      <c r="AU241">
        <v>2025</v>
      </c>
      <c r="AV241">
        <v>13</v>
      </c>
      <c r="AW241">
        <v>23</v>
      </c>
      <c r="AX241" t="s">
        <v>74</v>
      </c>
      <c r="AY241" t="s">
        <v>74</v>
      </c>
      <c r="AZ241" t="s">
        <v>74</v>
      </c>
      <c r="BA241" t="s">
        <v>74</v>
      </c>
      <c r="BB241" t="s">
        <v>74</v>
      </c>
      <c r="BC241" t="s">
        <v>74</v>
      </c>
      <c r="BD241">
        <v>3777</v>
      </c>
      <c r="BE241" t="s">
        <v>5157</v>
      </c>
      <c r="BF241" t="str">
        <f>HYPERLINK("http://dx.doi.org/10.3390/math13233777","http://dx.doi.org/10.3390/math13233777")</f>
        <v>http://dx.doi.org/10.3390/math13233777</v>
      </c>
      <c r="BG241" t="s">
        <v>74</v>
      </c>
      <c r="BH241" t="s">
        <v>74</v>
      </c>
      <c r="BI241">
        <v>21</v>
      </c>
      <c r="BJ241" t="s">
        <v>5155</v>
      </c>
      <c r="BK241" t="s">
        <v>902</v>
      </c>
      <c r="BL241" t="s">
        <v>5155</v>
      </c>
      <c r="BM241" t="s">
        <v>5158</v>
      </c>
      <c r="BN241" t="s">
        <v>74</v>
      </c>
      <c r="BO241" t="s">
        <v>398</v>
      </c>
      <c r="BP241" t="s">
        <v>74</v>
      </c>
      <c r="BQ241" t="s">
        <v>74</v>
      </c>
      <c r="BR241" t="s">
        <v>106</v>
      </c>
      <c r="BS241" t="s">
        <v>5159</v>
      </c>
      <c r="BT241" t="str">
        <f>HYPERLINK("https%3A%2F%2Fwww.webofscience.com%2Fwos%2Fwoscc%2Ffull-record%2FWOS:001635030300001","View Full Record in Web of Science")</f>
        <v>View Full Record in Web of Science</v>
      </c>
    </row>
    <row r="242" spans="1:72" x14ac:dyDescent="0.25">
      <c r="A242" t="s">
        <v>108</v>
      </c>
      <c r="B242" t="s">
        <v>5160</v>
      </c>
      <c r="C242" t="s">
        <v>74</v>
      </c>
      <c r="D242" t="s">
        <v>74</v>
      </c>
      <c r="E242" t="s">
        <v>273</v>
      </c>
      <c r="F242" t="s">
        <v>5161</v>
      </c>
      <c r="G242" t="s">
        <v>74</v>
      </c>
      <c r="H242" t="s">
        <v>74</v>
      </c>
      <c r="I242" t="s">
        <v>5162</v>
      </c>
      <c r="J242" t="s">
        <v>5163</v>
      </c>
      <c r="K242" t="s">
        <v>74</v>
      </c>
      <c r="L242" t="s">
        <v>74</v>
      </c>
      <c r="M242" t="s">
        <v>78</v>
      </c>
      <c r="N242" t="s">
        <v>115</v>
      </c>
      <c r="O242" t="s">
        <v>5164</v>
      </c>
      <c r="P242" t="s">
        <v>4016</v>
      </c>
      <c r="Q242" t="s">
        <v>5165</v>
      </c>
      <c r="R242" t="s">
        <v>5166</v>
      </c>
      <c r="S242" t="s">
        <v>5167</v>
      </c>
      <c r="T242" t="s">
        <v>5168</v>
      </c>
      <c r="U242" t="s">
        <v>74</v>
      </c>
      <c r="V242" t="s">
        <v>5169</v>
      </c>
      <c r="W242" t="s">
        <v>5170</v>
      </c>
      <c r="X242" t="s">
        <v>5171</v>
      </c>
      <c r="Y242" t="s">
        <v>5172</v>
      </c>
      <c r="Z242" t="s">
        <v>5173</v>
      </c>
      <c r="AA242" t="s">
        <v>74</v>
      </c>
      <c r="AB242" t="s">
        <v>74</v>
      </c>
      <c r="AC242" t="s">
        <v>74</v>
      </c>
      <c r="AD242" t="s">
        <v>74</v>
      </c>
      <c r="AE242" t="s">
        <v>74</v>
      </c>
      <c r="AF242" t="s">
        <v>74</v>
      </c>
      <c r="AG242">
        <v>21</v>
      </c>
      <c r="AH242">
        <v>8</v>
      </c>
      <c r="AI242">
        <v>9</v>
      </c>
      <c r="AJ242">
        <v>0</v>
      </c>
      <c r="AK242">
        <v>6</v>
      </c>
      <c r="AL242" t="s">
        <v>291</v>
      </c>
      <c r="AM242" t="s">
        <v>92</v>
      </c>
      <c r="AN242" t="s">
        <v>341</v>
      </c>
      <c r="AO242" t="s">
        <v>74</v>
      </c>
      <c r="AP242" t="s">
        <v>74</v>
      </c>
      <c r="AQ242" t="s">
        <v>5174</v>
      </c>
      <c r="AR242" t="s">
        <v>74</v>
      </c>
      <c r="AS242" t="s">
        <v>74</v>
      </c>
      <c r="AT242" t="s">
        <v>74</v>
      </c>
      <c r="AU242">
        <v>2015</v>
      </c>
      <c r="AV242" t="s">
        <v>74</v>
      </c>
      <c r="AW242" t="s">
        <v>74</v>
      </c>
      <c r="AX242" t="s">
        <v>74</v>
      </c>
      <c r="AY242" t="s">
        <v>74</v>
      </c>
      <c r="AZ242" t="s">
        <v>74</v>
      </c>
      <c r="BA242" t="s">
        <v>74</v>
      </c>
      <c r="BB242">
        <v>1819</v>
      </c>
      <c r="BC242">
        <v>1828</v>
      </c>
      <c r="BD242" t="s">
        <v>74</v>
      </c>
      <c r="BE242" t="s">
        <v>5175</v>
      </c>
      <c r="BF242" t="str">
        <f>HYPERLINK("http://dx.doi.org/10.1145/2783258.2788616","http://dx.doi.org/10.1145/2783258.2788616")</f>
        <v>http://dx.doi.org/10.1145/2783258.2788616</v>
      </c>
      <c r="BG242" t="s">
        <v>74</v>
      </c>
      <c r="BH242" t="s">
        <v>74</v>
      </c>
      <c r="BI242">
        <v>10</v>
      </c>
      <c r="BJ242" t="s">
        <v>461</v>
      </c>
      <c r="BK242" t="s">
        <v>203</v>
      </c>
      <c r="BL242" t="s">
        <v>103</v>
      </c>
      <c r="BM242" t="s">
        <v>5176</v>
      </c>
      <c r="BN242" t="s">
        <v>74</v>
      </c>
      <c r="BO242" t="s">
        <v>346</v>
      </c>
      <c r="BP242" t="s">
        <v>74</v>
      </c>
      <c r="BQ242" t="s">
        <v>74</v>
      </c>
      <c r="BR242" t="s">
        <v>106</v>
      </c>
      <c r="BS242" t="s">
        <v>5177</v>
      </c>
      <c r="BT242" t="str">
        <f>HYPERLINK("https%3A%2F%2Fwww.webofscience.com%2Fwos%2Fwoscc%2Ffull-record%2FWOS:000485312900193","View Full Record in Web of Science")</f>
        <v>View Full Record in Web of Science</v>
      </c>
    </row>
    <row r="243" spans="1:72" x14ac:dyDescent="0.25">
      <c r="A243" t="s">
        <v>72</v>
      </c>
      <c r="B243" t="s">
        <v>5178</v>
      </c>
      <c r="C243" t="s">
        <v>74</v>
      </c>
      <c r="D243" t="s">
        <v>74</v>
      </c>
      <c r="E243" t="s">
        <v>74</v>
      </c>
      <c r="F243" t="s">
        <v>5179</v>
      </c>
      <c r="G243" t="s">
        <v>74</v>
      </c>
      <c r="H243" t="s">
        <v>74</v>
      </c>
      <c r="I243" t="s">
        <v>5180</v>
      </c>
      <c r="J243" t="s">
        <v>5181</v>
      </c>
      <c r="K243" t="s">
        <v>74</v>
      </c>
      <c r="L243" t="s">
        <v>74</v>
      </c>
      <c r="M243" t="s">
        <v>78</v>
      </c>
      <c r="N243" t="s">
        <v>79</v>
      </c>
      <c r="O243" t="s">
        <v>74</v>
      </c>
      <c r="P243" t="s">
        <v>74</v>
      </c>
      <c r="Q243" t="s">
        <v>74</v>
      </c>
      <c r="R243" t="s">
        <v>74</v>
      </c>
      <c r="S243" t="s">
        <v>74</v>
      </c>
      <c r="T243" t="s">
        <v>5182</v>
      </c>
      <c r="U243" t="s">
        <v>5183</v>
      </c>
      <c r="V243" t="s">
        <v>5184</v>
      </c>
      <c r="W243" t="s">
        <v>5185</v>
      </c>
      <c r="X243" t="s">
        <v>5186</v>
      </c>
      <c r="Y243" t="s">
        <v>5187</v>
      </c>
      <c r="Z243" t="s">
        <v>5188</v>
      </c>
      <c r="AA243" t="s">
        <v>74</v>
      </c>
      <c r="AB243" t="s">
        <v>74</v>
      </c>
      <c r="AC243" t="s">
        <v>5189</v>
      </c>
      <c r="AD243" t="s">
        <v>5190</v>
      </c>
      <c r="AE243" t="s">
        <v>5191</v>
      </c>
      <c r="AF243" t="s">
        <v>74</v>
      </c>
      <c r="AG243">
        <v>39</v>
      </c>
      <c r="AH243">
        <v>7</v>
      </c>
      <c r="AI243">
        <v>7</v>
      </c>
      <c r="AJ243">
        <v>0</v>
      </c>
      <c r="AK243">
        <v>15</v>
      </c>
      <c r="AL243" t="s">
        <v>631</v>
      </c>
      <c r="AM243" t="s">
        <v>632</v>
      </c>
      <c r="AN243" t="s">
        <v>633</v>
      </c>
      <c r="AO243" t="s">
        <v>5192</v>
      </c>
      <c r="AP243" t="s">
        <v>5193</v>
      </c>
      <c r="AQ243" t="s">
        <v>74</v>
      </c>
      <c r="AR243" t="s">
        <v>5194</v>
      </c>
      <c r="AS243" t="s">
        <v>5195</v>
      </c>
      <c r="AT243" t="s">
        <v>1251</v>
      </c>
      <c r="AU243">
        <v>2017</v>
      </c>
      <c r="AV243">
        <v>34</v>
      </c>
      <c r="AW243">
        <v>2</v>
      </c>
      <c r="AX243" t="s">
        <v>74</v>
      </c>
      <c r="AY243" t="s">
        <v>74</v>
      </c>
      <c r="AZ243" t="s">
        <v>247</v>
      </c>
      <c r="BA243" t="s">
        <v>74</v>
      </c>
      <c r="BB243" t="s">
        <v>74</v>
      </c>
      <c r="BC243" t="s">
        <v>74</v>
      </c>
      <c r="BD243" t="s">
        <v>74</v>
      </c>
      <c r="BE243" t="s">
        <v>5196</v>
      </c>
      <c r="BF243" t="str">
        <f>HYPERLINK("http://dx.doi.org/10.1111/exsy.12190","http://dx.doi.org/10.1111/exsy.12190")</f>
        <v>http://dx.doi.org/10.1111/exsy.12190</v>
      </c>
      <c r="BG243" t="s">
        <v>74</v>
      </c>
      <c r="BH243" t="s">
        <v>74</v>
      </c>
      <c r="BI243">
        <v>14</v>
      </c>
      <c r="BJ243" t="s">
        <v>1399</v>
      </c>
      <c r="BK243" t="s">
        <v>902</v>
      </c>
      <c r="BL243" t="s">
        <v>103</v>
      </c>
      <c r="BM243" t="s">
        <v>5197</v>
      </c>
      <c r="BN243" t="s">
        <v>74</v>
      </c>
      <c r="BO243" t="s">
        <v>74</v>
      </c>
      <c r="BP243" t="s">
        <v>74</v>
      </c>
      <c r="BQ243" t="s">
        <v>74</v>
      </c>
      <c r="BR243" t="s">
        <v>106</v>
      </c>
      <c r="BS243" t="s">
        <v>5198</v>
      </c>
      <c r="BT243" t="str">
        <f>HYPERLINK("https%3A%2F%2Fwww.webofscience.com%2Fwos%2Fwoscc%2Ffull-record%2FWOS:000398838300005","View Full Record in Web of Science")</f>
        <v>View Full Record in Web of Science</v>
      </c>
    </row>
    <row r="244" spans="1:72" x14ac:dyDescent="0.25">
      <c r="A244" t="s">
        <v>72</v>
      </c>
      <c r="B244" t="s">
        <v>5199</v>
      </c>
      <c r="C244" t="s">
        <v>74</v>
      </c>
      <c r="D244" t="s">
        <v>74</v>
      </c>
      <c r="E244" t="s">
        <v>74</v>
      </c>
      <c r="F244" t="s">
        <v>5200</v>
      </c>
      <c r="G244" t="s">
        <v>74</v>
      </c>
      <c r="H244" t="s">
        <v>74</v>
      </c>
      <c r="I244" t="s">
        <v>5201</v>
      </c>
      <c r="J244" t="s">
        <v>5202</v>
      </c>
      <c r="K244" t="s">
        <v>74</v>
      </c>
      <c r="L244" t="s">
        <v>74</v>
      </c>
      <c r="M244" t="s">
        <v>78</v>
      </c>
      <c r="N244" t="s">
        <v>79</v>
      </c>
      <c r="O244" t="s">
        <v>74</v>
      </c>
      <c r="P244" t="s">
        <v>74</v>
      </c>
      <c r="Q244" t="s">
        <v>74</v>
      </c>
      <c r="R244" t="s">
        <v>74</v>
      </c>
      <c r="S244" t="s">
        <v>74</v>
      </c>
      <c r="T244" t="s">
        <v>5203</v>
      </c>
      <c r="U244" t="s">
        <v>74</v>
      </c>
      <c r="V244" t="s">
        <v>5204</v>
      </c>
      <c r="W244" t="s">
        <v>5205</v>
      </c>
      <c r="X244" t="s">
        <v>5206</v>
      </c>
      <c r="Y244" t="s">
        <v>5207</v>
      </c>
      <c r="Z244" t="s">
        <v>5208</v>
      </c>
      <c r="AA244" t="s">
        <v>5209</v>
      </c>
      <c r="AB244" t="s">
        <v>5210</v>
      </c>
      <c r="AC244" t="s">
        <v>5211</v>
      </c>
      <c r="AD244" t="s">
        <v>5212</v>
      </c>
      <c r="AE244" t="s">
        <v>5213</v>
      </c>
      <c r="AF244" t="s">
        <v>74</v>
      </c>
      <c r="AG244">
        <v>23</v>
      </c>
      <c r="AH244">
        <v>26</v>
      </c>
      <c r="AI244">
        <v>27</v>
      </c>
      <c r="AJ244">
        <v>0</v>
      </c>
      <c r="AK244">
        <v>9</v>
      </c>
      <c r="AL244" t="s">
        <v>5214</v>
      </c>
      <c r="AM244" t="s">
        <v>1320</v>
      </c>
      <c r="AN244" t="s">
        <v>5215</v>
      </c>
      <c r="AO244" t="s">
        <v>5216</v>
      </c>
      <c r="AP244" t="s">
        <v>5217</v>
      </c>
      <c r="AQ244" t="s">
        <v>74</v>
      </c>
      <c r="AR244" t="s">
        <v>5218</v>
      </c>
      <c r="AS244" t="s">
        <v>5219</v>
      </c>
      <c r="AT244" t="s">
        <v>223</v>
      </c>
      <c r="AU244">
        <v>2020</v>
      </c>
      <c r="AV244">
        <v>5</v>
      </c>
      <c r="AW244">
        <v>1</v>
      </c>
      <c r="AX244" t="s">
        <v>74</v>
      </c>
      <c r="AY244" t="s">
        <v>74</v>
      </c>
      <c r="AZ244" t="s">
        <v>74</v>
      </c>
      <c r="BA244" t="s">
        <v>74</v>
      </c>
      <c r="BB244">
        <v>27</v>
      </c>
      <c r="BC244">
        <v>47</v>
      </c>
      <c r="BD244" t="s">
        <v>74</v>
      </c>
      <c r="BE244" t="s">
        <v>5220</v>
      </c>
      <c r="BF244" t="str">
        <f>HYPERLINK("http://dx.doi.org/10.1007/s41019-019-00113-0","http://dx.doi.org/10.1007/s41019-019-00113-0")</f>
        <v>http://dx.doi.org/10.1007/s41019-019-00113-0</v>
      </c>
      <c r="BG244" t="s">
        <v>74</v>
      </c>
      <c r="BH244" t="s">
        <v>74</v>
      </c>
      <c r="BI244">
        <v>21</v>
      </c>
      <c r="BJ244" t="s">
        <v>696</v>
      </c>
      <c r="BK244" t="s">
        <v>102</v>
      </c>
      <c r="BL244" t="s">
        <v>103</v>
      </c>
      <c r="BM244" t="s">
        <v>5221</v>
      </c>
      <c r="BN244" t="s">
        <v>74</v>
      </c>
      <c r="BO244" t="s">
        <v>398</v>
      </c>
      <c r="BP244" t="s">
        <v>74</v>
      </c>
      <c r="BQ244" t="s">
        <v>74</v>
      </c>
      <c r="BR244" t="s">
        <v>106</v>
      </c>
      <c r="BS244" t="s">
        <v>5222</v>
      </c>
      <c r="BT244" t="str">
        <f>HYPERLINK("https%3A%2F%2Fwww.webofscience.com%2Fwos%2Fwoscc%2Ffull-record%2FWOS:000657155000003","View Full Record in Web of Science")</f>
        <v>View Full Record in Web of Science</v>
      </c>
    </row>
    <row r="245" spans="1:72" x14ac:dyDescent="0.25">
      <c r="A245" t="s">
        <v>72</v>
      </c>
      <c r="B245" t="s">
        <v>5223</v>
      </c>
      <c r="C245" t="s">
        <v>74</v>
      </c>
      <c r="D245" t="s">
        <v>74</v>
      </c>
      <c r="E245" t="s">
        <v>74</v>
      </c>
      <c r="F245" t="s">
        <v>5223</v>
      </c>
      <c r="G245" t="s">
        <v>74</v>
      </c>
      <c r="H245" t="s">
        <v>74</v>
      </c>
      <c r="I245" t="s">
        <v>5224</v>
      </c>
      <c r="J245" t="s">
        <v>5225</v>
      </c>
      <c r="K245" t="s">
        <v>74</v>
      </c>
      <c r="L245" t="s">
        <v>74</v>
      </c>
      <c r="M245" t="s">
        <v>78</v>
      </c>
      <c r="N245" t="s">
        <v>79</v>
      </c>
      <c r="O245" t="s">
        <v>74</v>
      </c>
      <c r="P245" t="s">
        <v>74</v>
      </c>
      <c r="Q245" t="s">
        <v>74</v>
      </c>
      <c r="R245" t="s">
        <v>74</v>
      </c>
      <c r="S245" t="s">
        <v>74</v>
      </c>
      <c r="T245" t="s">
        <v>5226</v>
      </c>
      <c r="U245" t="s">
        <v>5227</v>
      </c>
      <c r="V245" t="s">
        <v>5228</v>
      </c>
      <c r="W245" t="s">
        <v>5229</v>
      </c>
      <c r="X245" t="s">
        <v>2020</v>
      </c>
      <c r="Y245" t="s">
        <v>5230</v>
      </c>
      <c r="Z245" t="s">
        <v>5231</v>
      </c>
      <c r="AA245" t="s">
        <v>74</v>
      </c>
      <c r="AB245" t="s">
        <v>74</v>
      </c>
      <c r="AC245" t="s">
        <v>74</v>
      </c>
      <c r="AD245" t="s">
        <v>74</v>
      </c>
      <c r="AE245" t="s">
        <v>74</v>
      </c>
      <c r="AF245" t="s">
        <v>74</v>
      </c>
      <c r="AG245">
        <v>19</v>
      </c>
      <c r="AH245">
        <v>16</v>
      </c>
      <c r="AI245">
        <v>17</v>
      </c>
      <c r="AJ245">
        <v>0</v>
      </c>
      <c r="AK245">
        <v>7</v>
      </c>
      <c r="AL245" t="s">
        <v>736</v>
      </c>
      <c r="AM245" t="s">
        <v>737</v>
      </c>
      <c r="AN245" t="s">
        <v>738</v>
      </c>
      <c r="AO245" t="s">
        <v>5232</v>
      </c>
      <c r="AP245" t="s">
        <v>5233</v>
      </c>
      <c r="AQ245" t="s">
        <v>74</v>
      </c>
      <c r="AR245" t="s">
        <v>5234</v>
      </c>
      <c r="AS245" t="s">
        <v>5235</v>
      </c>
      <c r="AT245" t="s">
        <v>246</v>
      </c>
      <c r="AU245">
        <v>2005</v>
      </c>
      <c r="AV245">
        <v>29</v>
      </c>
      <c r="AW245">
        <v>4</v>
      </c>
      <c r="AX245" t="s">
        <v>74</v>
      </c>
      <c r="AY245" t="s">
        <v>74</v>
      </c>
      <c r="AZ245" t="s">
        <v>74</v>
      </c>
      <c r="BA245" t="s">
        <v>74</v>
      </c>
      <c r="BB245">
        <v>757</v>
      </c>
      <c r="BC245">
        <v>767</v>
      </c>
      <c r="BD245" t="s">
        <v>74</v>
      </c>
      <c r="BE245" t="s">
        <v>5236</v>
      </c>
      <c r="BF245" t="str">
        <f>HYPERLINK("http://dx.doi.org/10.1016/j.eswa.2005.06.003","http://dx.doi.org/10.1016/j.eswa.2005.06.003")</f>
        <v>http://dx.doi.org/10.1016/j.eswa.2005.06.003</v>
      </c>
      <c r="BG245" t="s">
        <v>74</v>
      </c>
      <c r="BH245" t="s">
        <v>74</v>
      </c>
      <c r="BI245">
        <v>11</v>
      </c>
      <c r="BJ245" t="s">
        <v>5237</v>
      </c>
      <c r="BK245" t="s">
        <v>902</v>
      </c>
      <c r="BL245" t="s">
        <v>5238</v>
      </c>
      <c r="BM245" t="s">
        <v>5239</v>
      </c>
      <c r="BN245" t="s">
        <v>74</v>
      </c>
      <c r="BO245" t="s">
        <v>74</v>
      </c>
      <c r="BP245" t="s">
        <v>74</v>
      </c>
      <c r="BQ245" t="s">
        <v>74</v>
      </c>
      <c r="BR245" t="s">
        <v>106</v>
      </c>
      <c r="BS245" t="s">
        <v>5240</v>
      </c>
      <c r="BT245" t="str">
        <f>HYPERLINK("https%3A%2F%2Fwww.webofscience.com%2Fwos%2Fwoscc%2Ffull-record%2FWOS:000232757700005","View Full Record in Web of Science")</f>
        <v>View Full Record in Web of Science</v>
      </c>
    </row>
    <row r="246" spans="1:72" x14ac:dyDescent="0.25">
      <c r="A246" t="s">
        <v>72</v>
      </c>
      <c r="B246" t="s">
        <v>5241</v>
      </c>
      <c r="C246" t="s">
        <v>74</v>
      </c>
      <c r="D246" t="s">
        <v>74</v>
      </c>
      <c r="E246" t="s">
        <v>74</v>
      </c>
      <c r="F246" t="s">
        <v>5242</v>
      </c>
      <c r="G246" t="s">
        <v>74</v>
      </c>
      <c r="H246" t="s">
        <v>74</v>
      </c>
      <c r="I246" t="s">
        <v>5243</v>
      </c>
      <c r="J246" t="s">
        <v>5244</v>
      </c>
      <c r="K246" t="s">
        <v>74</v>
      </c>
      <c r="L246" t="s">
        <v>74</v>
      </c>
      <c r="M246" t="s">
        <v>78</v>
      </c>
      <c r="N246" t="s">
        <v>79</v>
      </c>
      <c r="O246" t="s">
        <v>74</v>
      </c>
      <c r="P246" t="s">
        <v>74</v>
      </c>
      <c r="Q246" t="s">
        <v>74</v>
      </c>
      <c r="R246" t="s">
        <v>74</v>
      </c>
      <c r="S246" t="s">
        <v>74</v>
      </c>
      <c r="T246" t="s">
        <v>5245</v>
      </c>
      <c r="U246" t="s">
        <v>74</v>
      </c>
      <c r="V246" t="s">
        <v>5246</v>
      </c>
      <c r="W246" t="s">
        <v>5247</v>
      </c>
      <c r="X246" t="s">
        <v>5248</v>
      </c>
      <c r="Y246" t="s">
        <v>5249</v>
      </c>
      <c r="Z246" t="s">
        <v>5250</v>
      </c>
      <c r="AA246" t="s">
        <v>5251</v>
      </c>
      <c r="AB246" t="s">
        <v>5252</v>
      </c>
      <c r="AC246" t="s">
        <v>74</v>
      </c>
      <c r="AD246" t="s">
        <v>74</v>
      </c>
      <c r="AE246" t="s">
        <v>74</v>
      </c>
      <c r="AF246" t="s">
        <v>74</v>
      </c>
      <c r="AG246">
        <v>28</v>
      </c>
      <c r="AH246">
        <v>8</v>
      </c>
      <c r="AI246">
        <v>9</v>
      </c>
      <c r="AJ246">
        <v>0</v>
      </c>
      <c r="AK246">
        <v>3</v>
      </c>
      <c r="AL246" t="s">
        <v>2946</v>
      </c>
      <c r="AM246" t="s">
        <v>5023</v>
      </c>
      <c r="AN246" t="s">
        <v>5024</v>
      </c>
      <c r="AO246" t="s">
        <v>5253</v>
      </c>
      <c r="AP246" t="s">
        <v>5254</v>
      </c>
      <c r="AQ246" t="s">
        <v>74</v>
      </c>
      <c r="AR246" t="s">
        <v>5255</v>
      </c>
      <c r="AS246" t="s">
        <v>5256</v>
      </c>
      <c r="AT246" t="s">
        <v>74</v>
      </c>
      <c r="AU246">
        <v>2018</v>
      </c>
      <c r="AV246">
        <v>14</v>
      </c>
      <c r="AW246">
        <v>1</v>
      </c>
      <c r="AX246" t="s">
        <v>74</v>
      </c>
      <c r="AY246" t="s">
        <v>74</v>
      </c>
      <c r="AZ246" t="s">
        <v>74</v>
      </c>
      <c r="BA246" t="s">
        <v>74</v>
      </c>
      <c r="BB246">
        <v>29</v>
      </c>
      <c r="BC246">
        <v>40</v>
      </c>
      <c r="BD246" t="s">
        <v>74</v>
      </c>
      <c r="BE246" t="s">
        <v>5257</v>
      </c>
      <c r="BF246" t="str">
        <f>HYPERLINK("http://dx.doi.org/10.1108/IJWIS-12-2016-0069","http://dx.doi.org/10.1108/IJWIS-12-2016-0069")</f>
        <v>http://dx.doi.org/10.1108/IJWIS-12-2016-0069</v>
      </c>
      <c r="BG246" t="s">
        <v>74</v>
      </c>
      <c r="BH246" t="s">
        <v>74</v>
      </c>
      <c r="BI246">
        <v>12</v>
      </c>
      <c r="BJ246" t="s">
        <v>852</v>
      </c>
      <c r="BK246" t="s">
        <v>102</v>
      </c>
      <c r="BL246" t="s">
        <v>103</v>
      </c>
      <c r="BM246" t="s">
        <v>5258</v>
      </c>
      <c r="BN246" t="s">
        <v>74</v>
      </c>
      <c r="BO246" t="s">
        <v>74</v>
      </c>
      <c r="BP246" t="s">
        <v>74</v>
      </c>
      <c r="BQ246" t="s">
        <v>74</v>
      </c>
      <c r="BR246" t="s">
        <v>106</v>
      </c>
      <c r="BS246" t="s">
        <v>5259</v>
      </c>
      <c r="BT246" t="str">
        <f>HYPERLINK("https%3A%2F%2Fwww.webofscience.com%2Fwos%2Fwoscc%2Ffull-record%2FWOS:000432184000002","View Full Record in Web of Science")</f>
        <v>View Full Record in Web of Science</v>
      </c>
    </row>
    <row r="247" spans="1:72" x14ac:dyDescent="0.25">
      <c r="A247" t="s">
        <v>72</v>
      </c>
      <c r="B247" t="s">
        <v>5260</v>
      </c>
      <c r="C247" t="s">
        <v>74</v>
      </c>
      <c r="D247" t="s">
        <v>74</v>
      </c>
      <c r="E247" t="s">
        <v>74</v>
      </c>
      <c r="F247" t="s">
        <v>5261</v>
      </c>
      <c r="G247" t="s">
        <v>74</v>
      </c>
      <c r="H247" t="s">
        <v>74</v>
      </c>
      <c r="I247" t="s">
        <v>5262</v>
      </c>
      <c r="J247" t="s">
        <v>5263</v>
      </c>
      <c r="K247" t="s">
        <v>74</v>
      </c>
      <c r="L247" t="s">
        <v>74</v>
      </c>
      <c r="M247" t="s">
        <v>78</v>
      </c>
      <c r="N247" t="s">
        <v>79</v>
      </c>
      <c r="O247" t="s">
        <v>74</v>
      </c>
      <c r="P247" t="s">
        <v>74</v>
      </c>
      <c r="Q247" t="s">
        <v>74</v>
      </c>
      <c r="R247" t="s">
        <v>74</v>
      </c>
      <c r="S247" t="s">
        <v>74</v>
      </c>
      <c r="T247" t="s">
        <v>5264</v>
      </c>
      <c r="U247" t="s">
        <v>74</v>
      </c>
      <c r="V247" t="s">
        <v>5265</v>
      </c>
      <c r="W247" t="s">
        <v>5266</v>
      </c>
      <c r="X247" t="s">
        <v>5267</v>
      </c>
      <c r="Y247" t="s">
        <v>5268</v>
      </c>
      <c r="Z247" t="s">
        <v>5269</v>
      </c>
      <c r="AA247" t="s">
        <v>5270</v>
      </c>
      <c r="AB247" t="s">
        <v>5271</v>
      </c>
      <c r="AC247" t="s">
        <v>5272</v>
      </c>
      <c r="AD247" t="s">
        <v>5273</v>
      </c>
      <c r="AE247" t="s">
        <v>5274</v>
      </c>
      <c r="AF247" t="s">
        <v>74</v>
      </c>
      <c r="AG247">
        <v>39</v>
      </c>
      <c r="AH247">
        <v>72</v>
      </c>
      <c r="AI247">
        <v>76</v>
      </c>
      <c r="AJ247">
        <v>0</v>
      </c>
      <c r="AK247">
        <v>42</v>
      </c>
      <c r="AL247" t="s">
        <v>895</v>
      </c>
      <c r="AM247" t="s">
        <v>896</v>
      </c>
      <c r="AN247" t="s">
        <v>897</v>
      </c>
      <c r="AO247" t="s">
        <v>5275</v>
      </c>
      <c r="AP247" t="s">
        <v>74</v>
      </c>
      <c r="AQ247" t="s">
        <v>74</v>
      </c>
      <c r="AR247" t="s">
        <v>5276</v>
      </c>
      <c r="AS247" t="s">
        <v>5277</v>
      </c>
      <c r="AT247" t="s">
        <v>5278</v>
      </c>
      <c r="AU247">
        <v>2022</v>
      </c>
      <c r="AV247">
        <v>9</v>
      </c>
      <c r="AW247">
        <v>21</v>
      </c>
      <c r="AX247" t="s">
        <v>74</v>
      </c>
      <c r="AY247" t="s">
        <v>74</v>
      </c>
      <c r="AZ247" t="s">
        <v>74</v>
      </c>
      <c r="BA247" t="s">
        <v>74</v>
      </c>
      <c r="BB247">
        <v>21398</v>
      </c>
      <c r="BC247">
        <v>21408</v>
      </c>
      <c r="BD247" t="s">
        <v>74</v>
      </c>
      <c r="BE247" t="s">
        <v>5279</v>
      </c>
      <c r="BF247" t="str">
        <f>HYPERLINK("http://dx.doi.org/10.1109/JIOT.2022.3181136","http://dx.doi.org/10.1109/JIOT.2022.3181136")</f>
        <v>http://dx.doi.org/10.1109/JIOT.2022.3181136</v>
      </c>
      <c r="BG247" t="s">
        <v>74</v>
      </c>
      <c r="BH247" t="s">
        <v>74</v>
      </c>
      <c r="BI247">
        <v>11</v>
      </c>
      <c r="BJ247" t="s">
        <v>901</v>
      </c>
      <c r="BK247" t="s">
        <v>902</v>
      </c>
      <c r="BL247" t="s">
        <v>903</v>
      </c>
      <c r="BM247" t="s">
        <v>5280</v>
      </c>
      <c r="BN247" t="s">
        <v>74</v>
      </c>
      <c r="BO247" t="s">
        <v>74</v>
      </c>
      <c r="BP247" t="s">
        <v>74</v>
      </c>
      <c r="BQ247" t="s">
        <v>74</v>
      </c>
      <c r="BR247" t="s">
        <v>106</v>
      </c>
      <c r="BS247" t="s">
        <v>5281</v>
      </c>
      <c r="BT247" t="str">
        <f>HYPERLINK("https%3A%2F%2Fwww.webofscience.com%2Fwos%2Fwoscc%2Ffull-record%2FWOS:000871080800050","View Full Record in Web of Science")</f>
        <v>View Full Record in Web of Science</v>
      </c>
    </row>
    <row r="248" spans="1:72" x14ac:dyDescent="0.25">
      <c r="A248" t="s">
        <v>108</v>
      </c>
      <c r="B248" t="s">
        <v>5282</v>
      </c>
      <c r="C248" t="s">
        <v>74</v>
      </c>
      <c r="D248" t="s">
        <v>74</v>
      </c>
      <c r="E248" t="s">
        <v>465</v>
      </c>
      <c r="F248" t="s">
        <v>5283</v>
      </c>
      <c r="G248" t="s">
        <v>74</v>
      </c>
      <c r="H248" t="s">
        <v>74</v>
      </c>
      <c r="I248" t="s">
        <v>5284</v>
      </c>
      <c r="J248" t="s">
        <v>5285</v>
      </c>
      <c r="K248" t="s">
        <v>2252</v>
      </c>
      <c r="L248" t="s">
        <v>74</v>
      </c>
      <c r="M248" t="s">
        <v>78</v>
      </c>
      <c r="N248" t="s">
        <v>115</v>
      </c>
      <c r="O248" t="s">
        <v>5286</v>
      </c>
      <c r="P248" t="s">
        <v>5287</v>
      </c>
      <c r="Q248" t="s">
        <v>4669</v>
      </c>
      <c r="R248" t="s">
        <v>5288</v>
      </c>
      <c r="S248" t="s">
        <v>74</v>
      </c>
      <c r="T248" t="s">
        <v>5289</v>
      </c>
      <c r="U248" t="s">
        <v>74</v>
      </c>
      <c r="V248" t="s">
        <v>5290</v>
      </c>
      <c r="W248" t="s">
        <v>5291</v>
      </c>
      <c r="X248" t="s">
        <v>5292</v>
      </c>
      <c r="Y248" t="s">
        <v>5293</v>
      </c>
      <c r="Z248" t="s">
        <v>5294</v>
      </c>
      <c r="AA248" t="s">
        <v>5295</v>
      </c>
      <c r="AB248" t="s">
        <v>5296</v>
      </c>
      <c r="AC248" t="s">
        <v>5297</v>
      </c>
      <c r="AD248" t="s">
        <v>5298</v>
      </c>
      <c r="AE248" t="s">
        <v>5299</v>
      </c>
      <c r="AF248" t="s">
        <v>74</v>
      </c>
      <c r="AG248">
        <v>29</v>
      </c>
      <c r="AH248">
        <v>0</v>
      </c>
      <c r="AI248">
        <v>0</v>
      </c>
      <c r="AJ248">
        <v>2</v>
      </c>
      <c r="AK248">
        <v>3</v>
      </c>
      <c r="AL248" t="s">
        <v>465</v>
      </c>
      <c r="AM248" t="s">
        <v>92</v>
      </c>
      <c r="AN248" t="s">
        <v>480</v>
      </c>
      <c r="AO248" t="s">
        <v>2265</v>
      </c>
      <c r="AP248" t="s">
        <v>5300</v>
      </c>
      <c r="AQ248" t="s">
        <v>5301</v>
      </c>
      <c r="AR248" t="s">
        <v>2267</v>
      </c>
      <c r="AS248" t="s">
        <v>74</v>
      </c>
      <c r="AT248" t="s">
        <v>74</v>
      </c>
      <c r="AU248">
        <v>2020</v>
      </c>
      <c r="AV248" t="s">
        <v>74</v>
      </c>
      <c r="AW248" t="s">
        <v>74</v>
      </c>
      <c r="AX248" t="s">
        <v>74</v>
      </c>
      <c r="AY248" t="s">
        <v>74</v>
      </c>
      <c r="AZ248" t="s">
        <v>74</v>
      </c>
      <c r="BA248" t="s">
        <v>74</v>
      </c>
      <c r="BB248" t="s">
        <v>74</v>
      </c>
      <c r="BC248" t="s">
        <v>74</v>
      </c>
      <c r="BD248" t="s">
        <v>74</v>
      </c>
      <c r="BE248" t="s">
        <v>5302</v>
      </c>
      <c r="BF248" t="str">
        <f>HYPERLINK("http://dx.doi.org/10.1109/GLOBECOM42002.2020.9322197","http://dx.doi.org/10.1109/GLOBECOM42002.2020.9322197")</f>
        <v>http://dx.doi.org/10.1109/GLOBECOM42002.2020.9322197</v>
      </c>
      <c r="BG248" t="s">
        <v>74</v>
      </c>
      <c r="BH248" t="s">
        <v>74</v>
      </c>
      <c r="BI248">
        <v>6</v>
      </c>
      <c r="BJ248" t="s">
        <v>2420</v>
      </c>
      <c r="BK248" t="s">
        <v>203</v>
      </c>
      <c r="BL248" t="s">
        <v>2422</v>
      </c>
      <c r="BM248" t="s">
        <v>5303</v>
      </c>
      <c r="BN248" t="s">
        <v>74</v>
      </c>
      <c r="BO248" t="s">
        <v>74</v>
      </c>
      <c r="BP248" t="s">
        <v>74</v>
      </c>
      <c r="BQ248" t="s">
        <v>74</v>
      </c>
      <c r="BR248" t="s">
        <v>106</v>
      </c>
      <c r="BS248" t="s">
        <v>5304</v>
      </c>
      <c r="BT248" t="str">
        <f>HYPERLINK("https%3A%2F%2Fwww.webofscience.com%2Fwos%2Fwoscc%2Ffull-record%2FWOS:000668970500140","View Full Record in Web of Science")</f>
        <v>View Full Record in Web of Science</v>
      </c>
    </row>
    <row r="249" spans="1:72" x14ac:dyDescent="0.25">
      <c r="A249" t="s">
        <v>108</v>
      </c>
      <c r="B249" t="s">
        <v>5305</v>
      </c>
      <c r="C249" t="s">
        <v>74</v>
      </c>
      <c r="D249" t="s">
        <v>5306</v>
      </c>
      <c r="E249" t="s">
        <v>74</v>
      </c>
      <c r="F249" t="s">
        <v>5307</v>
      </c>
      <c r="G249" t="s">
        <v>74</v>
      </c>
      <c r="H249" t="s">
        <v>74</v>
      </c>
      <c r="I249" t="s">
        <v>5308</v>
      </c>
      <c r="J249" t="s">
        <v>5309</v>
      </c>
      <c r="K249" t="s">
        <v>74</v>
      </c>
      <c r="L249" t="s">
        <v>74</v>
      </c>
      <c r="M249" t="s">
        <v>78</v>
      </c>
      <c r="N249" t="s">
        <v>115</v>
      </c>
      <c r="O249" t="s">
        <v>5310</v>
      </c>
      <c r="P249" t="s">
        <v>5311</v>
      </c>
      <c r="Q249" t="s">
        <v>5312</v>
      </c>
      <c r="R249" t="s">
        <v>5313</v>
      </c>
      <c r="S249" t="s">
        <v>74</v>
      </c>
      <c r="T249" t="s">
        <v>5314</v>
      </c>
      <c r="U249" t="s">
        <v>74</v>
      </c>
      <c r="V249" t="s">
        <v>5315</v>
      </c>
      <c r="W249" t="s">
        <v>5316</v>
      </c>
      <c r="X249" t="s">
        <v>5317</v>
      </c>
      <c r="Y249" t="s">
        <v>5318</v>
      </c>
      <c r="Z249" t="s">
        <v>74</v>
      </c>
      <c r="AA249" t="s">
        <v>5319</v>
      </c>
      <c r="AB249" t="s">
        <v>74</v>
      </c>
      <c r="AC249" t="s">
        <v>74</v>
      </c>
      <c r="AD249" t="s">
        <v>74</v>
      </c>
      <c r="AE249" t="s">
        <v>74</v>
      </c>
      <c r="AF249" t="s">
        <v>74</v>
      </c>
      <c r="AG249">
        <v>7</v>
      </c>
      <c r="AH249">
        <v>0</v>
      </c>
      <c r="AI249">
        <v>0</v>
      </c>
      <c r="AJ249">
        <v>0</v>
      </c>
      <c r="AK249">
        <v>0</v>
      </c>
      <c r="AL249" t="s">
        <v>5320</v>
      </c>
      <c r="AM249" t="s">
        <v>5321</v>
      </c>
      <c r="AN249" t="s">
        <v>5322</v>
      </c>
      <c r="AO249" t="s">
        <v>74</v>
      </c>
      <c r="AP249" t="s">
        <v>74</v>
      </c>
      <c r="AQ249" t="s">
        <v>5323</v>
      </c>
      <c r="AR249" t="s">
        <v>74</v>
      </c>
      <c r="AS249" t="s">
        <v>74</v>
      </c>
      <c r="AT249" t="s">
        <v>74</v>
      </c>
      <c r="AU249">
        <v>2009</v>
      </c>
      <c r="AV249" t="s">
        <v>74</v>
      </c>
      <c r="AW249" t="s">
        <v>74</v>
      </c>
      <c r="AX249" t="s">
        <v>74</v>
      </c>
      <c r="AY249" t="s">
        <v>74</v>
      </c>
      <c r="AZ249" t="s">
        <v>74</v>
      </c>
      <c r="BA249" t="s">
        <v>74</v>
      </c>
      <c r="BB249">
        <v>366</v>
      </c>
      <c r="BC249">
        <v>370</v>
      </c>
      <c r="BD249" t="s">
        <v>74</v>
      </c>
      <c r="BE249" t="s">
        <v>74</v>
      </c>
      <c r="BF249" t="s">
        <v>74</v>
      </c>
      <c r="BG249" t="s">
        <v>74</v>
      </c>
      <c r="BH249" t="s">
        <v>74</v>
      </c>
      <c r="BI249">
        <v>5</v>
      </c>
      <c r="BJ249" t="s">
        <v>4949</v>
      </c>
      <c r="BK249" t="s">
        <v>203</v>
      </c>
      <c r="BL249" t="s">
        <v>953</v>
      </c>
      <c r="BM249" t="s">
        <v>5324</v>
      </c>
      <c r="BN249" t="s">
        <v>74</v>
      </c>
      <c r="BO249" t="s">
        <v>74</v>
      </c>
      <c r="BP249" t="s">
        <v>74</v>
      </c>
      <c r="BQ249" t="s">
        <v>74</v>
      </c>
      <c r="BR249" t="s">
        <v>106</v>
      </c>
      <c r="BS249" t="s">
        <v>5325</v>
      </c>
      <c r="BT249" t="str">
        <f>HYPERLINK("https%3A%2F%2Fwww.webofscience.com%2Fwos%2Fwoscc%2Ffull-record%2FWOS:000268604700069","View Full Record in Web of Science")</f>
        <v>View Full Record in Web of Science</v>
      </c>
    </row>
    <row r="250" spans="1:72" x14ac:dyDescent="0.25">
      <c r="A250" t="s">
        <v>108</v>
      </c>
      <c r="B250" t="s">
        <v>5326</v>
      </c>
      <c r="C250" t="s">
        <v>74</v>
      </c>
      <c r="D250" t="s">
        <v>74</v>
      </c>
      <c r="E250" t="s">
        <v>465</v>
      </c>
      <c r="F250" t="s">
        <v>5327</v>
      </c>
      <c r="G250" t="s">
        <v>74</v>
      </c>
      <c r="H250" t="s">
        <v>74</v>
      </c>
      <c r="I250" t="s">
        <v>5328</v>
      </c>
      <c r="J250" t="s">
        <v>5329</v>
      </c>
      <c r="K250" t="s">
        <v>74</v>
      </c>
      <c r="L250" t="s">
        <v>74</v>
      </c>
      <c r="M250" t="s">
        <v>78</v>
      </c>
      <c r="N250" t="s">
        <v>115</v>
      </c>
      <c r="O250" t="s">
        <v>5330</v>
      </c>
      <c r="P250" t="s">
        <v>5331</v>
      </c>
      <c r="Q250" t="s">
        <v>5332</v>
      </c>
      <c r="R250" t="s">
        <v>74</v>
      </c>
      <c r="S250" t="s">
        <v>74</v>
      </c>
      <c r="T250" t="s">
        <v>5333</v>
      </c>
      <c r="U250" t="s">
        <v>74</v>
      </c>
      <c r="V250" t="s">
        <v>5334</v>
      </c>
      <c r="W250" t="s">
        <v>5335</v>
      </c>
      <c r="X250" t="s">
        <v>4905</v>
      </c>
      <c r="Y250" t="s">
        <v>5336</v>
      </c>
      <c r="Z250" t="s">
        <v>5337</v>
      </c>
      <c r="AA250" t="s">
        <v>74</v>
      </c>
      <c r="AB250" t="s">
        <v>74</v>
      </c>
      <c r="AC250" t="s">
        <v>74</v>
      </c>
      <c r="AD250" t="s">
        <v>74</v>
      </c>
      <c r="AE250" t="s">
        <v>74</v>
      </c>
      <c r="AF250" t="s">
        <v>74</v>
      </c>
      <c r="AG250">
        <v>14</v>
      </c>
      <c r="AH250">
        <v>0</v>
      </c>
      <c r="AI250">
        <v>0</v>
      </c>
      <c r="AJ250">
        <v>0</v>
      </c>
      <c r="AK250">
        <v>5</v>
      </c>
      <c r="AL250" t="s">
        <v>465</v>
      </c>
      <c r="AM250" t="s">
        <v>92</v>
      </c>
      <c r="AN250" t="s">
        <v>480</v>
      </c>
      <c r="AO250" t="s">
        <v>74</v>
      </c>
      <c r="AP250" t="s">
        <v>74</v>
      </c>
      <c r="AQ250" t="s">
        <v>5338</v>
      </c>
      <c r="AR250" t="s">
        <v>74</v>
      </c>
      <c r="AS250" t="s">
        <v>74</v>
      </c>
      <c r="AT250" t="s">
        <v>74</v>
      </c>
      <c r="AU250">
        <v>2016</v>
      </c>
      <c r="AV250" t="s">
        <v>74</v>
      </c>
      <c r="AW250" t="s">
        <v>74</v>
      </c>
      <c r="AX250" t="s">
        <v>74</v>
      </c>
      <c r="AY250" t="s">
        <v>74</v>
      </c>
      <c r="AZ250" t="s">
        <v>74</v>
      </c>
      <c r="BA250" t="s">
        <v>74</v>
      </c>
      <c r="BB250" t="s">
        <v>74</v>
      </c>
      <c r="BC250" t="s">
        <v>74</v>
      </c>
      <c r="BD250" t="s">
        <v>74</v>
      </c>
      <c r="BE250" t="s">
        <v>74</v>
      </c>
      <c r="BF250" t="s">
        <v>74</v>
      </c>
      <c r="BG250" t="s">
        <v>74</v>
      </c>
      <c r="BH250" t="s">
        <v>74</v>
      </c>
      <c r="BI250">
        <v>5</v>
      </c>
      <c r="BJ250" t="s">
        <v>2674</v>
      </c>
      <c r="BK250" t="s">
        <v>203</v>
      </c>
      <c r="BL250" t="s">
        <v>2422</v>
      </c>
      <c r="BM250" t="s">
        <v>5339</v>
      </c>
      <c r="BN250" t="s">
        <v>74</v>
      </c>
      <c r="BO250" t="s">
        <v>74</v>
      </c>
      <c r="BP250" t="s">
        <v>74</v>
      </c>
      <c r="BQ250" t="s">
        <v>74</v>
      </c>
      <c r="BR250" t="s">
        <v>106</v>
      </c>
      <c r="BS250" t="s">
        <v>5340</v>
      </c>
      <c r="BT250" t="str">
        <f>HYPERLINK("https%3A%2F%2Fwww.webofscience.com%2Fwos%2Fwoscc%2Ffull-record%2FWOS:000389774600016","View Full Record in Web of Science")</f>
        <v>View Full Record in Web of Science</v>
      </c>
    </row>
    <row r="251" spans="1:72" x14ac:dyDescent="0.25">
      <c r="A251" t="s">
        <v>108</v>
      </c>
      <c r="B251" t="s">
        <v>5341</v>
      </c>
      <c r="C251" t="s">
        <v>74</v>
      </c>
      <c r="D251" t="s">
        <v>74</v>
      </c>
      <c r="E251" t="s">
        <v>465</v>
      </c>
      <c r="F251" t="s">
        <v>5342</v>
      </c>
      <c r="G251" t="s">
        <v>74</v>
      </c>
      <c r="H251" t="s">
        <v>74</v>
      </c>
      <c r="I251" t="s">
        <v>5343</v>
      </c>
      <c r="J251" t="s">
        <v>5344</v>
      </c>
      <c r="K251" t="s">
        <v>2252</v>
      </c>
      <c r="L251" t="s">
        <v>74</v>
      </c>
      <c r="M251" t="s">
        <v>78</v>
      </c>
      <c r="N251" t="s">
        <v>115</v>
      </c>
      <c r="O251" t="s">
        <v>2253</v>
      </c>
      <c r="P251" t="s">
        <v>5345</v>
      </c>
      <c r="Q251" t="s">
        <v>1983</v>
      </c>
      <c r="R251" t="s">
        <v>5346</v>
      </c>
      <c r="S251" t="s">
        <v>74</v>
      </c>
      <c r="T251" t="s">
        <v>5347</v>
      </c>
      <c r="U251" t="s">
        <v>74</v>
      </c>
      <c r="V251" t="s">
        <v>5348</v>
      </c>
      <c r="W251" t="s">
        <v>5349</v>
      </c>
      <c r="X251" t="s">
        <v>5350</v>
      </c>
      <c r="Y251" t="s">
        <v>5351</v>
      </c>
      <c r="Z251" t="s">
        <v>5352</v>
      </c>
      <c r="AA251" t="s">
        <v>74</v>
      </c>
      <c r="AB251" t="s">
        <v>74</v>
      </c>
      <c r="AC251" t="s">
        <v>74</v>
      </c>
      <c r="AD251" t="s">
        <v>74</v>
      </c>
      <c r="AE251" t="s">
        <v>74</v>
      </c>
      <c r="AF251" t="s">
        <v>74</v>
      </c>
      <c r="AG251">
        <v>12</v>
      </c>
      <c r="AH251">
        <v>1</v>
      </c>
      <c r="AI251">
        <v>1</v>
      </c>
      <c r="AJ251">
        <v>0</v>
      </c>
      <c r="AK251">
        <v>6</v>
      </c>
      <c r="AL251" t="s">
        <v>465</v>
      </c>
      <c r="AM251" t="s">
        <v>92</v>
      </c>
      <c r="AN251" t="s">
        <v>480</v>
      </c>
      <c r="AO251" t="s">
        <v>2265</v>
      </c>
      <c r="AP251" t="s">
        <v>74</v>
      </c>
      <c r="AQ251" t="s">
        <v>5353</v>
      </c>
      <c r="AR251" t="s">
        <v>2267</v>
      </c>
      <c r="AS251" t="s">
        <v>74</v>
      </c>
      <c r="AT251" t="s">
        <v>74</v>
      </c>
      <c r="AU251">
        <v>2013</v>
      </c>
      <c r="AV251" t="s">
        <v>74</v>
      </c>
      <c r="AW251" t="s">
        <v>74</v>
      </c>
      <c r="AX251" t="s">
        <v>74</v>
      </c>
      <c r="AY251" t="s">
        <v>74</v>
      </c>
      <c r="AZ251" t="s">
        <v>74</v>
      </c>
      <c r="BA251" t="s">
        <v>74</v>
      </c>
      <c r="BB251">
        <v>3194</v>
      </c>
      <c r="BC251">
        <v>3199</v>
      </c>
      <c r="BD251" t="s">
        <v>74</v>
      </c>
      <c r="BE251" t="s">
        <v>74</v>
      </c>
      <c r="BF251" t="s">
        <v>74</v>
      </c>
      <c r="BG251" t="s">
        <v>74</v>
      </c>
      <c r="BH251" t="s">
        <v>74</v>
      </c>
      <c r="BI251">
        <v>6</v>
      </c>
      <c r="BJ251" t="s">
        <v>2268</v>
      </c>
      <c r="BK251" t="s">
        <v>203</v>
      </c>
      <c r="BL251" t="s">
        <v>2269</v>
      </c>
      <c r="BM251" t="s">
        <v>5354</v>
      </c>
      <c r="BN251" t="s">
        <v>74</v>
      </c>
      <c r="BO251" t="s">
        <v>74</v>
      </c>
      <c r="BP251" t="s">
        <v>74</v>
      </c>
      <c r="BQ251" t="s">
        <v>74</v>
      </c>
      <c r="BR251" t="s">
        <v>106</v>
      </c>
      <c r="BS251" t="s">
        <v>5355</v>
      </c>
      <c r="BT251" t="str">
        <f>HYPERLINK("https%3A%2F%2Fwww.webofscience.com%2Fwos%2Fwoscc%2Ffull-record%2FWOS:000357299603047","View Full Record in Web of Science")</f>
        <v>View Full Record in Web of Science</v>
      </c>
    </row>
    <row r="252" spans="1:72" x14ac:dyDescent="0.25">
      <c r="A252" t="s">
        <v>108</v>
      </c>
      <c r="B252" t="s">
        <v>5356</v>
      </c>
      <c r="C252" t="s">
        <v>74</v>
      </c>
      <c r="D252" t="s">
        <v>74</v>
      </c>
      <c r="E252" t="s">
        <v>273</v>
      </c>
      <c r="F252" t="s">
        <v>5357</v>
      </c>
      <c r="G252" t="s">
        <v>74</v>
      </c>
      <c r="H252" t="s">
        <v>74</v>
      </c>
      <c r="I252" t="s">
        <v>5358</v>
      </c>
      <c r="J252" t="s">
        <v>5359</v>
      </c>
      <c r="K252" t="s">
        <v>74</v>
      </c>
      <c r="L252" t="s">
        <v>74</v>
      </c>
      <c r="M252" t="s">
        <v>78</v>
      </c>
      <c r="N252" t="s">
        <v>115</v>
      </c>
      <c r="O252" t="s">
        <v>5360</v>
      </c>
      <c r="P252" t="s">
        <v>5361</v>
      </c>
      <c r="Q252" t="s">
        <v>5362</v>
      </c>
      <c r="R252" t="s">
        <v>5363</v>
      </c>
      <c r="S252" t="s">
        <v>74</v>
      </c>
      <c r="T252" t="s">
        <v>5364</v>
      </c>
      <c r="U252" t="s">
        <v>74</v>
      </c>
      <c r="V252" t="s">
        <v>5365</v>
      </c>
      <c r="W252" t="s">
        <v>5366</v>
      </c>
      <c r="X252" t="s">
        <v>3744</v>
      </c>
      <c r="Y252" t="s">
        <v>5367</v>
      </c>
      <c r="Z252" t="s">
        <v>5368</v>
      </c>
      <c r="AA252" t="s">
        <v>5369</v>
      </c>
      <c r="AB252" t="s">
        <v>5370</v>
      </c>
      <c r="AC252" t="s">
        <v>74</v>
      </c>
      <c r="AD252" t="s">
        <v>74</v>
      </c>
      <c r="AE252" t="s">
        <v>74</v>
      </c>
      <c r="AF252" t="s">
        <v>74</v>
      </c>
      <c r="AG252">
        <v>15</v>
      </c>
      <c r="AH252">
        <v>1</v>
      </c>
      <c r="AI252">
        <v>1</v>
      </c>
      <c r="AJ252">
        <v>0</v>
      </c>
      <c r="AK252">
        <v>0</v>
      </c>
      <c r="AL252" t="s">
        <v>291</v>
      </c>
      <c r="AM252" t="s">
        <v>92</v>
      </c>
      <c r="AN252" t="s">
        <v>292</v>
      </c>
      <c r="AO252" t="s">
        <v>74</v>
      </c>
      <c r="AP252" t="s">
        <v>74</v>
      </c>
      <c r="AQ252" t="s">
        <v>5371</v>
      </c>
      <c r="AR252" t="s">
        <v>74</v>
      </c>
      <c r="AS252" t="s">
        <v>74</v>
      </c>
      <c r="AT252" t="s">
        <v>74</v>
      </c>
      <c r="AU252">
        <v>2017</v>
      </c>
      <c r="AV252" t="s">
        <v>74</v>
      </c>
      <c r="AW252" t="s">
        <v>74</v>
      </c>
      <c r="AX252" t="s">
        <v>74</v>
      </c>
      <c r="AY252" t="s">
        <v>74</v>
      </c>
      <c r="AZ252" t="s">
        <v>74</v>
      </c>
      <c r="BA252" t="s">
        <v>74</v>
      </c>
      <c r="BB252">
        <v>113</v>
      </c>
      <c r="BC252">
        <v>120</v>
      </c>
      <c r="BD252" t="s">
        <v>74</v>
      </c>
      <c r="BE252" t="s">
        <v>5372</v>
      </c>
      <c r="BF252" t="str">
        <f>HYPERLINK("http://dx.doi.org/10.1145/3167020.3167038","http://dx.doi.org/10.1145/3167020.3167038")</f>
        <v>http://dx.doi.org/10.1145/3167020.3167038</v>
      </c>
      <c r="BG252" t="s">
        <v>74</v>
      </c>
      <c r="BH252" t="s">
        <v>74</v>
      </c>
      <c r="BI252">
        <v>8</v>
      </c>
      <c r="BJ252" t="s">
        <v>972</v>
      </c>
      <c r="BK252" t="s">
        <v>203</v>
      </c>
      <c r="BL252" t="s">
        <v>953</v>
      </c>
      <c r="BM252" t="s">
        <v>5373</v>
      </c>
      <c r="BN252" t="s">
        <v>74</v>
      </c>
      <c r="BO252" t="s">
        <v>74</v>
      </c>
      <c r="BP252" t="s">
        <v>74</v>
      </c>
      <c r="BQ252" t="s">
        <v>74</v>
      </c>
      <c r="BR252" t="s">
        <v>106</v>
      </c>
      <c r="BS252" t="s">
        <v>5374</v>
      </c>
      <c r="BT252" t="str">
        <f>HYPERLINK("https%3A%2F%2Fwww.webofscience.com%2Fwos%2Fwoscc%2Ffull-record%2FWOS:000463554300018","View Full Record in Web of Science")</f>
        <v>View Full Record in Web of Science</v>
      </c>
    </row>
    <row r="253" spans="1:72" x14ac:dyDescent="0.25">
      <c r="A253" t="s">
        <v>72</v>
      </c>
      <c r="B253" t="s">
        <v>5375</v>
      </c>
      <c r="C253" t="s">
        <v>74</v>
      </c>
      <c r="D253" t="s">
        <v>74</v>
      </c>
      <c r="E253" t="s">
        <v>74</v>
      </c>
      <c r="F253" t="s">
        <v>5376</v>
      </c>
      <c r="G253" t="s">
        <v>74</v>
      </c>
      <c r="H253" t="s">
        <v>74</v>
      </c>
      <c r="I253" t="s">
        <v>5377</v>
      </c>
      <c r="J253" t="s">
        <v>5378</v>
      </c>
      <c r="K253" t="s">
        <v>74</v>
      </c>
      <c r="L253" t="s">
        <v>74</v>
      </c>
      <c r="M253" t="s">
        <v>78</v>
      </c>
      <c r="N253" t="s">
        <v>79</v>
      </c>
      <c r="O253" t="s">
        <v>74</v>
      </c>
      <c r="P253" t="s">
        <v>74</v>
      </c>
      <c r="Q253" t="s">
        <v>74</v>
      </c>
      <c r="R253" t="s">
        <v>74</v>
      </c>
      <c r="S253" t="s">
        <v>74</v>
      </c>
      <c r="T253" t="s">
        <v>5379</v>
      </c>
      <c r="U253" t="s">
        <v>74</v>
      </c>
      <c r="V253" t="s">
        <v>5380</v>
      </c>
      <c r="W253" t="s">
        <v>5381</v>
      </c>
      <c r="X253" t="s">
        <v>5382</v>
      </c>
      <c r="Y253" t="s">
        <v>5383</v>
      </c>
      <c r="Z253" t="s">
        <v>5384</v>
      </c>
      <c r="AA253" t="s">
        <v>5385</v>
      </c>
      <c r="AB253" t="s">
        <v>74</v>
      </c>
      <c r="AC253" t="s">
        <v>74</v>
      </c>
      <c r="AD253" t="s">
        <v>74</v>
      </c>
      <c r="AE253" t="s">
        <v>74</v>
      </c>
      <c r="AF253" t="s">
        <v>74</v>
      </c>
      <c r="AG253">
        <v>10</v>
      </c>
      <c r="AH253">
        <v>5</v>
      </c>
      <c r="AI253">
        <v>6</v>
      </c>
      <c r="AJ253">
        <v>0</v>
      </c>
      <c r="AK253">
        <v>1</v>
      </c>
      <c r="AL253" t="s">
        <v>2946</v>
      </c>
      <c r="AM253" t="s">
        <v>5023</v>
      </c>
      <c r="AN253" t="s">
        <v>5024</v>
      </c>
      <c r="AO253" t="s">
        <v>5386</v>
      </c>
      <c r="AP253" t="s">
        <v>5387</v>
      </c>
      <c r="AQ253" t="s">
        <v>74</v>
      </c>
      <c r="AR253" t="s">
        <v>5388</v>
      </c>
      <c r="AS253" t="s">
        <v>5389</v>
      </c>
      <c r="AT253" t="s">
        <v>74</v>
      </c>
      <c r="AU253">
        <v>2010</v>
      </c>
      <c r="AV253">
        <v>1</v>
      </c>
      <c r="AW253">
        <v>2</v>
      </c>
      <c r="AX253" t="s">
        <v>74</v>
      </c>
      <c r="AY253" t="s">
        <v>74</v>
      </c>
      <c r="AZ253" t="s">
        <v>74</v>
      </c>
      <c r="BA253" t="s">
        <v>74</v>
      </c>
      <c r="BB253">
        <v>163</v>
      </c>
      <c r="BC253">
        <v>173</v>
      </c>
      <c r="BD253" t="s">
        <v>74</v>
      </c>
      <c r="BE253" t="s">
        <v>5390</v>
      </c>
      <c r="BF253" t="str">
        <f>HYPERLINK("http://dx.doi.org/10.1108/17579881011065056","http://dx.doi.org/10.1108/17579881011065056")</f>
        <v>http://dx.doi.org/10.1108/17579881011065056</v>
      </c>
      <c r="BG253" t="s">
        <v>74</v>
      </c>
      <c r="BH253" t="s">
        <v>74</v>
      </c>
      <c r="BI253">
        <v>11</v>
      </c>
      <c r="BJ253" t="s">
        <v>5391</v>
      </c>
      <c r="BK253" t="s">
        <v>102</v>
      </c>
      <c r="BL253" t="s">
        <v>2612</v>
      </c>
      <c r="BM253" t="s">
        <v>5392</v>
      </c>
      <c r="BN253" t="s">
        <v>74</v>
      </c>
      <c r="BO253" t="s">
        <v>74</v>
      </c>
      <c r="BP253" t="s">
        <v>74</v>
      </c>
      <c r="BQ253" t="s">
        <v>74</v>
      </c>
      <c r="BR253" t="s">
        <v>106</v>
      </c>
      <c r="BS253" t="s">
        <v>5393</v>
      </c>
      <c r="BT253" t="str">
        <f>HYPERLINK("https%3A%2F%2Fwww.webofscience.com%2Fwos%2Fwoscc%2Ffull-record%2FWOS:000213988500006","View Full Record in Web of Science")</f>
        <v>View Full Record in Web of Science</v>
      </c>
    </row>
    <row r="254" spans="1:72" x14ac:dyDescent="0.25">
      <c r="A254" t="s">
        <v>108</v>
      </c>
      <c r="B254" t="s">
        <v>5394</v>
      </c>
      <c r="C254" t="s">
        <v>74</v>
      </c>
      <c r="D254" t="s">
        <v>74</v>
      </c>
      <c r="E254" t="s">
        <v>3480</v>
      </c>
      <c r="F254" t="s">
        <v>5395</v>
      </c>
      <c r="G254" t="s">
        <v>74</v>
      </c>
      <c r="H254" t="s">
        <v>74</v>
      </c>
      <c r="I254" t="s">
        <v>5396</v>
      </c>
      <c r="J254" t="s">
        <v>5397</v>
      </c>
      <c r="K254" t="s">
        <v>74</v>
      </c>
      <c r="L254" t="s">
        <v>74</v>
      </c>
      <c r="M254" t="s">
        <v>78</v>
      </c>
      <c r="N254" t="s">
        <v>115</v>
      </c>
      <c r="O254" t="s">
        <v>5398</v>
      </c>
      <c r="P254" t="s">
        <v>5399</v>
      </c>
      <c r="Q254" t="s">
        <v>4669</v>
      </c>
      <c r="R254" t="s">
        <v>5400</v>
      </c>
      <c r="S254" t="s">
        <v>74</v>
      </c>
      <c r="T254" t="s">
        <v>5401</v>
      </c>
      <c r="U254" t="s">
        <v>74</v>
      </c>
      <c r="V254" t="s">
        <v>5402</v>
      </c>
      <c r="W254" t="s">
        <v>5403</v>
      </c>
      <c r="X254" t="s">
        <v>1204</v>
      </c>
      <c r="Y254" t="s">
        <v>5404</v>
      </c>
      <c r="Z254" t="s">
        <v>5405</v>
      </c>
      <c r="AA254" t="s">
        <v>5406</v>
      </c>
      <c r="AB254" t="s">
        <v>3966</v>
      </c>
      <c r="AC254" t="s">
        <v>5407</v>
      </c>
      <c r="AD254" t="s">
        <v>5408</v>
      </c>
      <c r="AE254" t="s">
        <v>5409</v>
      </c>
      <c r="AF254" t="s">
        <v>74</v>
      </c>
      <c r="AG254">
        <v>40</v>
      </c>
      <c r="AH254">
        <v>9</v>
      </c>
      <c r="AI254">
        <v>9</v>
      </c>
      <c r="AJ254">
        <v>0</v>
      </c>
      <c r="AK254">
        <v>10</v>
      </c>
      <c r="AL254" t="s">
        <v>291</v>
      </c>
      <c r="AM254" t="s">
        <v>92</v>
      </c>
      <c r="AN254" t="s">
        <v>341</v>
      </c>
      <c r="AO254" t="s">
        <v>74</v>
      </c>
      <c r="AP254" t="s">
        <v>74</v>
      </c>
      <c r="AQ254" t="s">
        <v>5410</v>
      </c>
      <c r="AR254" t="s">
        <v>74</v>
      </c>
      <c r="AS254" t="s">
        <v>74</v>
      </c>
      <c r="AT254" t="s">
        <v>74</v>
      </c>
      <c r="AU254">
        <v>2020</v>
      </c>
      <c r="AV254" t="s">
        <v>74</v>
      </c>
      <c r="AW254" t="s">
        <v>74</v>
      </c>
      <c r="AX254" t="s">
        <v>74</v>
      </c>
      <c r="AY254" t="s">
        <v>74</v>
      </c>
      <c r="AZ254" t="s">
        <v>74</v>
      </c>
      <c r="BA254" t="s">
        <v>74</v>
      </c>
      <c r="BB254">
        <v>265</v>
      </c>
      <c r="BC254">
        <v>274</v>
      </c>
      <c r="BD254" t="s">
        <v>74</v>
      </c>
      <c r="BE254" t="s">
        <v>5411</v>
      </c>
      <c r="BF254" t="str">
        <f>HYPERLINK("http://dx.doi.org/10.1145/3340531.3411964","http://dx.doi.org/10.1145/3340531.3411964")</f>
        <v>http://dx.doi.org/10.1145/3340531.3411964</v>
      </c>
      <c r="BG254" t="s">
        <v>74</v>
      </c>
      <c r="BH254" t="s">
        <v>74</v>
      </c>
      <c r="BI254">
        <v>10</v>
      </c>
      <c r="BJ254" t="s">
        <v>696</v>
      </c>
      <c r="BK254" t="s">
        <v>203</v>
      </c>
      <c r="BL254" t="s">
        <v>103</v>
      </c>
      <c r="BM254" t="s">
        <v>5412</v>
      </c>
      <c r="BN254" t="s">
        <v>74</v>
      </c>
      <c r="BO254" t="s">
        <v>74</v>
      </c>
      <c r="BP254" t="s">
        <v>74</v>
      </c>
      <c r="BQ254" t="s">
        <v>74</v>
      </c>
      <c r="BR254" t="s">
        <v>106</v>
      </c>
      <c r="BS254" t="s">
        <v>5413</v>
      </c>
      <c r="BT254" t="str">
        <f>HYPERLINK("https%3A%2F%2Fwww.webofscience.com%2Fwos%2Fwoscc%2Ffull-record%2FWOS:000749561300029","View Full Record in Web of Science")</f>
        <v>View Full Record in Web of Science</v>
      </c>
    </row>
    <row r="255" spans="1:72" x14ac:dyDescent="0.25">
      <c r="A255" t="s">
        <v>72</v>
      </c>
      <c r="B255" t="s">
        <v>5414</v>
      </c>
      <c r="C255" t="s">
        <v>74</v>
      </c>
      <c r="D255" t="s">
        <v>74</v>
      </c>
      <c r="E255" t="s">
        <v>74</v>
      </c>
      <c r="F255" t="s">
        <v>5415</v>
      </c>
      <c r="G255" t="s">
        <v>74</v>
      </c>
      <c r="H255" t="s">
        <v>74</v>
      </c>
      <c r="I255" t="s">
        <v>5416</v>
      </c>
      <c r="J255" t="s">
        <v>5417</v>
      </c>
      <c r="K255" t="s">
        <v>74</v>
      </c>
      <c r="L255" t="s">
        <v>74</v>
      </c>
      <c r="M255" t="s">
        <v>78</v>
      </c>
      <c r="N255" t="s">
        <v>79</v>
      </c>
      <c r="O255" t="s">
        <v>74</v>
      </c>
      <c r="P255" t="s">
        <v>74</v>
      </c>
      <c r="Q255" t="s">
        <v>74</v>
      </c>
      <c r="R255" t="s">
        <v>74</v>
      </c>
      <c r="S255" t="s">
        <v>74</v>
      </c>
      <c r="T255" t="s">
        <v>5418</v>
      </c>
      <c r="U255" t="s">
        <v>74</v>
      </c>
      <c r="V255" t="s">
        <v>5419</v>
      </c>
      <c r="W255" t="s">
        <v>5420</v>
      </c>
      <c r="X255" t="s">
        <v>5421</v>
      </c>
      <c r="Y255" t="s">
        <v>5422</v>
      </c>
      <c r="Z255" t="s">
        <v>5423</v>
      </c>
      <c r="AA255" t="s">
        <v>5424</v>
      </c>
      <c r="AB255" t="s">
        <v>74</v>
      </c>
      <c r="AC255" t="s">
        <v>74</v>
      </c>
      <c r="AD255" t="s">
        <v>74</v>
      </c>
      <c r="AE255" t="s">
        <v>74</v>
      </c>
      <c r="AF255" t="s">
        <v>74</v>
      </c>
      <c r="AG255">
        <v>65</v>
      </c>
      <c r="AH255">
        <v>0</v>
      </c>
      <c r="AI255">
        <v>0</v>
      </c>
      <c r="AJ255">
        <v>1</v>
      </c>
      <c r="AK255">
        <v>1</v>
      </c>
      <c r="AL255" t="s">
        <v>1097</v>
      </c>
      <c r="AM255" t="s">
        <v>1098</v>
      </c>
      <c r="AN255" t="s">
        <v>1099</v>
      </c>
      <c r="AO255" t="s">
        <v>5425</v>
      </c>
      <c r="AP255" t="s">
        <v>5426</v>
      </c>
      <c r="AQ255" t="s">
        <v>74</v>
      </c>
      <c r="AR255" t="s">
        <v>5427</v>
      </c>
      <c r="AS255" t="s">
        <v>5428</v>
      </c>
      <c r="AT255" t="s">
        <v>5429</v>
      </c>
      <c r="AU255">
        <v>2026</v>
      </c>
      <c r="AV255">
        <v>18</v>
      </c>
      <c r="AW255">
        <v>2</v>
      </c>
      <c r="AX255" t="s">
        <v>74</v>
      </c>
      <c r="AY255" t="s">
        <v>74</v>
      </c>
      <c r="AZ255" t="s">
        <v>74</v>
      </c>
      <c r="BA255" t="s">
        <v>74</v>
      </c>
      <c r="BB255" t="s">
        <v>74</v>
      </c>
      <c r="BC255" t="s">
        <v>74</v>
      </c>
      <c r="BD255">
        <v>56</v>
      </c>
      <c r="BE255" t="s">
        <v>5430</v>
      </c>
      <c r="BF255" t="str">
        <f>HYPERLINK("http://dx.doi.org/10.1007/s12518-026-00690-6","http://dx.doi.org/10.1007/s12518-026-00690-6")</f>
        <v>http://dx.doi.org/10.1007/s12518-026-00690-6</v>
      </c>
      <c r="BG255" t="s">
        <v>74</v>
      </c>
      <c r="BH255" t="s">
        <v>74</v>
      </c>
      <c r="BI255">
        <v>24</v>
      </c>
      <c r="BJ255" t="s">
        <v>5431</v>
      </c>
      <c r="BK255" t="s">
        <v>102</v>
      </c>
      <c r="BL255" t="s">
        <v>5431</v>
      </c>
      <c r="BM255" t="s">
        <v>5432</v>
      </c>
      <c r="BN255" t="s">
        <v>74</v>
      </c>
      <c r="BO255" t="s">
        <v>74</v>
      </c>
      <c r="BP255" t="s">
        <v>74</v>
      </c>
      <c r="BQ255" t="s">
        <v>74</v>
      </c>
      <c r="BR255" t="s">
        <v>106</v>
      </c>
      <c r="BS255" t="s">
        <v>5433</v>
      </c>
      <c r="BT255" t="str">
        <f>HYPERLINK("https%3A%2F%2Fwww.webofscience.com%2Fwos%2Fwoscc%2Ffull-record%2FWOS:001712643900001","View Full Record in Web of Science")</f>
        <v>View Full Record in Web of Science</v>
      </c>
    </row>
    <row r="256" spans="1:72" x14ac:dyDescent="0.25">
      <c r="A256" t="s">
        <v>108</v>
      </c>
      <c r="B256" t="s">
        <v>5434</v>
      </c>
      <c r="C256" t="s">
        <v>74</v>
      </c>
      <c r="D256" t="s">
        <v>5435</v>
      </c>
      <c r="E256" t="s">
        <v>74</v>
      </c>
      <c r="F256" t="s">
        <v>5436</v>
      </c>
      <c r="G256" t="s">
        <v>74</v>
      </c>
      <c r="H256" t="s">
        <v>74</v>
      </c>
      <c r="I256" t="s">
        <v>5437</v>
      </c>
      <c r="J256" t="s">
        <v>5438</v>
      </c>
      <c r="K256" t="s">
        <v>5439</v>
      </c>
      <c r="L256" t="s">
        <v>74</v>
      </c>
      <c r="M256" t="s">
        <v>78</v>
      </c>
      <c r="N256" t="s">
        <v>115</v>
      </c>
      <c r="O256" t="s">
        <v>5440</v>
      </c>
      <c r="P256" t="s">
        <v>5441</v>
      </c>
      <c r="Q256" t="s">
        <v>424</v>
      </c>
      <c r="R256" t="s">
        <v>5442</v>
      </c>
      <c r="S256" t="s">
        <v>74</v>
      </c>
      <c r="T256" t="s">
        <v>5443</v>
      </c>
      <c r="U256" t="s">
        <v>74</v>
      </c>
      <c r="V256" t="s">
        <v>5444</v>
      </c>
      <c r="W256" t="s">
        <v>5445</v>
      </c>
      <c r="X256" t="s">
        <v>5446</v>
      </c>
      <c r="Y256" t="s">
        <v>5447</v>
      </c>
      <c r="Z256" t="s">
        <v>5448</v>
      </c>
      <c r="AA256" t="s">
        <v>5449</v>
      </c>
      <c r="AB256" t="s">
        <v>74</v>
      </c>
      <c r="AC256" t="s">
        <v>5450</v>
      </c>
      <c r="AD256" t="s">
        <v>5451</v>
      </c>
      <c r="AE256" t="s">
        <v>5452</v>
      </c>
      <c r="AF256" t="s">
        <v>74</v>
      </c>
      <c r="AG256">
        <v>13</v>
      </c>
      <c r="AH256">
        <v>1</v>
      </c>
      <c r="AI256">
        <v>1</v>
      </c>
      <c r="AJ256">
        <v>0</v>
      </c>
      <c r="AK256">
        <v>0</v>
      </c>
      <c r="AL256" t="s">
        <v>5453</v>
      </c>
      <c r="AM256" t="s">
        <v>5454</v>
      </c>
      <c r="AN256" t="s">
        <v>5455</v>
      </c>
      <c r="AO256" t="s">
        <v>5456</v>
      </c>
      <c r="AP256" t="s">
        <v>74</v>
      </c>
      <c r="AQ256" t="s">
        <v>5457</v>
      </c>
      <c r="AR256" t="s">
        <v>5458</v>
      </c>
      <c r="AS256" t="s">
        <v>74</v>
      </c>
      <c r="AT256" t="s">
        <v>74</v>
      </c>
      <c r="AU256">
        <v>2012</v>
      </c>
      <c r="AV256">
        <v>12</v>
      </c>
      <c r="AW256" t="s">
        <v>74</v>
      </c>
      <c r="AX256" t="s">
        <v>74</v>
      </c>
      <c r="AY256" t="s">
        <v>74</v>
      </c>
      <c r="AZ256" t="s">
        <v>74</v>
      </c>
      <c r="BA256" t="s">
        <v>74</v>
      </c>
      <c r="BB256">
        <v>7</v>
      </c>
      <c r="BC256" t="s">
        <v>5459</v>
      </c>
      <c r="BD256" t="s">
        <v>74</v>
      </c>
      <c r="BE256" t="s">
        <v>74</v>
      </c>
      <c r="BF256" t="s">
        <v>74</v>
      </c>
      <c r="BG256" t="s">
        <v>74</v>
      </c>
      <c r="BH256" t="s">
        <v>74</v>
      </c>
      <c r="BI256">
        <v>2</v>
      </c>
      <c r="BJ256" t="s">
        <v>807</v>
      </c>
      <c r="BK256" t="s">
        <v>203</v>
      </c>
      <c r="BL256" t="s">
        <v>103</v>
      </c>
      <c r="BM256" t="s">
        <v>5460</v>
      </c>
      <c r="BN256" t="s">
        <v>74</v>
      </c>
      <c r="BO256" t="s">
        <v>74</v>
      </c>
      <c r="BP256" t="s">
        <v>74</v>
      </c>
      <c r="BQ256" t="s">
        <v>74</v>
      </c>
      <c r="BR256" t="s">
        <v>106</v>
      </c>
      <c r="BS256" t="s">
        <v>5461</v>
      </c>
      <c r="BT256" t="str">
        <f>HYPERLINK("https%3A%2F%2Fwww.webofscience.com%2Fwos%2Fwoscc%2Ffull-record%2FWOS:000310815000002","View Full Record in Web of Science")</f>
        <v>View Full Record in Web of Science</v>
      </c>
    </row>
    <row r="257" spans="1:72" x14ac:dyDescent="0.25">
      <c r="A257" t="s">
        <v>108</v>
      </c>
      <c r="B257" t="s">
        <v>5462</v>
      </c>
      <c r="C257" t="s">
        <v>74</v>
      </c>
      <c r="D257" t="s">
        <v>5463</v>
      </c>
      <c r="E257" t="s">
        <v>74</v>
      </c>
      <c r="F257" t="s">
        <v>5464</v>
      </c>
      <c r="G257" t="s">
        <v>74</v>
      </c>
      <c r="H257" t="s">
        <v>74</v>
      </c>
      <c r="I257" t="s">
        <v>5465</v>
      </c>
      <c r="J257" t="s">
        <v>5466</v>
      </c>
      <c r="K257" t="s">
        <v>147</v>
      </c>
      <c r="L257" t="s">
        <v>74</v>
      </c>
      <c r="M257" t="s">
        <v>78</v>
      </c>
      <c r="N257" t="s">
        <v>115</v>
      </c>
      <c r="O257" t="s">
        <v>5467</v>
      </c>
      <c r="P257" t="s">
        <v>5468</v>
      </c>
      <c r="Q257" t="s">
        <v>5469</v>
      </c>
      <c r="R257" t="s">
        <v>74</v>
      </c>
      <c r="S257" t="s">
        <v>74</v>
      </c>
      <c r="T257" t="s">
        <v>5470</v>
      </c>
      <c r="U257" t="s">
        <v>74</v>
      </c>
      <c r="V257" t="s">
        <v>5471</v>
      </c>
      <c r="W257" t="s">
        <v>5472</v>
      </c>
      <c r="X257" t="s">
        <v>5473</v>
      </c>
      <c r="Y257" t="s">
        <v>5474</v>
      </c>
      <c r="Z257" t="s">
        <v>5475</v>
      </c>
      <c r="AA257" t="s">
        <v>5476</v>
      </c>
      <c r="AB257" t="s">
        <v>74</v>
      </c>
      <c r="AC257" t="s">
        <v>5477</v>
      </c>
      <c r="AD257" t="s">
        <v>5478</v>
      </c>
      <c r="AE257" t="s">
        <v>5479</v>
      </c>
      <c r="AF257" t="s">
        <v>74</v>
      </c>
      <c r="AG257">
        <v>20</v>
      </c>
      <c r="AH257">
        <v>2</v>
      </c>
      <c r="AI257">
        <v>3</v>
      </c>
      <c r="AJ257">
        <v>0</v>
      </c>
      <c r="AK257">
        <v>37</v>
      </c>
      <c r="AL257" t="s">
        <v>129</v>
      </c>
      <c r="AM257" t="s">
        <v>130</v>
      </c>
      <c r="AN257" t="s">
        <v>131</v>
      </c>
      <c r="AO257" t="s">
        <v>159</v>
      </c>
      <c r="AP257" t="s">
        <v>133</v>
      </c>
      <c r="AQ257" t="s">
        <v>5480</v>
      </c>
      <c r="AR257" t="s">
        <v>161</v>
      </c>
      <c r="AS257" t="s">
        <v>74</v>
      </c>
      <c r="AT257" t="s">
        <v>74</v>
      </c>
      <c r="AU257">
        <v>2018</v>
      </c>
      <c r="AV257">
        <v>10971</v>
      </c>
      <c r="AW257" t="s">
        <v>74</v>
      </c>
      <c r="AX257" t="s">
        <v>74</v>
      </c>
      <c r="AY257" t="s">
        <v>74</v>
      </c>
      <c r="AZ257" t="s">
        <v>74</v>
      </c>
      <c r="BA257" t="s">
        <v>74</v>
      </c>
      <c r="BB257">
        <v>30</v>
      </c>
      <c r="BC257">
        <v>42</v>
      </c>
      <c r="BD257" t="s">
        <v>74</v>
      </c>
      <c r="BE257" t="s">
        <v>5481</v>
      </c>
      <c r="BF257" t="str">
        <f>HYPERLINK("http://dx.doi.org/10.1007/978-3-319-94307-7_3","http://dx.doi.org/10.1007/978-3-319-94307-7_3")</f>
        <v>http://dx.doi.org/10.1007/978-3-319-94307-7_3</v>
      </c>
      <c r="BG257" t="s">
        <v>74</v>
      </c>
      <c r="BH257" t="s">
        <v>74</v>
      </c>
      <c r="BI257">
        <v>13</v>
      </c>
      <c r="BJ257" t="s">
        <v>925</v>
      </c>
      <c r="BK257" t="s">
        <v>203</v>
      </c>
      <c r="BL257" t="s">
        <v>103</v>
      </c>
      <c r="BM257" t="s">
        <v>5482</v>
      </c>
      <c r="BN257" t="s">
        <v>74</v>
      </c>
      <c r="BO257" t="s">
        <v>74</v>
      </c>
      <c r="BP257" t="s">
        <v>74</v>
      </c>
      <c r="BQ257" t="s">
        <v>74</v>
      </c>
      <c r="BR257" t="s">
        <v>106</v>
      </c>
      <c r="BS257" t="s">
        <v>5483</v>
      </c>
      <c r="BT257" t="str">
        <f>HYPERLINK("https%3A%2F%2Fwww.webofscience.com%2Fwos%2Fwoscc%2Ffull-record%2FWOS:000443135700003","View Full Record in Web of Science")</f>
        <v>View Full Record in Web of Science</v>
      </c>
    </row>
    <row r="258" spans="1:72" x14ac:dyDescent="0.25">
      <c r="A258" t="s">
        <v>108</v>
      </c>
      <c r="B258" t="s">
        <v>5484</v>
      </c>
      <c r="C258" t="s">
        <v>74</v>
      </c>
      <c r="D258" t="s">
        <v>5485</v>
      </c>
      <c r="E258" t="s">
        <v>74</v>
      </c>
      <c r="F258" t="s">
        <v>5486</v>
      </c>
      <c r="G258" t="s">
        <v>74</v>
      </c>
      <c r="H258" t="s">
        <v>74</v>
      </c>
      <c r="I258" t="s">
        <v>5487</v>
      </c>
      <c r="J258" t="s">
        <v>5488</v>
      </c>
      <c r="K258" t="s">
        <v>147</v>
      </c>
      <c r="L258" t="s">
        <v>74</v>
      </c>
      <c r="M258" t="s">
        <v>78</v>
      </c>
      <c r="N258" t="s">
        <v>115</v>
      </c>
      <c r="O258" t="s">
        <v>5489</v>
      </c>
      <c r="P258" t="s">
        <v>5490</v>
      </c>
      <c r="Q258" t="s">
        <v>5491</v>
      </c>
      <c r="R258" t="s">
        <v>74</v>
      </c>
      <c r="S258" t="s">
        <v>74</v>
      </c>
      <c r="T258" t="s">
        <v>5492</v>
      </c>
      <c r="U258" t="s">
        <v>74</v>
      </c>
      <c r="V258" t="s">
        <v>5493</v>
      </c>
      <c r="W258" t="s">
        <v>5494</v>
      </c>
      <c r="X258" t="s">
        <v>5495</v>
      </c>
      <c r="Y258" t="s">
        <v>5496</v>
      </c>
      <c r="Z258" t="s">
        <v>5497</v>
      </c>
      <c r="AA258" t="s">
        <v>5498</v>
      </c>
      <c r="AB258" t="s">
        <v>5499</v>
      </c>
      <c r="AC258" t="s">
        <v>74</v>
      </c>
      <c r="AD258" t="s">
        <v>74</v>
      </c>
      <c r="AE258" t="s">
        <v>74</v>
      </c>
      <c r="AF258" t="s">
        <v>74</v>
      </c>
      <c r="AG258">
        <v>10</v>
      </c>
      <c r="AH258">
        <v>6</v>
      </c>
      <c r="AI258">
        <v>6</v>
      </c>
      <c r="AJ258">
        <v>0</v>
      </c>
      <c r="AK258">
        <v>5</v>
      </c>
      <c r="AL258" t="s">
        <v>129</v>
      </c>
      <c r="AM258" t="s">
        <v>130</v>
      </c>
      <c r="AN258" t="s">
        <v>131</v>
      </c>
      <c r="AO258" t="s">
        <v>159</v>
      </c>
      <c r="AP258" t="s">
        <v>133</v>
      </c>
      <c r="AQ258" t="s">
        <v>5500</v>
      </c>
      <c r="AR258" t="s">
        <v>161</v>
      </c>
      <c r="AS258" t="s">
        <v>74</v>
      </c>
      <c r="AT258" t="s">
        <v>74</v>
      </c>
      <c r="AU258">
        <v>2017</v>
      </c>
      <c r="AV258">
        <v>10260</v>
      </c>
      <c r="AW258" t="s">
        <v>74</v>
      </c>
      <c r="AX258" t="s">
        <v>74</v>
      </c>
      <c r="AY258" t="s">
        <v>74</v>
      </c>
      <c r="AZ258" t="s">
        <v>74</v>
      </c>
      <c r="BA258" t="s">
        <v>74</v>
      </c>
      <c r="BB258">
        <v>124</v>
      </c>
      <c r="BC258">
        <v>130</v>
      </c>
      <c r="BD258" t="s">
        <v>74</v>
      </c>
      <c r="BE258" t="s">
        <v>5501</v>
      </c>
      <c r="BF258" t="str">
        <f>HYPERLINK("http://dx.doi.org/10.1007/978-3-319-59569-6_12","http://dx.doi.org/10.1007/978-3-319-59569-6_12")</f>
        <v>http://dx.doi.org/10.1007/978-3-319-59569-6_12</v>
      </c>
      <c r="BG258" t="s">
        <v>74</v>
      </c>
      <c r="BH258" t="s">
        <v>74</v>
      </c>
      <c r="BI258">
        <v>7</v>
      </c>
      <c r="BJ258" t="s">
        <v>461</v>
      </c>
      <c r="BK258" t="s">
        <v>203</v>
      </c>
      <c r="BL258" t="s">
        <v>103</v>
      </c>
      <c r="BM258" t="s">
        <v>5502</v>
      </c>
      <c r="BN258" t="s">
        <v>74</v>
      </c>
      <c r="BO258" t="s">
        <v>346</v>
      </c>
      <c r="BP258" t="s">
        <v>74</v>
      </c>
      <c r="BQ258" t="s">
        <v>74</v>
      </c>
      <c r="BR258" t="s">
        <v>106</v>
      </c>
      <c r="BS258" t="s">
        <v>5503</v>
      </c>
      <c r="BT258" t="str">
        <f>HYPERLINK("https%3A%2F%2Fwww.webofscience.com%2Fwos%2Fwoscc%2Ffull-record%2FWOS:000434206800012","View Full Record in Web of Science")</f>
        <v>View Full Record in Web of Science</v>
      </c>
    </row>
    <row r="259" spans="1:72" x14ac:dyDescent="0.25">
      <c r="A259" t="s">
        <v>108</v>
      </c>
      <c r="B259" t="s">
        <v>5504</v>
      </c>
      <c r="C259" t="s">
        <v>74</v>
      </c>
      <c r="D259" t="s">
        <v>74</v>
      </c>
      <c r="E259" t="s">
        <v>5505</v>
      </c>
      <c r="F259" t="s">
        <v>5506</v>
      </c>
      <c r="G259" t="s">
        <v>74</v>
      </c>
      <c r="H259" t="s">
        <v>74</v>
      </c>
      <c r="I259" t="s">
        <v>5507</v>
      </c>
      <c r="J259" t="s">
        <v>5508</v>
      </c>
      <c r="K259" t="s">
        <v>5509</v>
      </c>
      <c r="L259" t="s">
        <v>74</v>
      </c>
      <c r="M259" t="s">
        <v>78</v>
      </c>
      <c r="N259" t="s">
        <v>115</v>
      </c>
      <c r="O259" t="s">
        <v>5510</v>
      </c>
      <c r="P259" t="s">
        <v>5511</v>
      </c>
      <c r="Q259" t="s">
        <v>5512</v>
      </c>
      <c r="R259" t="s">
        <v>5505</v>
      </c>
      <c r="S259" t="s">
        <v>74</v>
      </c>
      <c r="T259" t="s">
        <v>74</v>
      </c>
      <c r="U259" t="s">
        <v>74</v>
      </c>
      <c r="V259" t="s">
        <v>5513</v>
      </c>
      <c r="W259" t="s">
        <v>5514</v>
      </c>
      <c r="X259" t="s">
        <v>5515</v>
      </c>
      <c r="Y259" t="s">
        <v>5516</v>
      </c>
      <c r="Z259" t="s">
        <v>5517</v>
      </c>
      <c r="AA259" t="s">
        <v>5518</v>
      </c>
      <c r="AB259" t="s">
        <v>5519</v>
      </c>
      <c r="AC259" t="s">
        <v>5520</v>
      </c>
      <c r="AD259" t="s">
        <v>5521</v>
      </c>
      <c r="AE259" t="s">
        <v>5522</v>
      </c>
      <c r="AF259" t="s">
        <v>74</v>
      </c>
      <c r="AG259">
        <v>4</v>
      </c>
      <c r="AH259">
        <v>4</v>
      </c>
      <c r="AI259">
        <v>4</v>
      </c>
      <c r="AJ259">
        <v>0</v>
      </c>
      <c r="AK259">
        <v>2</v>
      </c>
      <c r="AL259" t="s">
        <v>5523</v>
      </c>
      <c r="AM259" t="s">
        <v>5524</v>
      </c>
      <c r="AN259" t="s">
        <v>5525</v>
      </c>
      <c r="AO259" t="s">
        <v>5526</v>
      </c>
      <c r="AP259" t="s">
        <v>5527</v>
      </c>
      <c r="AQ259" t="s">
        <v>5528</v>
      </c>
      <c r="AR259" t="s">
        <v>5529</v>
      </c>
      <c r="AS259" t="s">
        <v>74</v>
      </c>
      <c r="AT259" t="s">
        <v>74</v>
      </c>
      <c r="AU259">
        <v>2020</v>
      </c>
      <c r="AV259">
        <v>34</v>
      </c>
      <c r="AW259" t="s">
        <v>74</v>
      </c>
      <c r="AX259" t="s">
        <v>74</v>
      </c>
      <c r="AY259" t="s">
        <v>74</v>
      </c>
      <c r="AZ259" t="s">
        <v>74</v>
      </c>
      <c r="BA259" t="s">
        <v>74</v>
      </c>
      <c r="BB259">
        <v>13971</v>
      </c>
      <c r="BC259">
        <v>13972</v>
      </c>
      <c r="BD259" t="s">
        <v>74</v>
      </c>
      <c r="BE259" t="s">
        <v>74</v>
      </c>
      <c r="BF259" t="s">
        <v>74</v>
      </c>
      <c r="BG259" t="s">
        <v>74</v>
      </c>
      <c r="BH259" t="s">
        <v>74</v>
      </c>
      <c r="BI259">
        <v>2</v>
      </c>
      <c r="BJ259" t="s">
        <v>5530</v>
      </c>
      <c r="BK259" t="s">
        <v>203</v>
      </c>
      <c r="BL259" t="s">
        <v>139</v>
      </c>
      <c r="BM259" t="s">
        <v>5531</v>
      </c>
      <c r="BN259" t="s">
        <v>74</v>
      </c>
      <c r="BO259" t="s">
        <v>74</v>
      </c>
      <c r="BP259" t="s">
        <v>74</v>
      </c>
      <c r="BQ259" t="s">
        <v>74</v>
      </c>
      <c r="BR259" t="s">
        <v>106</v>
      </c>
      <c r="BS259" t="s">
        <v>5532</v>
      </c>
      <c r="BT259" t="str">
        <f>HYPERLINK("https%3A%2F%2Fwww.webofscience.com%2Fwos%2Fwoscc%2Ffull-record%2FWOS:000668126806178","View Full Record in Web of Science")</f>
        <v>View Full Record in Web of Science</v>
      </c>
    </row>
    <row r="260" spans="1:72" x14ac:dyDescent="0.25">
      <c r="A260" t="s">
        <v>108</v>
      </c>
      <c r="B260" t="s">
        <v>5533</v>
      </c>
      <c r="C260" t="s">
        <v>74</v>
      </c>
      <c r="D260" t="s">
        <v>74</v>
      </c>
      <c r="E260" t="s">
        <v>273</v>
      </c>
      <c r="F260" t="s">
        <v>5534</v>
      </c>
      <c r="G260" t="s">
        <v>74</v>
      </c>
      <c r="H260" t="s">
        <v>74</v>
      </c>
      <c r="I260" t="s">
        <v>5535</v>
      </c>
      <c r="J260" t="s">
        <v>2762</v>
      </c>
      <c r="K260" t="s">
        <v>74</v>
      </c>
      <c r="L260" t="s">
        <v>74</v>
      </c>
      <c r="M260" t="s">
        <v>78</v>
      </c>
      <c r="N260" t="s">
        <v>115</v>
      </c>
      <c r="O260" t="s">
        <v>2763</v>
      </c>
      <c r="P260" t="s">
        <v>2764</v>
      </c>
      <c r="Q260" t="s">
        <v>2765</v>
      </c>
      <c r="R260" t="s">
        <v>2766</v>
      </c>
      <c r="S260" t="s">
        <v>74</v>
      </c>
      <c r="T260" t="s">
        <v>5536</v>
      </c>
      <c r="U260" t="s">
        <v>74</v>
      </c>
      <c r="V260" t="s">
        <v>5537</v>
      </c>
      <c r="W260" t="s">
        <v>5538</v>
      </c>
      <c r="X260" t="s">
        <v>5539</v>
      </c>
      <c r="Y260" t="s">
        <v>5540</v>
      </c>
      <c r="Z260" t="s">
        <v>5541</v>
      </c>
      <c r="AA260" t="s">
        <v>5542</v>
      </c>
      <c r="AB260" t="s">
        <v>5543</v>
      </c>
      <c r="AC260" t="s">
        <v>74</v>
      </c>
      <c r="AD260" t="s">
        <v>74</v>
      </c>
      <c r="AE260" t="s">
        <v>74</v>
      </c>
      <c r="AF260" t="s">
        <v>74</v>
      </c>
      <c r="AG260">
        <v>3</v>
      </c>
      <c r="AH260">
        <v>7</v>
      </c>
      <c r="AI260">
        <v>7</v>
      </c>
      <c r="AJ260">
        <v>0</v>
      </c>
      <c r="AK260">
        <v>1</v>
      </c>
      <c r="AL260" t="s">
        <v>291</v>
      </c>
      <c r="AM260" t="s">
        <v>92</v>
      </c>
      <c r="AN260" t="s">
        <v>292</v>
      </c>
      <c r="AO260" t="s">
        <v>74</v>
      </c>
      <c r="AP260" t="s">
        <v>74</v>
      </c>
      <c r="AQ260" t="s">
        <v>2777</v>
      </c>
      <c r="AR260" t="s">
        <v>74</v>
      </c>
      <c r="AS260" t="s">
        <v>74</v>
      </c>
      <c r="AT260" t="s">
        <v>74</v>
      </c>
      <c r="AU260">
        <v>2014</v>
      </c>
      <c r="AV260" t="s">
        <v>74</v>
      </c>
      <c r="AW260" t="s">
        <v>74</v>
      </c>
      <c r="AX260" t="s">
        <v>74</v>
      </c>
      <c r="AY260" t="s">
        <v>74</v>
      </c>
      <c r="AZ260" t="s">
        <v>74</v>
      </c>
      <c r="BA260" t="s">
        <v>74</v>
      </c>
      <c r="BB260">
        <v>289</v>
      </c>
      <c r="BC260">
        <v>290</v>
      </c>
      <c r="BD260" t="s">
        <v>74</v>
      </c>
      <c r="BE260" t="s">
        <v>5544</v>
      </c>
      <c r="BF260" t="str">
        <f>HYPERLINK("http://dx.doi.org/10.1145/2567948.2577346","http://dx.doi.org/10.1145/2567948.2577346")</f>
        <v>http://dx.doi.org/10.1145/2567948.2577346</v>
      </c>
      <c r="BG260" t="s">
        <v>74</v>
      </c>
      <c r="BH260" t="s">
        <v>74</v>
      </c>
      <c r="BI260">
        <v>2</v>
      </c>
      <c r="BJ260" t="s">
        <v>696</v>
      </c>
      <c r="BK260" t="s">
        <v>203</v>
      </c>
      <c r="BL260" t="s">
        <v>103</v>
      </c>
      <c r="BM260" t="s">
        <v>2779</v>
      </c>
      <c r="BN260" t="s">
        <v>74</v>
      </c>
      <c r="BO260" t="s">
        <v>74</v>
      </c>
      <c r="BP260" t="s">
        <v>74</v>
      </c>
      <c r="BQ260" t="s">
        <v>74</v>
      </c>
      <c r="BR260" t="s">
        <v>106</v>
      </c>
      <c r="BS260" t="s">
        <v>5545</v>
      </c>
      <c r="BT260" t="str">
        <f>HYPERLINK("https%3A%2F%2Fwww.webofscience.com%2Fwos%2Fwoscc%2Ffull-record%2FWOS:000455947000091","View Full Record in Web of Science")</f>
        <v>View Full Record in Web of Science</v>
      </c>
    </row>
    <row r="261" spans="1:72" x14ac:dyDescent="0.25">
      <c r="A261" t="s">
        <v>108</v>
      </c>
      <c r="B261" t="s">
        <v>5546</v>
      </c>
      <c r="C261" t="s">
        <v>74</v>
      </c>
      <c r="D261" t="s">
        <v>5547</v>
      </c>
      <c r="E261" t="s">
        <v>74</v>
      </c>
      <c r="F261" t="s">
        <v>5548</v>
      </c>
      <c r="G261" t="s">
        <v>74</v>
      </c>
      <c r="H261" t="s">
        <v>74</v>
      </c>
      <c r="I261" t="s">
        <v>5549</v>
      </c>
      <c r="J261" t="s">
        <v>5550</v>
      </c>
      <c r="K261" t="s">
        <v>147</v>
      </c>
      <c r="L261" t="s">
        <v>74</v>
      </c>
      <c r="M261" t="s">
        <v>78</v>
      </c>
      <c r="N261" t="s">
        <v>115</v>
      </c>
      <c r="O261" t="s">
        <v>5551</v>
      </c>
      <c r="P261" t="s">
        <v>5552</v>
      </c>
      <c r="Q261" t="s">
        <v>5553</v>
      </c>
      <c r="R261" t="s">
        <v>74</v>
      </c>
      <c r="S261" t="s">
        <v>74</v>
      </c>
      <c r="T261" t="s">
        <v>5554</v>
      </c>
      <c r="U261" t="s">
        <v>74</v>
      </c>
      <c r="V261" t="s">
        <v>5555</v>
      </c>
      <c r="W261" t="s">
        <v>5556</v>
      </c>
      <c r="X261" t="s">
        <v>2020</v>
      </c>
      <c r="Y261" t="s">
        <v>5557</v>
      </c>
      <c r="Z261" t="s">
        <v>5558</v>
      </c>
      <c r="AA261" t="s">
        <v>5559</v>
      </c>
      <c r="AB261" t="s">
        <v>74</v>
      </c>
      <c r="AC261" t="s">
        <v>5560</v>
      </c>
      <c r="AD261" t="s">
        <v>5561</v>
      </c>
      <c r="AE261" t="s">
        <v>5562</v>
      </c>
      <c r="AF261" t="s">
        <v>74</v>
      </c>
      <c r="AG261">
        <v>36</v>
      </c>
      <c r="AH261">
        <v>0</v>
      </c>
      <c r="AI261">
        <v>0</v>
      </c>
      <c r="AJ261">
        <v>0</v>
      </c>
      <c r="AK261">
        <v>11</v>
      </c>
      <c r="AL261" t="s">
        <v>129</v>
      </c>
      <c r="AM261" t="s">
        <v>130</v>
      </c>
      <c r="AN261" t="s">
        <v>131</v>
      </c>
      <c r="AO261" t="s">
        <v>159</v>
      </c>
      <c r="AP261" t="s">
        <v>133</v>
      </c>
      <c r="AQ261" t="s">
        <v>5563</v>
      </c>
      <c r="AR261" t="s">
        <v>161</v>
      </c>
      <c r="AS261" t="s">
        <v>74</v>
      </c>
      <c r="AT261" t="s">
        <v>74</v>
      </c>
      <c r="AU261">
        <v>2018</v>
      </c>
      <c r="AV261">
        <v>10827</v>
      </c>
      <c r="AW261" t="s">
        <v>74</v>
      </c>
      <c r="AX261" t="s">
        <v>5564</v>
      </c>
      <c r="AY261" t="s">
        <v>74</v>
      </c>
      <c r="AZ261" t="s">
        <v>74</v>
      </c>
      <c r="BA261" t="s">
        <v>74</v>
      </c>
      <c r="BB261">
        <v>474</v>
      </c>
      <c r="BC261">
        <v>490</v>
      </c>
      <c r="BD261" t="s">
        <v>74</v>
      </c>
      <c r="BE261" t="s">
        <v>5565</v>
      </c>
      <c r="BF261" t="str">
        <f>HYPERLINK("http://dx.doi.org/10.1007/978-3-319-91452-7_31","http://dx.doi.org/10.1007/978-3-319-91452-7_31")</f>
        <v>http://dx.doi.org/10.1007/978-3-319-91452-7_31</v>
      </c>
      <c r="BG261" t="s">
        <v>74</v>
      </c>
      <c r="BH261" t="s">
        <v>74</v>
      </c>
      <c r="BI261">
        <v>17</v>
      </c>
      <c r="BJ261" t="s">
        <v>461</v>
      </c>
      <c r="BK261" t="s">
        <v>203</v>
      </c>
      <c r="BL261" t="s">
        <v>103</v>
      </c>
      <c r="BM261" t="s">
        <v>5566</v>
      </c>
      <c r="BN261" t="s">
        <v>74</v>
      </c>
      <c r="BO261" t="s">
        <v>74</v>
      </c>
      <c r="BP261" t="s">
        <v>74</v>
      </c>
      <c r="BQ261" t="s">
        <v>74</v>
      </c>
      <c r="BR261" t="s">
        <v>106</v>
      </c>
      <c r="BS261" t="s">
        <v>5567</v>
      </c>
      <c r="BT261" t="str">
        <f>HYPERLINK("https%3A%2F%2Fwww.webofscience.com%2Fwos%2Fwoscc%2Ffull-record%2FWOS:000546494600031","View Full Record in Web of Science")</f>
        <v>View Full Record in Web of Science</v>
      </c>
    </row>
    <row r="262" spans="1:72" x14ac:dyDescent="0.25">
      <c r="A262" t="s">
        <v>108</v>
      </c>
      <c r="B262" t="s">
        <v>5568</v>
      </c>
      <c r="C262" t="s">
        <v>74</v>
      </c>
      <c r="D262" t="s">
        <v>5569</v>
      </c>
      <c r="E262" t="s">
        <v>74</v>
      </c>
      <c r="F262" t="s">
        <v>5570</v>
      </c>
      <c r="G262" t="s">
        <v>74</v>
      </c>
      <c r="H262" t="s">
        <v>74</v>
      </c>
      <c r="I262" t="s">
        <v>5571</v>
      </c>
      <c r="J262" t="s">
        <v>5572</v>
      </c>
      <c r="K262" t="s">
        <v>5573</v>
      </c>
      <c r="L262" t="s">
        <v>74</v>
      </c>
      <c r="M262" t="s">
        <v>78</v>
      </c>
      <c r="N262" t="s">
        <v>115</v>
      </c>
      <c r="O262" t="s">
        <v>5574</v>
      </c>
      <c r="P262" t="s">
        <v>5575</v>
      </c>
      <c r="Q262" t="s">
        <v>5576</v>
      </c>
      <c r="R262" t="s">
        <v>2823</v>
      </c>
      <c r="S262" t="s">
        <v>74</v>
      </c>
      <c r="T262" t="s">
        <v>5577</v>
      </c>
      <c r="U262" t="s">
        <v>5578</v>
      </c>
      <c r="V262" t="s">
        <v>5579</v>
      </c>
      <c r="W262" t="s">
        <v>5580</v>
      </c>
      <c r="X262" t="s">
        <v>5581</v>
      </c>
      <c r="Y262" t="s">
        <v>5582</v>
      </c>
      <c r="Z262" t="s">
        <v>5583</v>
      </c>
      <c r="AA262" t="s">
        <v>74</v>
      </c>
      <c r="AB262" t="s">
        <v>74</v>
      </c>
      <c r="AC262" t="s">
        <v>74</v>
      </c>
      <c r="AD262" t="s">
        <v>74</v>
      </c>
      <c r="AE262" t="s">
        <v>74</v>
      </c>
      <c r="AF262" t="s">
        <v>74</v>
      </c>
      <c r="AG262">
        <v>53</v>
      </c>
      <c r="AH262">
        <v>0</v>
      </c>
      <c r="AI262">
        <v>0</v>
      </c>
      <c r="AJ262">
        <v>0</v>
      </c>
      <c r="AK262">
        <v>0</v>
      </c>
      <c r="AL262" t="s">
        <v>947</v>
      </c>
      <c r="AM262" t="s">
        <v>948</v>
      </c>
      <c r="AN262" t="s">
        <v>949</v>
      </c>
      <c r="AO262" t="s">
        <v>5584</v>
      </c>
      <c r="AP262" t="s">
        <v>74</v>
      </c>
      <c r="AQ262" t="s">
        <v>5585</v>
      </c>
      <c r="AR262" t="s">
        <v>5586</v>
      </c>
      <c r="AS262" t="s">
        <v>74</v>
      </c>
      <c r="AT262" t="s">
        <v>74</v>
      </c>
      <c r="AU262">
        <v>2025</v>
      </c>
      <c r="AV262" t="s">
        <v>74</v>
      </c>
      <c r="AW262" t="s">
        <v>74</v>
      </c>
      <c r="AX262" t="s">
        <v>74</v>
      </c>
      <c r="AY262" t="s">
        <v>74</v>
      </c>
      <c r="AZ262" t="s">
        <v>74</v>
      </c>
      <c r="BA262" t="s">
        <v>74</v>
      </c>
      <c r="BB262">
        <v>1159</v>
      </c>
      <c r="BC262">
        <v>1169</v>
      </c>
      <c r="BD262" t="s">
        <v>74</v>
      </c>
      <c r="BE262" t="s">
        <v>5587</v>
      </c>
      <c r="BF262" t="str">
        <f>HYPERLINK("http://dx.doi.org/10.1109/ISMAR67309.2025.00122","http://dx.doi.org/10.1109/ISMAR67309.2025.00122")</f>
        <v>http://dx.doi.org/10.1109/ISMAR67309.2025.00122</v>
      </c>
      <c r="BG262" t="s">
        <v>74</v>
      </c>
      <c r="BH262" t="s">
        <v>74</v>
      </c>
      <c r="BI262">
        <v>11</v>
      </c>
      <c r="BJ262" t="s">
        <v>5588</v>
      </c>
      <c r="BK262" t="s">
        <v>203</v>
      </c>
      <c r="BL262" t="s">
        <v>103</v>
      </c>
      <c r="BM262" t="s">
        <v>5589</v>
      </c>
      <c r="BN262" t="s">
        <v>74</v>
      </c>
      <c r="BO262" t="s">
        <v>74</v>
      </c>
      <c r="BP262" t="s">
        <v>74</v>
      </c>
      <c r="BQ262" t="s">
        <v>74</v>
      </c>
      <c r="BR262" t="s">
        <v>106</v>
      </c>
      <c r="BS262" t="s">
        <v>5590</v>
      </c>
      <c r="BT262" t="str">
        <f>HYPERLINK("https%3A%2F%2Fwww.webofscience.com%2Fwos%2Fwoscc%2Ffull-record%2FWOS:001829401700109","View Full Record in Web of Science")</f>
        <v>View Full Record in Web of Science</v>
      </c>
    </row>
    <row r="263" spans="1:72" x14ac:dyDescent="0.25">
      <c r="A263" t="s">
        <v>72</v>
      </c>
      <c r="B263" t="s">
        <v>5591</v>
      </c>
      <c r="C263" t="s">
        <v>74</v>
      </c>
      <c r="D263" t="s">
        <v>74</v>
      </c>
      <c r="E263" t="s">
        <v>74</v>
      </c>
      <c r="F263" t="s">
        <v>5592</v>
      </c>
      <c r="G263" t="s">
        <v>74</v>
      </c>
      <c r="H263" t="s">
        <v>74</v>
      </c>
      <c r="I263" t="s">
        <v>5593</v>
      </c>
      <c r="J263" t="s">
        <v>5594</v>
      </c>
      <c r="K263" t="s">
        <v>74</v>
      </c>
      <c r="L263" t="s">
        <v>74</v>
      </c>
      <c r="M263" t="s">
        <v>78</v>
      </c>
      <c r="N263" t="s">
        <v>79</v>
      </c>
      <c r="O263" t="s">
        <v>74</v>
      </c>
      <c r="P263" t="s">
        <v>74</v>
      </c>
      <c r="Q263" t="s">
        <v>74</v>
      </c>
      <c r="R263" t="s">
        <v>74</v>
      </c>
      <c r="S263" t="s">
        <v>74</v>
      </c>
      <c r="T263" t="s">
        <v>5595</v>
      </c>
      <c r="U263" t="s">
        <v>5596</v>
      </c>
      <c r="V263" t="s">
        <v>5597</v>
      </c>
      <c r="W263" t="s">
        <v>5598</v>
      </c>
      <c r="X263" t="s">
        <v>5599</v>
      </c>
      <c r="Y263" t="s">
        <v>5600</v>
      </c>
      <c r="Z263" t="s">
        <v>5601</v>
      </c>
      <c r="AA263" t="s">
        <v>5602</v>
      </c>
      <c r="AB263" t="s">
        <v>5603</v>
      </c>
      <c r="AC263" t="s">
        <v>74</v>
      </c>
      <c r="AD263" t="s">
        <v>74</v>
      </c>
      <c r="AE263" t="s">
        <v>74</v>
      </c>
      <c r="AF263" t="s">
        <v>74</v>
      </c>
      <c r="AG263">
        <v>119</v>
      </c>
      <c r="AH263">
        <v>106</v>
      </c>
      <c r="AI263">
        <v>119</v>
      </c>
      <c r="AJ263">
        <v>5</v>
      </c>
      <c r="AK263">
        <v>137</v>
      </c>
      <c r="AL263" t="s">
        <v>5604</v>
      </c>
      <c r="AM263" t="s">
        <v>1320</v>
      </c>
      <c r="AN263" t="s">
        <v>5605</v>
      </c>
      <c r="AO263" t="s">
        <v>5606</v>
      </c>
      <c r="AP263" t="s">
        <v>5607</v>
      </c>
      <c r="AQ263" t="s">
        <v>74</v>
      </c>
      <c r="AR263" t="s">
        <v>5608</v>
      </c>
      <c r="AS263" t="s">
        <v>5609</v>
      </c>
      <c r="AT263" t="s">
        <v>509</v>
      </c>
      <c r="AU263">
        <v>2019</v>
      </c>
      <c r="AV263">
        <v>60</v>
      </c>
      <c r="AW263">
        <v>3</v>
      </c>
      <c r="AX263" t="s">
        <v>74</v>
      </c>
      <c r="AY263" t="s">
        <v>74</v>
      </c>
      <c r="AZ263" t="s">
        <v>74</v>
      </c>
      <c r="BA263" t="s">
        <v>74</v>
      </c>
      <c r="BB263">
        <v>1247</v>
      </c>
      <c r="BC263">
        <v>1275</v>
      </c>
      <c r="BD263" t="s">
        <v>74</v>
      </c>
      <c r="BE263" t="s">
        <v>5610</v>
      </c>
      <c r="BF263" t="str">
        <f>HYPERLINK("http://dx.doi.org/10.1007/s10115-018-1297-4","http://dx.doi.org/10.1007/s10115-018-1297-4")</f>
        <v>http://dx.doi.org/10.1007/s10115-018-1297-4</v>
      </c>
      <c r="BG263" t="s">
        <v>74</v>
      </c>
      <c r="BH263" t="s">
        <v>74</v>
      </c>
      <c r="BI263">
        <v>29</v>
      </c>
      <c r="BJ263" t="s">
        <v>202</v>
      </c>
      <c r="BK263" t="s">
        <v>745</v>
      </c>
      <c r="BL263" t="s">
        <v>103</v>
      </c>
      <c r="BM263" t="s">
        <v>5611</v>
      </c>
      <c r="BN263" t="s">
        <v>74</v>
      </c>
      <c r="BO263" t="s">
        <v>74</v>
      </c>
      <c r="BP263" t="s">
        <v>74</v>
      </c>
      <c r="BQ263" t="s">
        <v>74</v>
      </c>
      <c r="BR263" t="s">
        <v>106</v>
      </c>
      <c r="BS263" t="s">
        <v>5612</v>
      </c>
      <c r="BT263" t="str">
        <f>HYPERLINK("https%3A%2F%2Fwww.webofscience.com%2Fwos%2Fwoscc%2Ffull-record%2FWOS:000480588300002","View Full Record in Web of Science")</f>
        <v>View Full Record in Web of Science</v>
      </c>
    </row>
    <row r="264" spans="1:72" x14ac:dyDescent="0.25">
      <c r="A264" t="s">
        <v>108</v>
      </c>
      <c r="B264" t="s">
        <v>5613</v>
      </c>
      <c r="C264" t="s">
        <v>74</v>
      </c>
      <c r="D264" t="s">
        <v>5614</v>
      </c>
      <c r="E264" t="s">
        <v>74</v>
      </c>
      <c r="F264" t="s">
        <v>5615</v>
      </c>
      <c r="G264" t="s">
        <v>74</v>
      </c>
      <c r="H264" t="s">
        <v>74</v>
      </c>
      <c r="I264" t="s">
        <v>5616</v>
      </c>
      <c r="J264" t="s">
        <v>5617</v>
      </c>
      <c r="K264" t="s">
        <v>5618</v>
      </c>
      <c r="L264" t="s">
        <v>74</v>
      </c>
      <c r="M264" t="s">
        <v>78</v>
      </c>
      <c r="N264" t="s">
        <v>115</v>
      </c>
      <c r="O264" t="s">
        <v>5619</v>
      </c>
      <c r="P264" t="s">
        <v>5620</v>
      </c>
      <c r="Q264" t="s">
        <v>1051</v>
      </c>
      <c r="R264" t="s">
        <v>74</v>
      </c>
      <c r="S264" t="s">
        <v>74</v>
      </c>
      <c r="T264" t="s">
        <v>5621</v>
      </c>
      <c r="U264" t="s">
        <v>74</v>
      </c>
      <c r="V264" t="s">
        <v>5622</v>
      </c>
      <c r="W264" t="s">
        <v>5623</v>
      </c>
      <c r="X264" t="s">
        <v>74</v>
      </c>
      <c r="Y264" t="s">
        <v>5624</v>
      </c>
      <c r="Z264" t="s">
        <v>74</v>
      </c>
      <c r="AA264" t="s">
        <v>74</v>
      </c>
      <c r="AB264" t="s">
        <v>74</v>
      </c>
      <c r="AC264" t="s">
        <v>74</v>
      </c>
      <c r="AD264" t="s">
        <v>74</v>
      </c>
      <c r="AE264" t="s">
        <v>74</v>
      </c>
      <c r="AF264" t="s">
        <v>74</v>
      </c>
      <c r="AG264">
        <v>0</v>
      </c>
      <c r="AH264">
        <v>0</v>
      </c>
      <c r="AI264">
        <v>0</v>
      </c>
      <c r="AJ264">
        <v>1</v>
      </c>
      <c r="AK264">
        <v>14</v>
      </c>
      <c r="AL264" t="s">
        <v>5625</v>
      </c>
      <c r="AM264" t="s">
        <v>1669</v>
      </c>
      <c r="AN264" t="s">
        <v>1670</v>
      </c>
      <c r="AO264" t="s">
        <v>5626</v>
      </c>
      <c r="AP264" t="s">
        <v>74</v>
      </c>
      <c r="AQ264" t="s">
        <v>5627</v>
      </c>
      <c r="AR264" t="s">
        <v>5628</v>
      </c>
      <c r="AS264" t="s">
        <v>74</v>
      </c>
      <c r="AT264" t="s">
        <v>74</v>
      </c>
      <c r="AU264">
        <v>2015</v>
      </c>
      <c r="AV264" t="s">
        <v>74</v>
      </c>
      <c r="AW264" t="s">
        <v>74</v>
      </c>
      <c r="AX264" t="s">
        <v>74</v>
      </c>
      <c r="AY264" t="s">
        <v>74</v>
      </c>
      <c r="AZ264" t="s">
        <v>74</v>
      </c>
      <c r="BA264" t="s">
        <v>74</v>
      </c>
      <c r="BB264">
        <v>2040</v>
      </c>
      <c r="BC264">
        <v>2041</v>
      </c>
      <c r="BD264" t="s">
        <v>74</v>
      </c>
      <c r="BE264" t="s">
        <v>74</v>
      </c>
      <c r="BF264" t="s">
        <v>74</v>
      </c>
      <c r="BG264" t="s">
        <v>74</v>
      </c>
      <c r="BH264" t="s">
        <v>74</v>
      </c>
      <c r="BI264">
        <v>2</v>
      </c>
      <c r="BJ264" t="s">
        <v>318</v>
      </c>
      <c r="BK264" t="s">
        <v>1042</v>
      </c>
      <c r="BL264" t="s">
        <v>318</v>
      </c>
      <c r="BM264" t="s">
        <v>5629</v>
      </c>
      <c r="BN264" t="s">
        <v>74</v>
      </c>
      <c r="BO264" t="s">
        <v>74</v>
      </c>
      <c r="BP264" t="s">
        <v>74</v>
      </c>
      <c r="BQ264" t="s">
        <v>74</v>
      </c>
      <c r="BR264" t="s">
        <v>106</v>
      </c>
      <c r="BS264" t="s">
        <v>5630</v>
      </c>
      <c r="BT264" t="str">
        <f>HYPERLINK("https%3A%2F%2Fwww.webofscience.com%2Fwos%2Fwoscc%2Ffull-record%2FWOS:000376685702016","View Full Record in Web of Science")</f>
        <v>View Full Record in Web of Science</v>
      </c>
    </row>
    <row r="265" spans="1:72" x14ac:dyDescent="0.25">
      <c r="A265" t="s">
        <v>72</v>
      </c>
      <c r="B265" t="s">
        <v>5631</v>
      </c>
      <c r="C265" t="s">
        <v>74</v>
      </c>
      <c r="D265" t="s">
        <v>74</v>
      </c>
      <c r="E265" t="s">
        <v>74</v>
      </c>
      <c r="F265" t="s">
        <v>5632</v>
      </c>
      <c r="G265" t="s">
        <v>74</v>
      </c>
      <c r="H265" t="s">
        <v>74</v>
      </c>
      <c r="I265" t="s">
        <v>5633</v>
      </c>
      <c r="J265" t="s">
        <v>5634</v>
      </c>
      <c r="K265" t="s">
        <v>74</v>
      </c>
      <c r="L265" t="s">
        <v>74</v>
      </c>
      <c r="M265" t="s">
        <v>78</v>
      </c>
      <c r="N265" t="s">
        <v>79</v>
      </c>
      <c r="O265" t="s">
        <v>74</v>
      </c>
      <c r="P265" t="s">
        <v>74</v>
      </c>
      <c r="Q265" t="s">
        <v>74</v>
      </c>
      <c r="R265" t="s">
        <v>74</v>
      </c>
      <c r="S265" t="s">
        <v>74</v>
      </c>
      <c r="T265" t="s">
        <v>5635</v>
      </c>
      <c r="U265" t="s">
        <v>5636</v>
      </c>
      <c r="V265" t="s">
        <v>5637</v>
      </c>
      <c r="W265" t="s">
        <v>5638</v>
      </c>
      <c r="X265" t="s">
        <v>5639</v>
      </c>
      <c r="Y265" t="s">
        <v>5640</v>
      </c>
      <c r="Z265" t="s">
        <v>5641</v>
      </c>
      <c r="AA265" t="s">
        <v>74</v>
      </c>
      <c r="AB265" t="s">
        <v>74</v>
      </c>
      <c r="AC265" t="s">
        <v>74</v>
      </c>
      <c r="AD265" t="s">
        <v>74</v>
      </c>
      <c r="AE265" t="s">
        <v>74</v>
      </c>
      <c r="AF265" t="s">
        <v>74</v>
      </c>
      <c r="AG265">
        <v>49</v>
      </c>
      <c r="AH265">
        <v>4</v>
      </c>
      <c r="AI265">
        <v>4</v>
      </c>
      <c r="AJ265">
        <v>0</v>
      </c>
      <c r="AK265">
        <v>4</v>
      </c>
      <c r="AL265" t="s">
        <v>1369</v>
      </c>
      <c r="AM265" t="s">
        <v>1320</v>
      </c>
      <c r="AN265" t="s">
        <v>1370</v>
      </c>
      <c r="AO265" t="s">
        <v>5642</v>
      </c>
      <c r="AP265" t="s">
        <v>5643</v>
      </c>
      <c r="AQ265" t="s">
        <v>74</v>
      </c>
      <c r="AR265" t="s">
        <v>5644</v>
      </c>
      <c r="AS265" t="s">
        <v>5645</v>
      </c>
      <c r="AT265" t="s">
        <v>1375</v>
      </c>
      <c r="AU265">
        <v>2019</v>
      </c>
      <c r="AV265">
        <v>49</v>
      </c>
      <c r="AW265">
        <v>2</v>
      </c>
      <c r="AX265" t="s">
        <v>74</v>
      </c>
      <c r="AY265" t="s">
        <v>74</v>
      </c>
      <c r="AZ265" t="s">
        <v>74</v>
      </c>
      <c r="BA265" t="s">
        <v>74</v>
      </c>
      <c r="BB265">
        <v>206</v>
      </c>
      <c r="BC265">
        <v>218</v>
      </c>
      <c r="BD265" t="s">
        <v>74</v>
      </c>
      <c r="BE265" t="s">
        <v>5646</v>
      </c>
      <c r="BF265" t="str">
        <f>HYPERLINK("http://dx.doi.org/10.1177/0081246318782188","http://dx.doi.org/10.1177/0081246318782188")</f>
        <v>http://dx.doi.org/10.1177/0081246318782188</v>
      </c>
      <c r="BG265" t="s">
        <v>74</v>
      </c>
      <c r="BH265" t="s">
        <v>74</v>
      </c>
      <c r="BI265">
        <v>13</v>
      </c>
      <c r="BJ265" t="s">
        <v>2446</v>
      </c>
      <c r="BK265" t="s">
        <v>250</v>
      </c>
      <c r="BL265" t="s">
        <v>251</v>
      </c>
      <c r="BM265" t="s">
        <v>5647</v>
      </c>
      <c r="BN265" t="s">
        <v>74</v>
      </c>
      <c r="BO265" t="s">
        <v>74</v>
      </c>
      <c r="BP265" t="s">
        <v>74</v>
      </c>
      <c r="BQ265" t="s">
        <v>74</v>
      </c>
      <c r="BR265" t="s">
        <v>106</v>
      </c>
      <c r="BS265" t="s">
        <v>5648</v>
      </c>
      <c r="BT265" t="str">
        <f>HYPERLINK("https%3A%2F%2Fwww.webofscience.com%2Fwos%2Fwoscc%2Ffull-record%2FWOS:000470853000005","View Full Record in Web of Science")</f>
        <v>View Full Record in Web of Science</v>
      </c>
    </row>
    <row r="266" spans="1:72" x14ac:dyDescent="0.25">
      <c r="A266" t="s">
        <v>72</v>
      </c>
      <c r="B266" t="s">
        <v>5649</v>
      </c>
      <c r="C266" t="s">
        <v>74</v>
      </c>
      <c r="D266" t="s">
        <v>74</v>
      </c>
      <c r="E266" t="s">
        <v>74</v>
      </c>
      <c r="F266" t="s">
        <v>5650</v>
      </c>
      <c r="G266" t="s">
        <v>74</v>
      </c>
      <c r="H266" t="s">
        <v>74</v>
      </c>
      <c r="I266" t="s">
        <v>5651</v>
      </c>
      <c r="J266" t="s">
        <v>5652</v>
      </c>
      <c r="K266" t="s">
        <v>74</v>
      </c>
      <c r="L266" t="s">
        <v>74</v>
      </c>
      <c r="M266" t="s">
        <v>78</v>
      </c>
      <c r="N266" t="s">
        <v>79</v>
      </c>
      <c r="O266" t="s">
        <v>74</v>
      </c>
      <c r="P266" t="s">
        <v>74</v>
      </c>
      <c r="Q266" t="s">
        <v>74</v>
      </c>
      <c r="R266" t="s">
        <v>74</v>
      </c>
      <c r="S266" t="s">
        <v>74</v>
      </c>
      <c r="T266" t="s">
        <v>74</v>
      </c>
      <c r="U266" t="s">
        <v>74</v>
      </c>
      <c r="V266" t="s">
        <v>5653</v>
      </c>
      <c r="W266" t="s">
        <v>5654</v>
      </c>
      <c r="X266" t="s">
        <v>5655</v>
      </c>
      <c r="Y266" t="s">
        <v>5656</v>
      </c>
      <c r="Z266" t="s">
        <v>5657</v>
      </c>
      <c r="AA266" t="s">
        <v>74</v>
      </c>
      <c r="AB266" t="s">
        <v>5658</v>
      </c>
      <c r="AC266" t="s">
        <v>5659</v>
      </c>
      <c r="AD266" t="s">
        <v>5660</v>
      </c>
      <c r="AE266" t="s">
        <v>5661</v>
      </c>
      <c r="AF266" t="s">
        <v>74</v>
      </c>
      <c r="AG266">
        <v>13</v>
      </c>
      <c r="AH266">
        <v>0</v>
      </c>
      <c r="AI266">
        <v>0</v>
      </c>
      <c r="AJ266">
        <v>0</v>
      </c>
      <c r="AK266">
        <v>8</v>
      </c>
      <c r="AL266" t="s">
        <v>1319</v>
      </c>
      <c r="AM266" t="s">
        <v>1320</v>
      </c>
      <c r="AN266" t="s">
        <v>1321</v>
      </c>
      <c r="AO266" t="s">
        <v>5662</v>
      </c>
      <c r="AP266" t="s">
        <v>5663</v>
      </c>
      <c r="AQ266" t="s">
        <v>74</v>
      </c>
      <c r="AR266" t="s">
        <v>5664</v>
      </c>
      <c r="AS266" t="s">
        <v>5665</v>
      </c>
      <c r="AT266" t="s">
        <v>74</v>
      </c>
      <c r="AU266">
        <v>2017</v>
      </c>
      <c r="AV266">
        <v>2017</v>
      </c>
      <c r="AW266" t="s">
        <v>74</v>
      </c>
      <c r="AX266" t="s">
        <v>74</v>
      </c>
      <c r="AY266" t="s">
        <v>74</v>
      </c>
      <c r="AZ266" t="s">
        <v>74</v>
      </c>
      <c r="BA266" t="s">
        <v>74</v>
      </c>
      <c r="BB266" t="s">
        <v>74</v>
      </c>
      <c r="BC266" t="s">
        <v>74</v>
      </c>
      <c r="BD266">
        <v>1383891</v>
      </c>
      <c r="BE266" t="s">
        <v>5666</v>
      </c>
      <c r="BF266" t="str">
        <f>HYPERLINK("http://dx.doi.org/10.1155/2017/1383891","http://dx.doi.org/10.1155/2017/1383891")</f>
        <v>http://dx.doi.org/10.1155/2017/1383891</v>
      </c>
      <c r="BG266" t="s">
        <v>74</v>
      </c>
      <c r="BH266" t="s">
        <v>74</v>
      </c>
      <c r="BI266">
        <v>12</v>
      </c>
      <c r="BJ266" t="s">
        <v>3795</v>
      </c>
      <c r="BK266" t="s">
        <v>902</v>
      </c>
      <c r="BL266" t="s">
        <v>3796</v>
      </c>
      <c r="BM266" t="s">
        <v>5667</v>
      </c>
      <c r="BN266" t="s">
        <v>74</v>
      </c>
      <c r="BO266" t="s">
        <v>105</v>
      </c>
      <c r="BP266" t="s">
        <v>74</v>
      </c>
      <c r="BQ266" t="s">
        <v>74</v>
      </c>
      <c r="BR266" t="s">
        <v>106</v>
      </c>
      <c r="BS266" t="s">
        <v>5668</v>
      </c>
      <c r="BT266" t="str">
        <f>HYPERLINK("https%3A%2F%2Fwww.webofscience.com%2Fwos%2Fwoscc%2Ffull-record%2FWOS:000408219800001","View Full Record in Web of Science")</f>
        <v>View Full Record in Web of Science</v>
      </c>
    </row>
    <row r="267" spans="1:72" x14ac:dyDescent="0.25">
      <c r="A267" t="s">
        <v>108</v>
      </c>
      <c r="B267" t="s">
        <v>5669</v>
      </c>
      <c r="C267" t="s">
        <v>74</v>
      </c>
      <c r="D267" t="s">
        <v>5670</v>
      </c>
      <c r="E267" t="s">
        <v>74</v>
      </c>
      <c r="F267" t="s">
        <v>5671</v>
      </c>
      <c r="G267" t="s">
        <v>74</v>
      </c>
      <c r="H267" t="s">
        <v>74</v>
      </c>
      <c r="I267" t="s">
        <v>5672</v>
      </c>
      <c r="J267" t="s">
        <v>5673</v>
      </c>
      <c r="K267" t="s">
        <v>5674</v>
      </c>
      <c r="L267" t="s">
        <v>74</v>
      </c>
      <c r="M267" t="s">
        <v>78</v>
      </c>
      <c r="N267" t="s">
        <v>115</v>
      </c>
      <c r="O267" t="s">
        <v>5675</v>
      </c>
      <c r="P267" t="s">
        <v>5676</v>
      </c>
      <c r="Q267" t="s">
        <v>519</v>
      </c>
      <c r="R267" t="s">
        <v>74</v>
      </c>
      <c r="S267" t="s">
        <v>74</v>
      </c>
      <c r="T267" t="s">
        <v>5677</v>
      </c>
      <c r="U267" t="s">
        <v>74</v>
      </c>
      <c r="V267" t="s">
        <v>5678</v>
      </c>
      <c r="W267" t="s">
        <v>5679</v>
      </c>
      <c r="X267" t="s">
        <v>74</v>
      </c>
      <c r="Y267" t="s">
        <v>5680</v>
      </c>
      <c r="Z267" t="s">
        <v>5681</v>
      </c>
      <c r="AA267" t="s">
        <v>5682</v>
      </c>
      <c r="AB267" t="s">
        <v>5683</v>
      </c>
      <c r="AC267" t="s">
        <v>74</v>
      </c>
      <c r="AD267" t="s">
        <v>74</v>
      </c>
      <c r="AE267" t="s">
        <v>74</v>
      </c>
      <c r="AF267" t="s">
        <v>74</v>
      </c>
      <c r="AG267">
        <v>13</v>
      </c>
      <c r="AH267">
        <v>7</v>
      </c>
      <c r="AI267">
        <v>11</v>
      </c>
      <c r="AJ267">
        <v>0</v>
      </c>
      <c r="AK267">
        <v>12</v>
      </c>
      <c r="AL267" t="s">
        <v>2695</v>
      </c>
      <c r="AM267" t="s">
        <v>363</v>
      </c>
      <c r="AN267" t="s">
        <v>2696</v>
      </c>
      <c r="AO267" t="s">
        <v>5684</v>
      </c>
      <c r="AP267" t="s">
        <v>74</v>
      </c>
      <c r="AQ267" t="s">
        <v>74</v>
      </c>
      <c r="AR267" t="s">
        <v>5685</v>
      </c>
      <c r="AS267" t="s">
        <v>74</v>
      </c>
      <c r="AT267" t="s">
        <v>74</v>
      </c>
      <c r="AU267">
        <v>2015</v>
      </c>
      <c r="AV267">
        <v>174</v>
      </c>
      <c r="AW267" t="s">
        <v>74</v>
      </c>
      <c r="AX267" t="s">
        <v>74</v>
      </c>
      <c r="AY267" t="s">
        <v>74</v>
      </c>
      <c r="AZ267" t="s">
        <v>74</v>
      </c>
      <c r="BA267" t="s">
        <v>74</v>
      </c>
      <c r="BB267">
        <v>3656</v>
      </c>
      <c r="BC267">
        <v>3662</v>
      </c>
      <c r="BD267" t="s">
        <v>74</v>
      </c>
      <c r="BE267" t="s">
        <v>5686</v>
      </c>
      <c r="BF267" t="str">
        <f>HYPERLINK("http://dx.doi.org/10.1016/j.sbspro.2015.01.1086","http://dx.doi.org/10.1016/j.sbspro.2015.01.1086")</f>
        <v>http://dx.doi.org/10.1016/j.sbspro.2015.01.1086</v>
      </c>
      <c r="BG267" t="s">
        <v>74</v>
      </c>
      <c r="BH267" t="s">
        <v>74</v>
      </c>
      <c r="BI267">
        <v>7</v>
      </c>
      <c r="BJ267" t="s">
        <v>5687</v>
      </c>
      <c r="BK267" t="s">
        <v>1042</v>
      </c>
      <c r="BL267" t="s">
        <v>5688</v>
      </c>
      <c r="BM267" t="s">
        <v>5689</v>
      </c>
      <c r="BN267" t="s">
        <v>74</v>
      </c>
      <c r="BO267" t="s">
        <v>372</v>
      </c>
      <c r="BP267" t="s">
        <v>74</v>
      </c>
      <c r="BQ267" t="s">
        <v>74</v>
      </c>
      <c r="BR267" t="s">
        <v>106</v>
      </c>
      <c r="BS267" t="s">
        <v>5690</v>
      </c>
      <c r="BT267" t="str">
        <f>HYPERLINK("https%3A%2F%2Fwww.webofscience.com%2Fwos%2Fwoscc%2Ffull-record%2FWOS:000383740203111","View Full Record in Web of Science")</f>
        <v>View Full Record in Web of Science</v>
      </c>
    </row>
    <row r="268" spans="1:72" x14ac:dyDescent="0.25">
      <c r="A268" t="s">
        <v>108</v>
      </c>
      <c r="B268" t="s">
        <v>5691</v>
      </c>
      <c r="C268" t="s">
        <v>74</v>
      </c>
      <c r="D268" t="s">
        <v>1651</v>
      </c>
      <c r="E268" t="s">
        <v>74</v>
      </c>
      <c r="F268" t="s">
        <v>5692</v>
      </c>
      <c r="G268" t="s">
        <v>74</v>
      </c>
      <c r="H268" t="s">
        <v>74</v>
      </c>
      <c r="I268" t="s">
        <v>5693</v>
      </c>
      <c r="J268" t="s">
        <v>5694</v>
      </c>
      <c r="K268" t="s">
        <v>1655</v>
      </c>
      <c r="L268" t="s">
        <v>74</v>
      </c>
      <c r="M268" t="s">
        <v>78</v>
      </c>
      <c r="N268" t="s">
        <v>115</v>
      </c>
      <c r="O268" t="s">
        <v>5695</v>
      </c>
      <c r="P268" t="s">
        <v>5696</v>
      </c>
      <c r="Q268" t="s">
        <v>1658</v>
      </c>
      <c r="R268" t="s">
        <v>74</v>
      </c>
      <c r="S268" t="s">
        <v>74</v>
      </c>
      <c r="T268" t="s">
        <v>5697</v>
      </c>
      <c r="U268" t="s">
        <v>74</v>
      </c>
      <c r="V268" t="s">
        <v>5698</v>
      </c>
      <c r="W268" t="s">
        <v>5699</v>
      </c>
      <c r="X268" t="s">
        <v>3703</v>
      </c>
      <c r="Y268" t="s">
        <v>5700</v>
      </c>
      <c r="Z268" t="s">
        <v>74</v>
      </c>
      <c r="AA268" t="s">
        <v>74</v>
      </c>
      <c r="AB268" t="s">
        <v>5701</v>
      </c>
      <c r="AC268" t="s">
        <v>74</v>
      </c>
      <c r="AD268" t="s">
        <v>74</v>
      </c>
      <c r="AE268" t="s">
        <v>74</v>
      </c>
      <c r="AF268" t="s">
        <v>74</v>
      </c>
      <c r="AG268">
        <v>28</v>
      </c>
      <c r="AH268">
        <v>2</v>
      </c>
      <c r="AI268">
        <v>3</v>
      </c>
      <c r="AJ268">
        <v>0</v>
      </c>
      <c r="AK268">
        <v>4</v>
      </c>
      <c r="AL268" t="s">
        <v>1668</v>
      </c>
      <c r="AM268" t="s">
        <v>1669</v>
      </c>
      <c r="AN268" t="s">
        <v>1670</v>
      </c>
      <c r="AO268" t="s">
        <v>1671</v>
      </c>
      <c r="AP268" t="s">
        <v>74</v>
      </c>
      <c r="AQ268" t="s">
        <v>5702</v>
      </c>
      <c r="AR268" t="s">
        <v>1673</v>
      </c>
      <c r="AS268" t="s">
        <v>74</v>
      </c>
      <c r="AT268" t="s">
        <v>74</v>
      </c>
      <c r="AU268">
        <v>2014</v>
      </c>
      <c r="AV268" t="s">
        <v>74</v>
      </c>
      <c r="AW268" t="s">
        <v>74</v>
      </c>
      <c r="AX268" t="s">
        <v>74</v>
      </c>
      <c r="AY268" t="s">
        <v>74</v>
      </c>
      <c r="AZ268" t="s">
        <v>74</v>
      </c>
      <c r="BA268" t="s">
        <v>74</v>
      </c>
      <c r="BB268">
        <v>431</v>
      </c>
      <c r="BC268">
        <v>437</v>
      </c>
      <c r="BD268" t="s">
        <v>74</v>
      </c>
      <c r="BE268" t="s">
        <v>74</v>
      </c>
      <c r="BF268" t="s">
        <v>74</v>
      </c>
      <c r="BG268" t="s">
        <v>74</v>
      </c>
      <c r="BH268" t="s">
        <v>74</v>
      </c>
      <c r="BI268">
        <v>7</v>
      </c>
      <c r="BJ268" t="s">
        <v>318</v>
      </c>
      <c r="BK268" t="s">
        <v>1042</v>
      </c>
      <c r="BL268" t="s">
        <v>318</v>
      </c>
      <c r="BM268" t="s">
        <v>5703</v>
      </c>
      <c r="BN268" t="s">
        <v>74</v>
      </c>
      <c r="BO268" t="s">
        <v>74</v>
      </c>
      <c r="BP268" t="s">
        <v>74</v>
      </c>
      <c r="BQ268" t="s">
        <v>74</v>
      </c>
      <c r="BR268" t="s">
        <v>106</v>
      </c>
      <c r="BS268" t="s">
        <v>5704</v>
      </c>
      <c r="BT268" t="str">
        <f>HYPERLINK("https%3A%2F%2Fwww.webofscience.com%2Fwos%2Fwoscc%2Ffull-record%2FWOS:000367082900061","View Full Record in Web of Science")</f>
        <v>View Full Record in Web of Science</v>
      </c>
    </row>
    <row r="269" spans="1:72" x14ac:dyDescent="0.25">
      <c r="A269" t="s">
        <v>72</v>
      </c>
      <c r="B269" t="s">
        <v>5705</v>
      </c>
      <c r="C269" t="s">
        <v>74</v>
      </c>
      <c r="D269" t="s">
        <v>74</v>
      </c>
      <c r="E269" t="s">
        <v>74</v>
      </c>
      <c r="F269" t="s">
        <v>5706</v>
      </c>
      <c r="G269" t="s">
        <v>74</v>
      </c>
      <c r="H269" t="s">
        <v>74</v>
      </c>
      <c r="I269" t="s">
        <v>5707</v>
      </c>
      <c r="J269" t="s">
        <v>5708</v>
      </c>
      <c r="K269" t="s">
        <v>74</v>
      </c>
      <c r="L269" t="s">
        <v>74</v>
      </c>
      <c r="M269" t="s">
        <v>78</v>
      </c>
      <c r="N269" t="s">
        <v>79</v>
      </c>
      <c r="O269" t="s">
        <v>74</v>
      </c>
      <c r="P269" t="s">
        <v>74</v>
      </c>
      <c r="Q269" t="s">
        <v>74</v>
      </c>
      <c r="R269" t="s">
        <v>74</v>
      </c>
      <c r="S269" t="s">
        <v>74</v>
      </c>
      <c r="T269" t="s">
        <v>5709</v>
      </c>
      <c r="U269" t="s">
        <v>5710</v>
      </c>
      <c r="V269" t="s">
        <v>5711</v>
      </c>
      <c r="W269" t="s">
        <v>5712</v>
      </c>
      <c r="X269" t="s">
        <v>5713</v>
      </c>
      <c r="Y269" t="s">
        <v>5714</v>
      </c>
      <c r="Z269" t="s">
        <v>5715</v>
      </c>
      <c r="AA269" t="s">
        <v>5716</v>
      </c>
      <c r="AB269" t="s">
        <v>5717</v>
      </c>
      <c r="AC269" t="s">
        <v>74</v>
      </c>
      <c r="AD269" t="s">
        <v>74</v>
      </c>
      <c r="AE269" t="s">
        <v>74</v>
      </c>
      <c r="AF269" t="s">
        <v>74</v>
      </c>
      <c r="AG269">
        <v>62</v>
      </c>
      <c r="AH269">
        <v>9</v>
      </c>
      <c r="AI269">
        <v>10</v>
      </c>
      <c r="AJ269">
        <v>2</v>
      </c>
      <c r="AK269">
        <v>16</v>
      </c>
      <c r="AL269" t="s">
        <v>1097</v>
      </c>
      <c r="AM269" t="s">
        <v>1098</v>
      </c>
      <c r="AN269" t="s">
        <v>1099</v>
      </c>
      <c r="AO269" t="s">
        <v>5718</v>
      </c>
      <c r="AP269" t="s">
        <v>5719</v>
      </c>
      <c r="AQ269" t="s">
        <v>74</v>
      </c>
      <c r="AR269" t="s">
        <v>5720</v>
      </c>
      <c r="AS269" t="s">
        <v>5721</v>
      </c>
      <c r="AT269" t="s">
        <v>1278</v>
      </c>
      <c r="AU269">
        <v>2021</v>
      </c>
      <c r="AV269">
        <v>12</v>
      </c>
      <c r="AW269">
        <v>1</v>
      </c>
      <c r="AX269" t="s">
        <v>74</v>
      </c>
      <c r="AY269" t="s">
        <v>74</v>
      </c>
      <c r="AZ269" t="s">
        <v>247</v>
      </c>
      <c r="BA269" t="s">
        <v>74</v>
      </c>
      <c r="BB269">
        <v>1363</v>
      </c>
      <c r="BC269">
        <v>1386</v>
      </c>
      <c r="BD269" t="s">
        <v>74</v>
      </c>
      <c r="BE269" t="s">
        <v>5722</v>
      </c>
      <c r="BF269" t="str">
        <f>HYPERLINK("http://dx.doi.org/10.1007/s12652-020-02202-9","http://dx.doi.org/10.1007/s12652-020-02202-9")</f>
        <v>http://dx.doi.org/10.1007/s12652-020-02202-9</v>
      </c>
      <c r="BG269" t="s">
        <v>74</v>
      </c>
      <c r="BH269" t="s">
        <v>5723</v>
      </c>
      <c r="BI269">
        <v>24</v>
      </c>
      <c r="BJ269" t="s">
        <v>5724</v>
      </c>
      <c r="BK269" t="s">
        <v>902</v>
      </c>
      <c r="BL269" t="s">
        <v>2422</v>
      </c>
      <c r="BM269" t="s">
        <v>5725</v>
      </c>
      <c r="BN269" t="s">
        <v>74</v>
      </c>
      <c r="BO269" t="s">
        <v>74</v>
      </c>
      <c r="BP269" t="s">
        <v>74</v>
      </c>
      <c r="BQ269" t="s">
        <v>74</v>
      </c>
      <c r="BR269" t="s">
        <v>106</v>
      </c>
      <c r="BS269" t="s">
        <v>5726</v>
      </c>
      <c r="BT269" t="str">
        <f>HYPERLINK("https%3A%2F%2Fwww.webofscience.com%2Fwos%2Fwoscc%2Ffull-record%2FWOS:000541057700004","View Full Record in Web of Science")</f>
        <v>View Full Record in Web of Science</v>
      </c>
    </row>
    <row r="270" spans="1:72" x14ac:dyDescent="0.25">
      <c r="A270" t="s">
        <v>108</v>
      </c>
      <c r="B270" t="s">
        <v>5691</v>
      </c>
      <c r="C270" t="s">
        <v>74</v>
      </c>
      <c r="D270" t="s">
        <v>1651</v>
      </c>
      <c r="E270" t="s">
        <v>74</v>
      </c>
      <c r="F270" t="s">
        <v>5727</v>
      </c>
      <c r="G270" t="s">
        <v>74</v>
      </c>
      <c r="H270" t="s">
        <v>74</v>
      </c>
      <c r="I270" t="s">
        <v>5728</v>
      </c>
      <c r="J270" t="s">
        <v>5729</v>
      </c>
      <c r="K270" t="s">
        <v>5730</v>
      </c>
      <c r="L270" t="s">
        <v>74</v>
      </c>
      <c r="M270" t="s">
        <v>78</v>
      </c>
      <c r="N270" t="s">
        <v>115</v>
      </c>
      <c r="O270" t="s">
        <v>5731</v>
      </c>
      <c r="P270" t="s">
        <v>5732</v>
      </c>
      <c r="Q270" t="s">
        <v>5733</v>
      </c>
      <c r="R270" t="s">
        <v>74</v>
      </c>
      <c r="S270" t="s">
        <v>74</v>
      </c>
      <c r="T270" t="s">
        <v>5734</v>
      </c>
      <c r="U270" t="s">
        <v>74</v>
      </c>
      <c r="V270" t="s">
        <v>5735</v>
      </c>
      <c r="W270" t="s">
        <v>5736</v>
      </c>
      <c r="X270" t="s">
        <v>3703</v>
      </c>
      <c r="Y270" t="s">
        <v>5700</v>
      </c>
      <c r="Z270" t="s">
        <v>74</v>
      </c>
      <c r="AA270" t="s">
        <v>74</v>
      </c>
      <c r="AB270" t="s">
        <v>74</v>
      </c>
      <c r="AC270" t="s">
        <v>74</v>
      </c>
      <c r="AD270" t="s">
        <v>74</v>
      </c>
      <c r="AE270" t="s">
        <v>74</v>
      </c>
      <c r="AF270" t="s">
        <v>74</v>
      </c>
      <c r="AG270">
        <v>45</v>
      </c>
      <c r="AH270">
        <v>0</v>
      </c>
      <c r="AI270">
        <v>0</v>
      </c>
      <c r="AJ270">
        <v>0</v>
      </c>
      <c r="AK270">
        <v>8</v>
      </c>
      <c r="AL270" t="s">
        <v>1668</v>
      </c>
      <c r="AM270" t="s">
        <v>1669</v>
      </c>
      <c r="AN270" t="s">
        <v>1670</v>
      </c>
      <c r="AO270" t="s">
        <v>5737</v>
      </c>
      <c r="AP270" t="s">
        <v>74</v>
      </c>
      <c r="AQ270" t="s">
        <v>5738</v>
      </c>
      <c r="AR270" t="s">
        <v>5739</v>
      </c>
      <c r="AS270" t="s">
        <v>74</v>
      </c>
      <c r="AT270" t="s">
        <v>74</v>
      </c>
      <c r="AU270">
        <v>2016</v>
      </c>
      <c r="AV270" t="s">
        <v>74</v>
      </c>
      <c r="AW270" t="s">
        <v>74</v>
      </c>
      <c r="AX270" t="s">
        <v>74</v>
      </c>
      <c r="AY270" t="s">
        <v>74</v>
      </c>
      <c r="AZ270" t="s">
        <v>74</v>
      </c>
      <c r="BA270" t="s">
        <v>74</v>
      </c>
      <c r="BB270">
        <v>7303</v>
      </c>
      <c r="BC270">
        <v>7310</v>
      </c>
      <c r="BD270" t="s">
        <v>74</v>
      </c>
      <c r="BE270" t="s">
        <v>74</v>
      </c>
      <c r="BF270" t="s">
        <v>74</v>
      </c>
      <c r="BG270" t="s">
        <v>74</v>
      </c>
      <c r="BH270" t="s">
        <v>74</v>
      </c>
      <c r="BI270">
        <v>8</v>
      </c>
      <c r="BJ270" t="s">
        <v>5740</v>
      </c>
      <c r="BK270" t="s">
        <v>138</v>
      </c>
      <c r="BL270" t="s">
        <v>318</v>
      </c>
      <c r="BM270" t="s">
        <v>5741</v>
      </c>
      <c r="BN270" t="s">
        <v>74</v>
      </c>
      <c r="BO270" t="s">
        <v>74</v>
      </c>
      <c r="BP270" t="s">
        <v>74</v>
      </c>
      <c r="BQ270" t="s">
        <v>74</v>
      </c>
      <c r="BR270" t="s">
        <v>106</v>
      </c>
      <c r="BS270" t="s">
        <v>5742</v>
      </c>
      <c r="BT270" t="str">
        <f>HYPERLINK("https%3A%2F%2Fwww.webofscience.com%2Fwos%2Fwoscc%2Ffull-record%2FWOS:000402738407044","View Full Record in Web of Science")</f>
        <v>View Full Record in Web of Science</v>
      </c>
    </row>
    <row r="271" spans="1:72" x14ac:dyDescent="0.25">
      <c r="A271" t="s">
        <v>72</v>
      </c>
      <c r="B271" t="s">
        <v>5743</v>
      </c>
      <c r="C271" t="s">
        <v>74</v>
      </c>
      <c r="D271" t="s">
        <v>74</v>
      </c>
      <c r="E271" t="s">
        <v>74</v>
      </c>
      <c r="F271" t="s">
        <v>5744</v>
      </c>
      <c r="G271" t="s">
        <v>74</v>
      </c>
      <c r="H271" t="s">
        <v>74</v>
      </c>
      <c r="I271" t="s">
        <v>5745</v>
      </c>
      <c r="J271" t="s">
        <v>5746</v>
      </c>
      <c r="K271" t="s">
        <v>74</v>
      </c>
      <c r="L271" t="s">
        <v>74</v>
      </c>
      <c r="M271" t="s">
        <v>78</v>
      </c>
      <c r="N271" t="s">
        <v>79</v>
      </c>
      <c r="O271" t="s">
        <v>74</v>
      </c>
      <c r="P271" t="s">
        <v>74</v>
      </c>
      <c r="Q271" t="s">
        <v>74</v>
      </c>
      <c r="R271" t="s">
        <v>74</v>
      </c>
      <c r="S271" t="s">
        <v>74</v>
      </c>
      <c r="T271" t="s">
        <v>74</v>
      </c>
      <c r="U271" t="s">
        <v>2889</v>
      </c>
      <c r="V271" t="s">
        <v>5747</v>
      </c>
      <c r="W271" t="s">
        <v>5748</v>
      </c>
      <c r="X271" t="s">
        <v>5749</v>
      </c>
      <c r="Y271" t="s">
        <v>5750</v>
      </c>
      <c r="Z271" t="s">
        <v>5751</v>
      </c>
      <c r="AA271" t="s">
        <v>5752</v>
      </c>
      <c r="AB271" t="s">
        <v>5753</v>
      </c>
      <c r="AC271" t="s">
        <v>74</v>
      </c>
      <c r="AD271" t="s">
        <v>74</v>
      </c>
      <c r="AE271" t="s">
        <v>74</v>
      </c>
      <c r="AF271" t="s">
        <v>74</v>
      </c>
      <c r="AG271">
        <v>15</v>
      </c>
      <c r="AH271">
        <v>3</v>
      </c>
      <c r="AI271">
        <v>3</v>
      </c>
      <c r="AJ271">
        <v>0</v>
      </c>
      <c r="AK271">
        <v>0</v>
      </c>
      <c r="AL271" t="s">
        <v>631</v>
      </c>
      <c r="AM271" t="s">
        <v>632</v>
      </c>
      <c r="AN271" t="s">
        <v>633</v>
      </c>
      <c r="AO271" t="s">
        <v>5754</v>
      </c>
      <c r="AP271" t="s">
        <v>5755</v>
      </c>
      <c r="AQ271" t="s">
        <v>74</v>
      </c>
      <c r="AR271" t="s">
        <v>5756</v>
      </c>
      <c r="AS271" t="s">
        <v>5757</v>
      </c>
      <c r="AT271" t="s">
        <v>223</v>
      </c>
      <c r="AU271">
        <v>2025</v>
      </c>
      <c r="AV271">
        <v>77</v>
      </c>
      <c r="AW271">
        <v>3</v>
      </c>
      <c r="AX271" t="s">
        <v>74</v>
      </c>
      <c r="AY271" t="s">
        <v>74</v>
      </c>
      <c r="AZ271" t="s">
        <v>74</v>
      </c>
      <c r="BA271" t="s">
        <v>74</v>
      </c>
      <c r="BB271">
        <v>330</v>
      </c>
      <c r="BC271">
        <v>336</v>
      </c>
      <c r="BD271" t="s">
        <v>74</v>
      </c>
      <c r="BE271" t="s">
        <v>5758</v>
      </c>
      <c r="BF271" t="str">
        <f>HYPERLINK("http://dx.doi.org/10.1002/acr.25203","http://dx.doi.org/10.1002/acr.25203")</f>
        <v>http://dx.doi.org/10.1002/acr.25203</v>
      </c>
      <c r="BG271" t="s">
        <v>74</v>
      </c>
      <c r="BH271" t="s">
        <v>5759</v>
      </c>
      <c r="BI271">
        <v>7</v>
      </c>
      <c r="BJ271" t="s">
        <v>5760</v>
      </c>
      <c r="BK271" t="s">
        <v>902</v>
      </c>
      <c r="BL271" t="s">
        <v>5760</v>
      </c>
      <c r="BM271" t="s">
        <v>5761</v>
      </c>
      <c r="BN271">
        <v>37489092</v>
      </c>
      <c r="BO271" t="s">
        <v>205</v>
      </c>
      <c r="BP271" t="s">
        <v>74</v>
      </c>
      <c r="BQ271" t="s">
        <v>74</v>
      </c>
      <c r="BR271" t="s">
        <v>106</v>
      </c>
      <c r="BS271" t="s">
        <v>5762</v>
      </c>
      <c r="BT271" t="str">
        <f>HYPERLINK("https%3A%2F%2Fwww.webofscience.com%2Fwos%2Fwoscc%2Ffull-record%2FWOS:001074050200001","View Full Record in Web of Science")</f>
        <v>View Full Record in Web of Science</v>
      </c>
    </row>
    <row r="272" spans="1:72" x14ac:dyDescent="0.25">
      <c r="A272" t="s">
        <v>72</v>
      </c>
      <c r="B272" t="s">
        <v>5763</v>
      </c>
      <c r="C272" t="s">
        <v>74</v>
      </c>
      <c r="D272" t="s">
        <v>74</v>
      </c>
      <c r="E272" t="s">
        <v>74</v>
      </c>
      <c r="F272" t="s">
        <v>5764</v>
      </c>
      <c r="G272" t="s">
        <v>74</v>
      </c>
      <c r="H272" t="s">
        <v>74</v>
      </c>
      <c r="I272" t="s">
        <v>5765</v>
      </c>
      <c r="J272" t="s">
        <v>5708</v>
      </c>
      <c r="K272" t="s">
        <v>74</v>
      </c>
      <c r="L272" t="s">
        <v>74</v>
      </c>
      <c r="M272" t="s">
        <v>78</v>
      </c>
      <c r="N272" t="s">
        <v>79</v>
      </c>
      <c r="O272" t="s">
        <v>74</v>
      </c>
      <c r="P272" t="s">
        <v>74</v>
      </c>
      <c r="Q272" t="s">
        <v>74</v>
      </c>
      <c r="R272" t="s">
        <v>74</v>
      </c>
      <c r="S272" t="s">
        <v>74</v>
      </c>
      <c r="T272" t="s">
        <v>5766</v>
      </c>
      <c r="U272" t="s">
        <v>74</v>
      </c>
      <c r="V272" t="s">
        <v>5767</v>
      </c>
      <c r="W272" t="s">
        <v>5768</v>
      </c>
      <c r="X272" t="s">
        <v>5769</v>
      </c>
      <c r="Y272" t="s">
        <v>5770</v>
      </c>
      <c r="Z272" t="s">
        <v>5771</v>
      </c>
      <c r="AA272" t="s">
        <v>74</v>
      </c>
      <c r="AB272" t="s">
        <v>5772</v>
      </c>
      <c r="AC272" t="s">
        <v>5773</v>
      </c>
      <c r="AD272" t="s">
        <v>5774</v>
      </c>
      <c r="AE272" t="s">
        <v>5775</v>
      </c>
      <c r="AF272" t="s">
        <v>74</v>
      </c>
      <c r="AG272">
        <v>17</v>
      </c>
      <c r="AH272">
        <v>12</v>
      </c>
      <c r="AI272">
        <v>18</v>
      </c>
      <c r="AJ272">
        <v>0</v>
      </c>
      <c r="AK272">
        <v>24</v>
      </c>
      <c r="AL272" t="s">
        <v>1097</v>
      </c>
      <c r="AM272" t="s">
        <v>1098</v>
      </c>
      <c r="AN272" t="s">
        <v>1099</v>
      </c>
      <c r="AO272" t="s">
        <v>5718</v>
      </c>
      <c r="AP272" t="s">
        <v>5719</v>
      </c>
      <c r="AQ272" t="s">
        <v>74</v>
      </c>
      <c r="AR272" t="s">
        <v>5720</v>
      </c>
      <c r="AS272" t="s">
        <v>5721</v>
      </c>
      <c r="AT272" t="s">
        <v>1950</v>
      </c>
      <c r="AU272">
        <v>2014</v>
      </c>
      <c r="AV272">
        <v>5</v>
      </c>
      <c r="AW272">
        <v>1</v>
      </c>
      <c r="AX272" t="s">
        <v>74</v>
      </c>
      <c r="AY272" t="s">
        <v>74</v>
      </c>
      <c r="AZ272" t="s">
        <v>74</v>
      </c>
      <c r="BA272" t="s">
        <v>74</v>
      </c>
      <c r="BB272">
        <v>51</v>
      </c>
      <c r="BC272">
        <v>63</v>
      </c>
      <c r="BD272" t="s">
        <v>74</v>
      </c>
      <c r="BE272" t="s">
        <v>5776</v>
      </c>
      <c r="BF272" t="str">
        <f>HYPERLINK("http://dx.doi.org/10.1007/s12652-012-0121-3","http://dx.doi.org/10.1007/s12652-012-0121-3")</f>
        <v>http://dx.doi.org/10.1007/s12652-012-0121-3</v>
      </c>
      <c r="BG272" t="s">
        <v>74</v>
      </c>
      <c r="BH272" t="s">
        <v>74</v>
      </c>
      <c r="BI272">
        <v>13</v>
      </c>
      <c r="BJ272" t="s">
        <v>5724</v>
      </c>
      <c r="BK272" t="s">
        <v>902</v>
      </c>
      <c r="BL272" t="s">
        <v>2422</v>
      </c>
      <c r="BM272" t="s">
        <v>5777</v>
      </c>
      <c r="BN272" t="s">
        <v>74</v>
      </c>
      <c r="BO272" t="s">
        <v>74</v>
      </c>
      <c r="BP272" t="s">
        <v>74</v>
      </c>
      <c r="BQ272" t="s">
        <v>74</v>
      </c>
      <c r="BR272" t="s">
        <v>106</v>
      </c>
      <c r="BS272" t="s">
        <v>5778</v>
      </c>
      <c r="BT272" t="str">
        <f>HYPERLINK("https%3A%2F%2Fwww.webofscience.com%2Fwos%2Fwoscc%2Ffull-record%2FWOS:000351238800005","View Full Record in Web of Science")</f>
        <v>View Full Record in Web of Science</v>
      </c>
    </row>
    <row r="273" spans="1:72" x14ac:dyDescent="0.25">
      <c r="A273" t="s">
        <v>72</v>
      </c>
      <c r="B273" t="s">
        <v>5779</v>
      </c>
      <c r="C273" t="s">
        <v>74</v>
      </c>
      <c r="D273" t="s">
        <v>74</v>
      </c>
      <c r="E273" t="s">
        <v>74</v>
      </c>
      <c r="F273" t="s">
        <v>5780</v>
      </c>
      <c r="G273" t="s">
        <v>74</v>
      </c>
      <c r="H273" t="s">
        <v>74</v>
      </c>
      <c r="I273" t="s">
        <v>5781</v>
      </c>
      <c r="J273" t="s">
        <v>5782</v>
      </c>
      <c r="K273" t="s">
        <v>74</v>
      </c>
      <c r="L273" t="s">
        <v>74</v>
      </c>
      <c r="M273" t="s">
        <v>78</v>
      </c>
      <c r="N273" t="s">
        <v>79</v>
      </c>
      <c r="O273" t="s">
        <v>74</v>
      </c>
      <c r="P273" t="s">
        <v>74</v>
      </c>
      <c r="Q273" t="s">
        <v>74</v>
      </c>
      <c r="R273" t="s">
        <v>74</v>
      </c>
      <c r="S273" t="s">
        <v>74</v>
      </c>
      <c r="T273" t="s">
        <v>5783</v>
      </c>
      <c r="U273" t="s">
        <v>74</v>
      </c>
      <c r="V273" t="s">
        <v>5784</v>
      </c>
      <c r="W273" t="s">
        <v>5785</v>
      </c>
      <c r="X273" t="s">
        <v>74</v>
      </c>
      <c r="Y273" t="s">
        <v>5786</v>
      </c>
      <c r="Z273" t="s">
        <v>5787</v>
      </c>
      <c r="AA273" t="s">
        <v>74</v>
      </c>
      <c r="AB273" t="s">
        <v>74</v>
      </c>
      <c r="AC273" t="s">
        <v>74</v>
      </c>
      <c r="AD273" t="s">
        <v>74</v>
      </c>
      <c r="AE273" t="s">
        <v>74</v>
      </c>
      <c r="AF273" t="s">
        <v>74</v>
      </c>
      <c r="AG273">
        <v>27</v>
      </c>
      <c r="AH273">
        <v>0</v>
      </c>
      <c r="AI273">
        <v>0</v>
      </c>
      <c r="AJ273">
        <v>0</v>
      </c>
      <c r="AK273">
        <v>0</v>
      </c>
      <c r="AL273" t="s">
        <v>5788</v>
      </c>
      <c r="AM273" t="s">
        <v>5789</v>
      </c>
      <c r="AN273" t="s">
        <v>5790</v>
      </c>
      <c r="AO273" t="s">
        <v>5791</v>
      </c>
      <c r="AP273" t="s">
        <v>5792</v>
      </c>
      <c r="AQ273" t="s">
        <v>74</v>
      </c>
      <c r="AR273" t="s">
        <v>5793</v>
      </c>
      <c r="AS273" t="s">
        <v>5794</v>
      </c>
      <c r="AT273" t="s">
        <v>74</v>
      </c>
      <c r="AU273">
        <v>2026</v>
      </c>
      <c r="AV273">
        <v>18</v>
      </c>
      <c r="AW273">
        <v>1</v>
      </c>
      <c r="AX273" t="s">
        <v>74</v>
      </c>
      <c r="AY273" t="s">
        <v>74</v>
      </c>
      <c r="AZ273" t="s">
        <v>74</v>
      </c>
      <c r="BA273" t="s">
        <v>74</v>
      </c>
      <c r="BB273">
        <v>293</v>
      </c>
      <c r="BC273">
        <v>305</v>
      </c>
      <c r="BD273" t="s">
        <v>74</v>
      </c>
      <c r="BE273" t="s">
        <v>5795</v>
      </c>
      <c r="BF273" t="str">
        <f>HYPERLINK("http://dx.doi.org/10.30880/jtet.2026.18.01.020","http://dx.doi.org/10.30880/jtet.2026.18.01.020")</f>
        <v>http://dx.doi.org/10.30880/jtet.2026.18.01.020</v>
      </c>
      <c r="BG273" t="s">
        <v>74</v>
      </c>
      <c r="BH273" t="s">
        <v>74</v>
      </c>
      <c r="BI273">
        <v>13</v>
      </c>
      <c r="BJ273" t="s">
        <v>318</v>
      </c>
      <c r="BK273" t="s">
        <v>102</v>
      </c>
      <c r="BL273" t="s">
        <v>318</v>
      </c>
      <c r="BM273" t="s">
        <v>5796</v>
      </c>
      <c r="BN273" t="s">
        <v>74</v>
      </c>
      <c r="BO273" t="s">
        <v>372</v>
      </c>
      <c r="BP273" t="s">
        <v>74</v>
      </c>
      <c r="BQ273" t="s">
        <v>74</v>
      </c>
      <c r="BR273" t="s">
        <v>106</v>
      </c>
      <c r="BS273" t="s">
        <v>5797</v>
      </c>
      <c r="BT273" t="str">
        <f>HYPERLINK("https%3A%2F%2Fwww.webofscience.com%2Fwos%2Fwoscc%2Ffull-record%2FWOS:001812433500016","View Full Record in Web of Science")</f>
        <v>View Full Record in Web of Science</v>
      </c>
    </row>
    <row r="274" spans="1:72" x14ac:dyDescent="0.25">
      <c r="A274" t="s">
        <v>72</v>
      </c>
      <c r="B274" t="s">
        <v>5798</v>
      </c>
      <c r="C274" t="s">
        <v>74</v>
      </c>
      <c r="D274" t="s">
        <v>74</v>
      </c>
      <c r="E274" t="s">
        <v>74</v>
      </c>
      <c r="F274" t="s">
        <v>5799</v>
      </c>
      <c r="G274" t="s">
        <v>74</v>
      </c>
      <c r="H274" t="s">
        <v>74</v>
      </c>
      <c r="I274" t="s">
        <v>5800</v>
      </c>
      <c r="J274" t="s">
        <v>5801</v>
      </c>
      <c r="K274" t="s">
        <v>74</v>
      </c>
      <c r="L274" t="s">
        <v>74</v>
      </c>
      <c r="M274" t="s">
        <v>78</v>
      </c>
      <c r="N274" t="s">
        <v>79</v>
      </c>
      <c r="O274" t="s">
        <v>74</v>
      </c>
      <c r="P274" t="s">
        <v>74</v>
      </c>
      <c r="Q274" t="s">
        <v>74</v>
      </c>
      <c r="R274" t="s">
        <v>74</v>
      </c>
      <c r="S274" t="s">
        <v>74</v>
      </c>
      <c r="T274" t="s">
        <v>5802</v>
      </c>
      <c r="U274" t="s">
        <v>74</v>
      </c>
      <c r="V274" t="s">
        <v>5803</v>
      </c>
      <c r="W274" t="s">
        <v>5804</v>
      </c>
      <c r="X274" t="s">
        <v>5805</v>
      </c>
      <c r="Y274" t="s">
        <v>5806</v>
      </c>
      <c r="Z274" t="s">
        <v>5807</v>
      </c>
      <c r="AA274" t="s">
        <v>74</v>
      </c>
      <c r="AB274" t="s">
        <v>74</v>
      </c>
      <c r="AC274" t="s">
        <v>74</v>
      </c>
      <c r="AD274" t="s">
        <v>74</v>
      </c>
      <c r="AE274" t="s">
        <v>74</v>
      </c>
      <c r="AF274" t="s">
        <v>74</v>
      </c>
      <c r="AG274">
        <v>32</v>
      </c>
      <c r="AH274">
        <v>17</v>
      </c>
      <c r="AI274">
        <v>26</v>
      </c>
      <c r="AJ274">
        <v>1</v>
      </c>
      <c r="AK274">
        <v>35</v>
      </c>
      <c r="AL274" t="s">
        <v>178</v>
      </c>
      <c r="AM274" t="s">
        <v>1005</v>
      </c>
      <c r="AN274" t="s">
        <v>1006</v>
      </c>
      <c r="AO274" t="s">
        <v>5808</v>
      </c>
      <c r="AP274" t="s">
        <v>5809</v>
      </c>
      <c r="AQ274" t="s">
        <v>74</v>
      </c>
      <c r="AR274" t="s">
        <v>5810</v>
      </c>
      <c r="AS274" t="s">
        <v>5811</v>
      </c>
      <c r="AT274" t="s">
        <v>368</v>
      </c>
      <c r="AU274">
        <v>2016</v>
      </c>
      <c r="AV274">
        <v>26</v>
      </c>
      <c r="AW274">
        <v>2</v>
      </c>
      <c r="AX274" t="s">
        <v>74</v>
      </c>
      <c r="AY274" t="s">
        <v>74</v>
      </c>
      <c r="AZ274" t="s">
        <v>74</v>
      </c>
      <c r="BA274" t="s">
        <v>74</v>
      </c>
      <c r="BB274">
        <v>205</v>
      </c>
      <c r="BC274">
        <v>224</v>
      </c>
      <c r="BD274" t="s">
        <v>74</v>
      </c>
      <c r="BE274" t="s">
        <v>5812</v>
      </c>
      <c r="BF274" t="str">
        <f>HYPERLINK("http://dx.doi.org/10.1007/s10798-015-9310-7","http://dx.doi.org/10.1007/s10798-015-9310-7")</f>
        <v>http://dx.doi.org/10.1007/s10798-015-9310-7</v>
      </c>
      <c r="BG274" t="s">
        <v>74</v>
      </c>
      <c r="BH274" t="s">
        <v>74</v>
      </c>
      <c r="BI274">
        <v>20</v>
      </c>
      <c r="BJ274" t="s">
        <v>5813</v>
      </c>
      <c r="BK274" t="s">
        <v>902</v>
      </c>
      <c r="BL274" t="s">
        <v>486</v>
      </c>
      <c r="BM274" t="s">
        <v>5814</v>
      </c>
      <c r="BN274" t="s">
        <v>74</v>
      </c>
      <c r="BO274" t="s">
        <v>74</v>
      </c>
      <c r="BP274" t="s">
        <v>74</v>
      </c>
      <c r="BQ274" t="s">
        <v>74</v>
      </c>
      <c r="BR274" t="s">
        <v>106</v>
      </c>
      <c r="BS274" t="s">
        <v>5815</v>
      </c>
      <c r="BT274" t="str">
        <f>HYPERLINK("https%3A%2F%2Fwww.webofscience.com%2Fwos%2Fwoscc%2Ffull-record%2FWOS:000376019000004","View Full Record in Web of Science")</f>
        <v>View Full Record in Web of Science</v>
      </c>
    </row>
    <row r="275" spans="1:72" x14ac:dyDescent="0.25">
      <c r="A275" t="s">
        <v>108</v>
      </c>
      <c r="B275" t="s">
        <v>5816</v>
      </c>
      <c r="C275" t="s">
        <v>74</v>
      </c>
      <c r="D275" t="s">
        <v>5817</v>
      </c>
      <c r="E275" t="s">
        <v>74</v>
      </c>
      <c r="F275" t="s">
        <v>5818</v>
      </c>
      <c r="G275" t="s">
        <v>74</v>
      </c>
      <c r="H275" t="s">
        <v>74</v>
      </c>
      <c r="I275" t="s">
        <v>5819</v>
      </c>
      <c r="J275" t="s">
        <v>5820</v>
      </c>
      <c r="K275" t="s">
        <v>114</v>
      </c>
      <c r="L275" t="s">
        <v>74</v>
      </c>
      <c r="M275" t="s">
        <v>78</v>
      </c>
      <c r="N275" t="s">
        <v>115</v>
      </c>
      <c r="O275" t="s">
        <v>5821</v>
      </c>
      <c r="P275" t="s">
        <v>5822</v>
      </c>
      <c r="Q275" t="s">
        <v>5823</v>
      </c>
      <c r="R275" t="s">
        <v>5824</v>
      </c>
      <c r="S275" t="s">
        <v>74</v>
      </c>
      <c r="T275" t="s">
        <v>5825</v>
      </c>
      <c r="U275" t="s">
        <v>74</v>
      </c>
      <c r="V275" t="s">
        <v>5826</v>
      </c>
      <c r="W275" t="s">
        <v>5827</v>
      </c>
      <c r="X275" t="s">
        <v>5828</v>
      </c>
      <c r="Y275" t="s">
        <v>5829</v>
      </c>
      <c r="Z275" t="s">
        <v>5830</v>
      </c>
      <c r="AA275" t="s">
        <v>5831</v>
      </c>
      <c r="AB275" t="s">
        <v>5832</v>
      </c>
      <c r="AC275" t="s">
        <v>74</v>
      </c>
      <c r="AD275" t="s">
        <v>74</v>
      </c>
      <c r="AE275" t="s">
        <v>74</v>
      </c>
      <c r="AF275" t="s">
        <v>74</v>
      </c>
      <c r="AG275">
        <v>8</v>
      </c>
      <c r="AH275">
        <v>0</v>
      </c>
      <c r="AI275">
        <v>0</v>
      </c>
      <c r="AJ275">
        <v>0</v>
      </c>
      <c r="AK275">
        <v>6</v>
      </c>
      <c r="AL275" t="s">
        <v>197</v>
      </c>
      <c r="AM275" t="s">
        <v>198</v>
      </c>
      <c r="AN275" t="s">
        <v>199</v>
      </c>
      <c r="AO275" t="s">
        <v>159</v>
      </c>
      <c r="AP275" t="s">
        <v>133</v>
      </c>
      <c r="AQ275" t="s">
        <v>5833</v>
      </c>
      <c r="AR275" t="s">
        <v>135</v>
      </c>
      <c r="AS275" t="s">
        <v>74</v>
      </c>
      <c r="AT275" t="s">
        <v>74</v>
      </c>
      <c r="AU275">
        <v>2016</v>
      </c>
      <c r="AV275">
        <v>9919</v>
      </c>
      <c r="AW275" t="s">
        <v>74</v>
      </c>
      <c r="AX275" t="s">
        <v>74</v>
      </c>
      <c r="AY275" t="s">
        <v>74</v>
      </c>
      <c r="AZ275" t="s">
        <v>74</v>
      </c>
      <c r="BA275" t="s">
        <v>74</v>
      </c>
      <c r="BB275">
        <v>161</v>
      </c>
      <c r="BC275">
        <v>172</v>
      </c>
      <c r="BD275" t="s">
        <v>74</v>
      </c>
      <c r="BE275" t="s">
        <v>5834</v>
      </c>
      <c r="BF275" t="str">
        <f>HYPERLINK("http://dx.doi.org/10.1007/978-3-319-47103-7_16","http://dx.doi.org/10.1007/978-3-319-47103-7_16")</f>
        <v>http://dx.doi.org/10.1007/978-3-319-47103-7_16</v>
      </c>
      <c r="BG275" t="s">
        <v>74</v>
      </c>
      <c r="BH275" t="s">
        <v>74</v>
      </c>
      <c r="BI275">
        <v>12</v>
      </c>
      <c r="BJ275" t="s">
        <v>5835</v>
      </c>
      <c r="BK275" t="s">
        <v>203</v>
      </c>
      <c r="BL275" t="s">
        <v>5836</v>
      </c>
      <c r="BM275" t="s">
        <v>5837</v>
      </c>
      <c r="BN275" t="s">
        <v>74</v>
      </c>
      <c r="BO275" t="s">
        <v>74</v>
      </c>
      <c r="BP275" t="s">
        <v>74</v>
      </c>
      <c r="BQ275" t="s">
        <v>74</v>
      </c>
      <c r="BR275" t="s">
        <v>106</v>
      </c>
      <c r="BS275" t="s">
        <v>5838</v>
      </c>
      <c r="BT275" t="str">
        <f>HYPERLINK("https%3A%2F%2Fwww.webofscience.com%2Fwos%2Fwoscc%2Ffull-record%2FWOS:000389498800016","View Full Record in Web of Science")</f>
        <v>View Full Record in Web of Science</v>
      </c>
    </row>
    <row r="276" spans="1:72" x14ac:dyDescent="0.25">
      <c r="A276" t="s">
        <v>72</v>
      </c>
      <c r="B276" t="s">
        <v>5839</v>
      </c>
      <c r="C276" t="s">
        <v>74</v>
      </c>
      <c r="D276" t="s">
        <v>74</v>
      </c>
      <c r="E276" t="s">
        <v>74</v>
      </c>
      <c r="F276" t="s">
        <v>5840</v>
      </c>
      <c r="G276" t="s">
        <v>74</v>
      </c>
      <c r="H276" t="s">
        <v>74</v>
      </c>
      <c r="I276" t="s">
        <v>5841</v>
      </c>
      <c r="J276" t="s">
        <v>5842</v>
      </c>
      <c r="K276" t="s">
        <v>74</v>
      </c>
      <c r="L276" t="s">
        <v>74</v>
      </c>
      <c r="M276" t="s">
        <v>78</v>
      </c>
      <c r="N276" t="s">
        <v>5843</v>
      </c>
      <c r="O276" t="s">
        <v>74</v>
      </c>
      <c r="P276" t="s">
        <v>74</v>
      </c>
      <c r="Q276" t="s">
        <v>74</v>
      </c>
      <c r="R276" t="s">
        <v>74</v>
      </c>
      <c r="S276" t="s">
        <v>74</v>
      </c>
      <c r="T276" t="s">
        <v>5844</v>
      </c>
      <c r="U276" t="s">
        <v>74</v>
      </c>
      <c r="V276" t="s">
        <v>5845</v>
      </c>
      <c r="W276" t="s">
        <v>5846</v>
      </c>
      <c r="X276" t="s">
        <v>5847</v>
      </c>
      <c r="Y276" t="s">
        <v>5848</v>
      </c>
      <c r="Z276" t="s">
        <v>5849</v>
      </c>
      <c r="AA276" t="s">
        <v>5850</v>
      </c>
      <c r="AB276" t="s">
        <v>5851</v>
      </c>
      <c r="AC276" t="s">
        <v>74</v>
      </c>
      <c r="AD276" t="s">
        <v>74</v>
      </c>
      <c r="AE276" t="s">
        <v>74</v>
      </c>
      <c r="AF276" t="s">
        <v>74</v>
      </c>
      <c r="AG276">
        <v>12</v>
      </c>
      <c r="AH276">
        <v>11</v>
      </c>
      <c r="AI276">
        <v>15</v>
      </c>
      <c r="AJ276">
        <v>0</v>
      </c>
      <c r="AK276">
        <v>31</v>
      </c>
      <c r="AL276" t="s">
        <v>5852</v>
      </c>
      <c r="AM276" t="s">
        <v>5853</v>
      </c>
      <c r="AN276" t="s">
        <v>5854</v>
      </c>
      <c r="AO276" t="s">
        <v>5855</v>
      </c>
      <c r="AP276" t="s">
        <v>5856</v>
      </c>
      <c r="AQ276" t="s">
        <v>74</v>
      </c>
      <c r="AR276" t="s">
        <v>5857</v>
      </c>
      <c r="AS276" t="s">
        <v>5858</v>
      </c>
      <c r="AT276" t="s">
        <v>1375</v>
      </c>
      <c r="AU276">
        <v>2021</v>
      </c>
      <c r="AV276">
        <v>44</v>
      </c>
      <c r="AW276">
        <v>3</v>
      </c>
      <c r="AX276" t="s">
        <v>74</v>
      </c>
      <c r="AY276" t="s">
        <v>74</v>
      </c>
      <c r="AZ276" t="s">
        <v>74</v>
      </c>
      <c r="BA276" t="s">
        <v>74</v>
      </c>
      <c r="BB276">
        <v>281</v>
      </c>
      <c r="BC276">
        <v>287</v>
      </c>
      <c r="BD276" t="s">
        <v>74</v>
      </c>
      <c r="BE276" t="s">
        <v>5859</v>
      </c>
      <c r="BF276" t="str">
        <f>HYPERLINK("http://dx.doi.org/10.1007/s40009-020-01007-w","http://dx.doi.org/10.1007/s40009-020-01007-w")</f>
        <v>http://dx.doi.org/10.1007/s40009-020-01007-w</v>
      </c>
      <c r="BG276" t="s">
        <v>74</v>
      </c>
      <c r="BH276" t="s">
        <v>5860</v>
      </c>
      <c r="BI276">
        <v>7</v>
      </c>
      <c r="BJ276" t="s">
        <v>5861</v>
      </c>
      <c r="BK276" t="s">
        <v>902</v>
      </c>
      <c r="BL276" t="s">
        <v>5862</v>
      </c>
      <c r="BM276" t="s">
        <v>5863</v>
      </c>
      <c r="BN276" t="s">
        <v>74</v>
      </c>
      <c r="BO276" t="s">
        <v>74</v>
      </c>
      <c r="BP276" t="s">
        <v>74</v>
      </c>
      <c r="BQ276" t="s">
        <v>74</v>
      </c>
      <c r="BR276" t="s">
        <v>106</v>
      </c>
      <c r="BS276" t="s">
        <v>5864</v>
      </c>
      <c r="BT276" t="str">
        <f>HYPERLINK("https%3A%2F%2Fwww.webofscience.com%2Fwos%2Fwoscc%2Ffull-record%2FWOS:000558797800003","View Full Record in Web of Science")</f>
        <v>View Full Record in Web of Science</v>
      </c>
    </row>
    <row r="277" spans="1:72" x14ac:dyDescent="0.25">
      <c r="A277" t="s">
        <v>108</v>
      </c>
      <c r="B277" t="s">
        <v>5865</v>
      </c>
      <c r="C277" t="s">
        <v>74</v>
      </c>
      <c r="D277" t="s">
        <v>5866</v>
      </c>
      <c r="E277" t="s">
        <v>74</v>
      </c>
      <c r="F277" t="s">
        <v>5867</v>
      </c>
      <c r="G277" t="s">
        <v>74</v>
      </c>
      <c r="H277" t="s">
        <v>74</v>
      </c>
      <c r="I277" t="s">
        <v>5868</v>
      </c>
      <c r="J277" t="s">
        <v>5869</v>
      </c>
      <c r="K277" t="s">
        <v>5870</v>
      </c>
      <c r="L277" t="s">
        <v>74</v>
      </c>
      <c r="M277" t="s">
        <v>78</v>
      </c>
      <c r="N277" t="s">
        <v>115</v>
      </c>
      <c r="O277" t="s">
        <v>5871</v>
      </c>
      <c r="P277" t="s">
        <v>5872</v>
      </c>
      <c r="Q277" t="s">
        <v>4669</v>
      </c>
      <c r="R277" t="s">
        <v>5873</v>
      </c>
      <c r="S277" t="s">
        <v>74</v>
      </c>
      <c r="T277" t="s">
        <v>74</v>
      </c>
      <c r="U277" t="s">
        <v>74</v>
      </c>
      <c r="V277" t="s">
        <v>5874</v>
      </c>
      <c r="W277" t="s">
        <v>5875</v>
      </c>
      <c r="X277" t="s">
        <v>5876</v>
      </c>
      <c r="Y277" t="s">
        <v>5877</v>
      </c>
      <c r="Z277" t="s">
        <v>5878</v>
      </c>
      <c r="AA277" t="s">
        <v>5879</v>
      </c>
      <c r="AB277" t="s">
        <v>5880</v>
      </c>
      <c r="AC277" t="s">
        <v>74</v>
      </c>
      <c r="AD277" t="s">
        <v>74</v>
      </c>
      <c r="AE277" t="s">
        <v>74</v>
      </c>
      <c r="AF277" t="s">
        <v>74</v>
      </c>
      <c r="AG277">
        <v>4</v>
      </c>
      <c r="AH277">
        <v>3</v>
      </c>
      <c r="AI277">
        <v>4</v>
      </c>
      <c r="AJ277">
        <v>0</v>
      </c>
      <c r="AK277">
        <v>3</v>
      </c>
      <c r="AL277" t="s">
        <v>465</v>
      </c>
      <c r="AM277" t="s">
        <v>92</v>
      </c>
      <c r="AN277" t="s">
        <v>480</v>
      </c>
      <c r="AO277" t="s">
        <v>5881</v>
      </c>
      <c r="AP277" t="s">
        <v>5882</v>
      </c>
      <c r="AQ277" t="s">
        <v>5883</v>
      </c>
      <c r="AR277" t="s">
        <v>5884</v>
      </c>
      <c r="AS277" t="s">
        <v>74</v>
      </c>
      <c r="AT277" t="s">
        <v>74</v>
      </c>
      <c r="AU277">
        <v>2020</v>
      </c>
      <c r="AV277" t="s">
        <v>74</v>
      </c>
      <c r="AW277" t="s">
        <v>74</v>
      </c>
      <c r="AX277" t="s">
        <v>74</v>
      </c>
      <c r="AY277" t="s">
        <v>74</v>
      </c>
      <c r="AZ277" t="s">
        <v>74</v>
      </c>
      <c r="BA277" t="s">
        <v>74</v>
      </c>
      <c r="BB277">
        <v>468</v>
      </c>
      <c r="BC277">
        <v>472</v>
      </c>
      <c r="BD277" t="s">
        <v>74</v>
      </c>
      <c r="BE277" t="s">
        <v>5885</v>
      </c>
      <c r="BF277" t="str">
        <f>HYPERLINK("http://dx.doi.org/10.1109/ASONAM49781.2020.9381445","http://dx.doi.org/10.1109/ASONAM49781.2020.9381445")</f>
        <v>http://dx.doi.org/10.1109/ASONAM49781.2020.9381445</v>
      </c>
      <c r="BG277" t="s">
        <v>74</v>
      </c>
      <c r="BH277" t="s">
        <v>74</v>
      </c>
      <c r="BI277">
        <v>5</v>
      </c>
      <c r="BJ277" t="s">
        <v>5886</v>
      </c>
      <c r="BK277" t="s">
        <v>138</v>
      </c>
      <c r="BL277" t="s">
        <v>5887</v>
      </c>
      <c r="BM277" t="s">
        <v>5888</v>
      </c>
      <c r="BN277" t="s">
        <v>74</v>
      </c>
      <c r="BO277" t="s">
        <v>74</v>
      </c>
      <c r="BP277" t="s">
        <v>74</v>
      </c>
      <c r="BQ277" t="s">
        <v>74</v>
      </c>
      <c r="BR277" t="s">
        <v>106</v>
      </c>
      <c r="BS277" t="s">
        <v>5889</v>
      </c>
      <c r="BT277" t="str">
        <f>HYPERLINK("https%3A%2F%2Fwww.webofscience.com%2Fwos%2Fwoscc%2Ffull-record%2FWOS:000678816900074","View Full Record in Web of Science")</f>
        <v>View Full Record in Web of Science</v>
      </c>
    </row>
    <row r="278" spans="1:72" x14ac:dyDescent="0.25">
      <c r="A278" t="s">
        <v>108</v>
      </c>
      <c r="B278" t="s">
        <v>5890</v>
      </c>
      <c r="C278" t="s">
        <v>74</v>
      </c>
      <c r="D278" t="s">
        <v>74</v>
      </c>
      <c r="E278" t="s">
        <v>322</v>
      </c>
      <c r="F278" t="s">
        <v>5891</v>
      </c>
      <c r="G278" t="s">
        <v>74</v>
      </c>
      <c r="H278" t="s">
        <v>74</v>
      </c>
      <c r="I278" t="s">
        <v>5892</v>
      </c>
      <c r="J278" t="s">
        <v>5893</v>
      </c>
      <c r="K278" t="s">
        <v>74</v>
      </c>
      <c r="L278" t="s">
        <v>74</v>
      </c>
      <c r="M278" t="s">
        <v>78</v>
      </c>
      <c r="N278" t="s">
        <v>115</v>
      </c>
      <c r="O278" t="s">
        <v>5894</v>
      </c>
      <c r="P278" t="s">
        <v>5895</v>
      </c>
      <c r="Q278" t="s">
        <v>5896</v>
      </c>
      <c r="R278" t="s">
        <v>5897</v>
      </c>
      <c r="S278" t="s">
        <v>74</v>
      </c>
      <c r="T278" t="s">
        <v>5898</v>
      </c>
      <c r="U278" t="s">
        <v>74</v>
      </c>
      <c r="V278" t="s">
        <v>5899</v>
      </c>
      <c r="W278" t="s">
        <v>5900</v>
      </c>
      <c r="X278" t="s">
        <v>5901</v>
      </c>
      <c r="Y278" t="s">
        <v>5902</v>
      </c>
      <c r="Z278" t="s">
        <v>5903</v>
      </c>
      <c r="AA278" t="s">
        <v>5904</v>
      </c>
      <c r="AB278" t="s">
        <v>5905</v>
      </c>
      <c r="AC278" t="s">
        <v>74</v>
      </c>
      <c r="AD278" t="s">
        <v>74</v>
      </c>
      <c r="AE278" t="s">
        <v>74</v>
      </c>
      <c r="AF278" t="s">
        <v>74</v>
      </c>
      <c r="AG278">
        <v>4</v>
      </c>
      <c r="AH278">
        <v>10</v>
      </c>
      <c r="AI278">
        <v>11</v>
      </c>
      <c r="AJ278">
        <v>0</v>
      </c>
      <c r="AK278">
        <v>4</v>
      </c>
      <c r="AL278" t="s">
        <v>291</v>
      </c>
      <c r="AM278" t="s">
        <v>92</v>
      </c>
      <c r="AN278" t="s">
        <v>292</v>
      </c>
      <c r="AO278" t="s">
        <v>74</v>
      </c>
      <c r="AP278" t="s">
        <v>74</v>
      </c>
      <c r="AQ278" t="s">
        <v>5906</v>
      </c>
      <c r="AR278" t="s">
        <v>74</v>
      </c>
      <c r="AS278" t="s">
        <v>74</v>
      </c>
      <c r="AT278" t="s">
        <v>74</v>
      </c>
      <c r="AU278">
        <v>2012</v>
      </c>
      <c r="AV278" t="s">
        <v>74</v>
      </c>
      <c r="AW278" t="s">
        <v>74</v>
      </c>
      <c r="AX278" t="s">
        <v>74</v>
      </c>
      <c r="AY278" t="s">
        <v>74</v>
      </c>
      <c r="AZ278" t="s">
        <v>74</v>
      </c>
      <c r="BA278" t="s">
        <v>74</v>
      </c>
      <c r="BB278">
        <v>447</v>
      </c>
      <c r="BC278">
        <v>449</v>
      </c>
      <c r="BD278" t="s">
        <v>74</v>
      </c>
      <c r="BE278" t="s">
        <v>74</v>
      </c>
      <c r="BF278" t="s">
        <v>74</v>
      </c>
      <c r="BG278" t="s">
        <v>74</v>
      </c>
      <c r="BH278" t="s">
        <v>74</v>
      </c>
      <c r="BI278">
        <v>3</v>
      </c>
      <c r="BJ278" t="s">
        <v>4177</v>
      </c>
      <c r="BK278" t="s">
        <v>203</v>
      </c>
      <c r="BL278" t="s">
        <v>4177</v>
      </c>
      <c r="BM278" t="s">
        <v>5907</v>
      </c>
      <c r="BN278" t="s">
        <v>74</v>
      </c>
      <c r="BO278" t="s">
        <v>74</v>
      </c>
      <c r="BP278" t="s">
        <v>74</v>
      </c>
      <c r="BQ278" t="s">
        <v>74</v>
      </c>
      <c r="BR278" t="s">
        <v>106</v>
      </c>
      <c r="BS278" t="s">
        <v>5908</v>
      </c>
      <c r="BT278" t="str">
        <f>HYPERLINK("https%3A%2F%2Fwww.webofscience.com%2Fwos%2Fwoscc%2Ffull-record%2FWOS:000332851000050","View Full Record in Web of Science")</f>
        <v>View Full Record in Web of Science</v>
      </c>
    </row>
    <row r="279" spans="1:72" x14ac:dyDescent="0.25">
      <c r="A279" t="s">
        <v>72</v>
      </c>
      <c r="B279" t="s">
        <v>5909</v>
      </c>
      <c r="C279" t="s">
        <v>74</v>
      </c>
      <c r="D279" t="s">
        <v>74</v>
      </c>
      <c r="E279" t="s">
        <v>74</v>
      </c>
      <c r="F279" t="s">
        <v>5910</v>
      </c>
      <c r="G279" t="s">
        <v>74</v>
      </c>
      <c r="H279" t="s">
        <v>74</v>
      </c>
      <c r="I279" t="s">
        <v>5911</v>
      </c>
      <c r="J279" t="s">
        <v>2335</v>
      </c>
      <c r="K279" t="s">
        <v>74</v>
      </c>
      <c r="L279" t="s">
        <v>74</v>
      </c>
      <c r="M279" t="s">
        <v>78</v>
      </c>
      <c r="N279" t="s">
        <v>79</v>
      </c>
      <c r="O279" t="s">
        <v>74</v>
      </c>
      <c r="P279" t="s">
        <v>74</v>
      </c>
      <c r="Q279" t="s">
        <v>74</v>
      </c>
      <c r="R279" t="s">
        <v>74</v>
      </c>
      <c r="S279" t="s">
        <v>74</v>
      </c>
      <c r="T279" t="s">
        <v>5912</v>
      </c>
      <c r="U279" t="s">
        <v>74</v>
      </c>
      <c r="V279" t="s">
        <v>5913</v>
      </c>
      <c r="W279" t="s">
        <v>5914</v>
      </c>
      <c r="X279" t="s">
        <v>5915</v>
      </c>
      <c r="Y279" t="s">
        <v>5916</v>
      </c>
      <c r="Z279" t="s">
        <v>5917</v>
      </c>
      <c r="AA279" t="s">
        <v>5918</v>
      </c>
      <c r="AB279" t="s">
        <v>5919</v>
      </c>
      <c r="AC279" t="s">
        <v>5920</v>
      </c>
      <c r="AD279" t="s">
        <v>5921</v>
      </c>
      <c r="AE279" t="s">
        <v>5922</v>
      </c>
      <c r="AF279" t="s">
        <v>74</v>
      </c>
      <c r="AG279">
        <v>46</v>
      </c>
      <c r="AH279">
        <v>0</v>
      </c>
      <c r="AI279">
        <v>0</v>
      </c>
      <c r="AJ279">
        <v>0</v>
      </c>
      <c r="AK279">
        <v>13</v>
      </c>
      <c r="AL279" t="s">
        <v>947</v>
      </c>
      <c r="AM279" t="s">
        <v>948</v>
      </c>
      <c r="AN279" t="s">
        <v>2346</v>
      </c>
      <c r="AO279" t="s">
        <v>2347</v>
      </c>
      <c r="AP279" t="s">
        <v>2348</v>
      </c>
      <c r="AQ279" t="s">
        <v>74</v>
      </c>
      <c r="AR279" t="s">
        <v>2349</v>
      </c>
      <c r="AS279" t="s">
        <v>2350</v>
      </c>
      <c r="AT279" t="s">
        <v>5923</v>
      </c>
      <c r="AU279">
        <v>2023</v>
      </c>
      <c r="AV279">
        <v>35</v>
      </c>
      <c r="AW279">
        <v>9</v>
      </c>
      <c r="AX279" t="s">
        <v>74</v>
      </c>
      <c r="AY279" t="s">
        <v>74</v>
      </c>
      <c r="AZ279" t="s">
        <v>74</v>
      </c>
      <c r="BA279" t="s">
        <v>74</v>
      </c>
      <c r="BB279">
        <v>9797</v>
      </c>
      <c r="BC279">
        <v>9808</v>
      </c>
      <c r="BD279" t="s">
        <v>74</v>
      </c>
      <c r="BE279" t="s">
        <v>5924</v>
      </c>
      <c r="BF279" t="str">
        <f>HYPERLINK("http://dx.doi.org/10.1109/TKDE.2023.3250822","http://dx.doi.org/10.1109/TKDE.2023.3250822")</f>
        <v>http://dx.doi.org/10.1109/TKDE.2023.3250822</v>
      </c>
      <c r="BG279" t="s">
        <v>74</v>
      </c>
      <c r="BH279" t="s">
        <v>74</v>
      </c>
      <c r="BI279">
        <v>12</v>
      </c>
      <c r="BJ279" t="s">
        <v>2353</v>
      </c>
      <c r="BK279" t="s">
        <v>902</v>
      </c>
      <c r="BL279" t="s">
        <v>953</v>
      </c>
      <c r="BM279" t="s">
        <v>5925</v>
      </c>
      <c r="BN279" t="s">
        <v>74</v>
      </c>
      <c r="BO279" t="s">
        <v>346</v>
      </c>
      <c r="BP279" t="s">
        <v>74</v>
      </c>
      <c r="BQ279" t="s">
        <v>74</v>
      </c>
      <c r="BR279" t="s">
        <v>106</v>
      </c>
      <c r="BS279" t="s">
        <v>5926</v>
      </c>
      <c r="BT279" t="str">
        <f>HYPERLINK("https%3A%2F%2Fwww.webofscience.com%2Fwos%2Fwoscc%2Ffull-record%2FWOS:001045704800079","View Full Record in Web of Science")</f>
        <v>View Full Record in Web of Science</v>
      </c>
    </row>
    <row r="280" spans="1:72" x14ac:dyDescent="0.25">
      <c r="A280" t="s">
        <v>72</v>
      </c>
      <c r="B280" t="s">
        <v>5927</v>
      </c>
      <c r="C280" t="s">
        <v>74</v>
      </c>
      <c r="D280" t="s">
        <v>74</v>
      </c>
      <c r="E280" t="s">
        <v>74</v>
      </c>
      <c r="F280" t="s">
        <v>5928</v>
      </c>
      <c r="G280" t="s">
        <v>74</v>
      </c>
      <c r="H280" t="s">
        <v>74</v>
      </c>
      <c r="I280" t="s">
        <v>5929</v>
      </c>
      <c r="J280" t="s">
        <v>5930</v>
      </c>
      <c r="K280" t="s">
        <v>74</v>
      </c>
      <c r="L280" t="s">
        <v>74</v>
      </c>
      <c r="M280" t="s">
        <v>78</v>
      </c>
      <c r="N280" t="s">
        <v>79</v>
      </c>
      <c r="O280" t="s">
        <v>74</v>
      </c>
      <c r="P280" t="s">
        <v>74</v>
      </c>
      <c r="Q280" t="s">
        <v>74</v>
      </c>
      <c r="R280" t="s">
        <v>74</v>
      </c>
      <c r="S280" t="s">
        <v>74</v>
      </c>
      <c r="T280" t="s">
        <v>5931</v>
      </c>
      <c r="U280" t="s">
        <v>74</v>
      </c>
      <c r="V280" t="s">
        <v>5932</v>
      </c>
      <c r="W280" t="s">
        <v>5933</v>
      </c>
      <c r="X280" t="s">
        <v>5934</v>
      </c>
      <c r="Y280" t="s">
        <v>5935</v>
      </c>
      <c r="Z280" t="s">
        <v>5936</v>
      </c>
      <c r="AA280" t="s">
        <v>74</v>
      </c>
      <c r="AB280" t="s">
        <v>74</v>
      </c>
      <c r="AC280" t="s">
        <v>5937</v>
      </c>
      <c r="AD280" t="s">
        <v>5938</v>
      </c>
      <c r="AE280" t="s">
        <v>5939</v>
      </c>
      <c r="AF280" t="s">
        <v>74</v>
      </c>
      <c r="AG280">
        <v>18</v>
      </c>
      <c r="AH280">
        <v>0</v>
      </c>
      <c r="AI280">
        <v>0</v>
      </c>
      <c r="AJ280">
        <v>0</v>
      </c>
      <c r="AK280">
        <v>4</v>
      </c>
      <c r="AL280" t="s">
        <v>5940</v>
      </c>
      <c r="AM280" t="s">
        <v>5941</v>
      </c>
      <c r="AN280" t="s">
        <v>5942</v>
      </c>
      <c r="AO280" t="s">
        <v>5943</v>
      </c>
      <c r="AP280" t="s">
        <v>5944</v>
      </c>
      <c r="AQ280" t="s">
        <v>74</v>
      </c>
      <c r="AR280" t="s">
        <v>5945</v>
      </c>
      <c r="AS280" t="s">
        <v>5946</v>
      </c>
      <c r="AT280" t="s">
        <v>98</v>
      </c>
      <c r="AU280">
        <v>2023</v>
      </c>
      <c r="AV280">
        <v>50</v>
      </c>
      <c r="AW280">
        <v>2</v>
      </c>
      <c r="AX280" t="s">
        <v>74</v>
      </c>
      <c r="AY280" t="s">
        <v>74</v>
      </c>
      <c r="AZ280" t="s">
        <v>74</v>
      </c>
      <c r="BA280" t="s">
        <v>74</v>
      </c>
      <c r="BB280">
        <v>488</v>
      </c>
      <c r="BC280">
        <v>504</v>
      </c>
      <c r="BD280" t="s">
        <v>74</v>
      </c>
      <c r="BE280" t="s">
        <v>5947</v>
      </c>
      <c r="BF280" t="str">
        <f>HYPERLINK("http://dx.doi.org/10.52846/ami.v50i2.1874","http://dx.doi.org/10.52846/ami.v50i2.1874")</f>
        <v>http://dx.doi.org/10.52846/ami.v50i2.1874</v>
      </c>
      <c r="BG280" t="s">
        <v>74</v>
      </c>
      <c r="BH280" t="s">
        <v>74</v>
      </c>
      <c r="BI280">
        <v>17</v>
      </c>
      <c r="BJ280" t="s">
        <v>5155</v>
      </c>
      <c r="BK280" t="s">
        <v>102</v>
      </c>
      <c r="BL280" t="s">
        <v>5155</v>
      </c>
      <c r="BM280" t="s">
        <v>5948</v>
      </c>
      <c r="BN280" t="s">
        <v>74</v>
      </c>
      <c r="BO280" t="s">
        <v>205</v>
      </c>
      <c r="BP280" t="s">
        <v>74</v>
      </c>
      <c r="BQ280" t="s">
        <v>74</v>
      </c>
      <c r="BR280" t="s">
        <v>106</v>
      </c>
      <c r="BS280" t="s">
        <v>5949</v>
      </c>
      <c r="BT280" t="str">
        <f>HYPERLINK("https%3A%2F%2Fwww.webofscience.com%2Fwos%2Fwoscc%2Ffull-record%2FWOS:001133119900005","View Full Record in Web of Science")</f>
        <v>View Full Record in Web of Science</v>
      </c>
    </row>
    <row r="281" spans="1:72" x14ac:dyDescent="0.25">
      <c r="A281" t="s">
        <v>72</v>
      </c>
      <c r="B281" t="s">
        <v>5950</v>
      </c>
      <c r="C281" t="s">
        <v>74</v>
      </c>
      <c r="D281" t="s">
        <v>74</v>
      </c>
      <c r="E281" t="s">
        <v>74</v>
      </c>
      <c r="F281" t="s">
        <v>5951</v>
      </c>
      <c r="G281" t="s">
        <v>74</v>
      </c>
      <c r="H281" t="s">
        <v>74</v>
      </c>
      <c r="I281" t="s">
        <v>5952</v>
      </c>
      <c r="J281" t="s">
        <v>5953</v>
      </c>
      <c r="K281" t="s">
        <v>74</v>
      </c>
      <c r="L281" t="s">
        <v>74</v>
      </c>
      <c r="M281" t="s">
        <v>78</v>
      </c>
      <c r="N281" t="s">
        <v>79</v>
      </c>
      <c r="O281" t="s">
        <v>74</v>
      </c>
      <c r="P281" t="s">
        <v>74</v>
      </c>
      <c r="Q281" t="s">
        <v>74</v>
      </c>
      <c r="R281" t="s">
        <v>74</v>
      </c>
      <c r="S281" t="s">
        <v>74</v>
      </c>
      <c r="T281" t="s">
        <v>5954</v>
      </c>
      <c r="U281" t="s">
        <v>5955</v>
      </c>
      <c r="V281" t="s">
        <v>5956</v>
      </c>
      <c r="W281" t="s">
        <v>5957</v>
      </c>
      <c r="X281" t="s">
        <v>5958</v>
      </c>
      <c r="Y281" t="s">
        <v>5959</v>
      </c>
      <c r="Z281" t="s">
        <v>5960</v>
      </c>
      <c r="AA281" t="s">
        <v>74</v>
      </c>
      <c r="AB281" t="s">
        <v>5961</v>
      </c>
      <c r="AC281" t="s">
        <v>74</v>
      </c>
      <c r="AD281" t="s">
        <v>74</v>
      </c>
      <c r="AE281" t="s">
        <v>74</v>
      </c>
      <c r="AF281" t="s">
        <v>74</v>
      </c>
      <c r="AG281">
        <v>22</v>
      </c>
      <c r="AH281">
        <v>33</v>
      </c>
      <c r="AI281">
        <v>40</v>
      </c>
      <c r="AJ281">
        <v>0</v>
      </c>
      <c r="AK281">
        <v>1</v>
      </c>
      <c r="AL281" t="s">
        <v>5962</v>
      </c>
      <c r="AM281" t="s">
        <v>5963</v>
      </c>
      <c r="AN281" t="s">
        <v>5964</v>
      </c>
      <c r="AO281" t="s">
        <v>5965</v>
      </c>
      <c r="AP281" t="s">
        <v>74</v>
      </c>
      <c r="AQ281" t="s">
        <v>74</v>
      </c>
      <c r="AR281" t="s">
        <v>5966</v>
      </c>
      <c r="AS281" t="s">
        <v>5967</v>
      </c>
      <c r="AT281" t="s">
        <v>74</v>
      </c>
      <c r="AU281">
        <v>2013</v>
      </c>
      <c r="AV281">
        <v>4</v>
      </c>
      <c r="AW281" t="s">
        <v>74</v>
      </c>
      <c r="AX281" t="s">
        <v>74</v>
      </c>
      <c r="AY281" t="s">
        <v>74</v>
      </c>
      <c r="AZ281" t="s">
        <v>74</v>
      </c>
      <c r="BA281" t="s">
        <v>74</v>
      </c>
      <c r="BB281">
        <v>230</v>
      </c>
      <c r="BC281">
        <v>235</v>
      </c>
      <c r="BD281" t="s">
        <v>74</v>
      </c>
      <c r="BE281" t="s">
        <v>5968</v>
      </c>
      <c r="BF281" t="str">
        <f>HYPERLINK("http://dx.doi.org/10.5116/ijme.5259.4a88","http://dx.doi.org/10.5116/ijme.5259.4a88")</f>
        <v>http://dx.doi.org/10.5116/ijme.5259.4a88</v>
      </c>
      <c r="BG281" t="s">
        <v>74</v>
      </c>
      <c r="BH281" t="s">
        <v>74</v>
      </c>
      <c r="BI281">
        <v>6</v>
      </c>
      <c r="BJ281" t="s">
        <v>2397</v>
      </c>
      <c r="BK281" t="s">
        <v>102</v>
      </c>
      <c r="BL281" t="s">
        <v>318</v>
      </c>
      <c r="BM281" t="s">
        <v>5969</v>
      </c>
      <c r="BN281" t="s">
        <v>74</v>
      </c>
      <c r="BO281" t="s">
        <v>105</v>
      </c>
      <c r="BP281" t="s">
        <v>74</v>
      </c>
      <c r="BQ281" t="s">
        <v>74</v>
      </c>
      <c r="BR281" t="s">
        <v>106</v>
      </c>
      <c r="BS281" t="s">
        <v>5970</v>
      </c>
      <c r="BT281" t="str">
        <f>HYPERLINK("https%3A%2F%2Fwww.webofscience.com%2Fwos%2Fwoscc%2Ffull-record%2FWOS:000214866700034","View Full Record in Web of Science")</f>
        <v>View Full Record in Web of Science</v>
      </c>
    </row>
    <row r="282" spans="1:72" x14ac:dyDescent="0.25">
      <c r="A282" t="s">
        <v>72</v>
      </c>
      <c r="B282" t="s">
        <v>5971</v>
      </c>
      <c r="C282" t="s">
        <v>74</v>
      </c>
      <c r="D282" t="s">
        <v>74</v>
      </c>
      <c r="E282" t="s">
        <v>74</v>
      </c>
      <c r="F282" t="s">
        <v>5972</v>
      </c>
      <c r="G282" t="s">
        <v>74</v>
      </c>
      <c r="H282" t="s">
        <v>74</v>
      </c>
      <c r="I282" t="s">
        <v>5973</v>
      </c>
      <c r="J282" t="s">
        <v>5974</v>
      </c>
      <c r="K282" t="s">
        <v>74</v>
      </c>
      <c r="L282" t="s">
        <v>74</v>
      </c>
      <c r="M282" t="s">
        <v>78</v>
      </c>
      <c r="N282" t="s">
        <v>79</v>
      </c>
      <c r="O282" t="s">
        <v>74</v>
      </c>
      <c r="P282" t="s">
        <v>74</v>
      </c>
      <c r="Q282" t="s">
        <v>74</v>
      </c>
      <c r="R282" t="s">
        <v>74</v>
      </c>
      <c r="S282" t="s">
        <v>74</v>
      </c>
      <c r="T282" t="s">
        <v>5975</v>
      </c>
      <c r="U282" t="s">
        <v>5976</v>
      </c>
      <c r="V282" t="s">
        <v>5977</v>
      </c>
      <c r="W282" t="s">
        <v>5978</v>
      </c>
      <c r="X282" t="s">
        <v>5979</v>
      </c>
      <c r="Y282" t="s">
        <v>5980</v>
      </c>
      <c r="Z282" t="s">
        <v>5981</v>
      </c>
      <c r="AA282" t="s">
        <v>5982</v>
      </c>
      <c r="AB282" t="s">
        <v>5983</v>
      </c>
      <c r="AC282" t="s">
        <v>74</v>
      </c>
      <c r="AD282" t="s">
        <v>74</v>
      </c>
      <c r="AE282" t="s">
        <v>74</v>
      </c>
      <c r="AF282" t="s">
        <v>74</v>
      </c>
      <c r="AG282">
        <v>44</v>
      </c>
      <c r="AH282">
        <v>2</v>
      </c>
      <c r="AI282">
        <v>2</v>
      </c>
      <c r="AJ282">
        <v>0</v>
      </c>
      <c r="AK282">
        <v>6</v>
      </c>
      <c r="AL282" t="s">
        <v>5984</v>
      </c>
      <c r="AM282" t="s">
        <v>5985</v>
      </c>
      <c r="AN282" t="s">
        <v>5986</v>
      </c>
      <c r="AO282" t="s">
        <v>5987</v>
      </c>
      <c r="AP282" t="s">
        <v>5988</v>
      </c>
      <c r="AQ282" t="s">
        <v>74</v>
      </c>
      <c r="AR282" t="s">
        <v>5989</v>
      </c>
      <c r="AS282" t="s">
        <v>5990</v>
      </c>
      <c r="AT282" t="s">
        <v>74</v>
      </c>
      <c r="AU282">
        <v>2020</v>
      </c>
      <c r="AV282">
        <v>19</v>
      </c>
      <c r="AW282" t="s">
        <v>5991</v>
      </c>
      <c r="AX282" t="s">
        <v>74</v>
      </c>
      <c r="AY282" t="s">
        <v>74</v>
      </c>
      <c r="AZ282" t="s">
        <v>74</v>
      </c>
      <c r="BA282" t="s">
        <v>74</v>
      </c>
      <c r="BB282">
        <v>457</v>
      </c>
      <c r="BC282">
        <v>501</v>
      </c>
      <c r="BD282" t="s">
        <v>74</v>
      </c>
      <c r="BE282" t="s">
        <v>5992</v>
      </c>
      <c r="BF282" t="str">
        <f>HYPERLINK("http://dx.doi.org/10.13052/jwe1540-9589.19345","http://dx.doi.org/10.13052/jwe1540-9589.19345")</f>
        <v>http://dx.doi.org/10.13052/jwe1540-9589.19345</v>
      </c>
      <c r="BG282" t="s">
        <v>74</v>
      </c>
      <c r="BH282" t="s">
        <v>74</v>
      </c>
      <c r="BI282">
        <v>45</v>
      </c>
      <c r="BJ282" t="s">
        <v>1190</v>
      </c>
      <c r="BK282" t="s">
        <v>745</v>
      </c>
      <c r="BL282" t="s">
        <v>103</v>
      </c>
      <c r="BM282" t="s">
        <v>5993</v>
      </c>
      <c r="BN282" t="s">
        <v>74</v>
      </c>
      <c r="BO282" t="s">
        <v>372</v>
      </c>
      <c r="BP282" t="s">
        <v>74</v>
      </c>
      <c r="BQ282" t="s">
        <v>74</v>
      </c>
      <c r="BR282" t="s">
        <v>106</v>
      </c>
      <c r="BS282" t="s">
        <v>5994</v>
      </c>
      <c r="BT282" t="str">
        <f>HYPERLINK("https%3A%2F%2Fwww.webofscience.com%2Fwos%2Fwoscc%2Ffull-record%2FWOS:000598693600003","View Full Record in Web of Science")</f>
        <v>View Full Record in Web of Science</v>
      </c>
    </row>
    <row r="283" spans="1:72" x14ac:dyDescent="0.25">
      <c r="A283" t="s">
        <v>108</v>
      </c>
      <c r="B283" t="s">
        <v>5995</v>
      </c>
      <c r="C283" t="s">
        <v>74</v>
      </c>
      <c r="D283" t="s">
        <v>5996</v>
      </c>
      <c r="E283" t="s">
        <v>74</v>
      </c>
      <c r="F283" t="s">
        <v>5997</v>
      </c>
      <c r="G283" t="s">
        <v>74</v>
      </c>
      <c r="H283" t="s">
        <v>74</v>
      </c>
      <c r="I283" t="s">
        <v>5998</v>
      </c>
      <c r="J283" t="s">
        <v>5999</v>
      </c>
      <c r="K283" t="s">
        <v>147</v>
      </c>
      <c r="L283" t="s">
        <v>74</v>
      </c>
      <c r="M283" t="s">
        <v>78</v>
      </c>
      <c r="N283" t="s">
        <v>115</v>
      </c>
      <c r="O283" t="s">
        <v>6000</v>
      </c>
      <c r="P283" t="s">
        <v>6001</v>
      </c>
      <c r="Q283" t="s">
        <v>6002</v>
      </c>
      <c r="R283" t="s">
        <v>74</v>
      </c>
      <c r="S283" t="s">
        <v>74</v>
      </c>
      <c r="T283" t="s">
        <v>6003</v>
      </c>
      <c r="U283" t="s">
        <v>6004</v>
      </c>
      <c r="V283" t="s">
        <v>6005</v>
      </c>
      <c r="W283" t="s">
        <v>6006</v>
      </c>
      <c r="X283" t="s">
        <v>6007</v>
      </c>
      <c r="Y283" t="s">
        <v>6008</v>
      </c>
      <c r="Z283" t="s">
        <v>6009</v>
      </c>
      <c r="AA283" t="s">
        <v>6010</v>
      </c>
      <c r="AB283" t="s">
        <v>6011</v>
      </c>
      <c r="AC283" t="s">
        <v>74</v>
      </c>
      <c r="AD283" t="s">
        <v>74</v>
      </c>
      <c r="AE283" t="s">
        <v>74</v>
      </c>
      <c r="AF283" t="s">
        <v>74</v>
      </c>
      <c r="AG283">
        <v>36</v>
      </c>
      <c r="AH283">
        <v>3</v>
      </c>
      <c r="AI283">
        <v>3</v>
      </c>
      <c r="AJ283">
        <v>0</v>
      </c>
      <c r="AK283">
        <v>1</v>
      </c>
      <c r="AL283" t="s">
        <v>129</v>
      </c>
      <c r="AM283" t="s">
        <v>130</v>
      </c>
      <c r="AN283" t="s">
        <v>131</v>
      </c>
      <c r="AO283" t="s">
        <v>159</v>
      </c>
      <c r="AP283" t="s">
        <v>133</v>
      </c>
      <c r="AQ283" t="s">
        <v>6012</v>
      </c>
      <c r="AR283" t="s">
        <v>161</v>
      </c>
      <c r="AS283" t="s">
        <v>74</v>
      </c>
      <c r="AT283" t="s">
        <v>74</v>
      </c>
      <c r="AU283">
        <v>2021</v>
      </c>
      <c r="AV283">
        <v>13041</v>
      </c>
      <c r="AW283" t="s">
        <v>74</v>
      </c>
      <c r="AX283" t="s">
        <v>74</v>
      </c>
      <c r="AY283" t="s">
        <v>74</v>
      </c>
      <c r="AZ283" t="s">
        <v>74</v>
      </c>
      <c r="BA283" t="s">
        <v>74</v>
      </c>
      <c r="BB283">
        <v>100</v>
      </c>
      <c r="BC283">
        <v>115</v>
      </c>
      <c r="BD283" t="s">
        <v>74</v>
      </c>
      <c r="BE283" t="s">
        <v>6013</v>
      </c>
      <c r="BF283" t="str">
        <f>HYPERLINK("http://dx.doi.org/10.1007/978-3-030-92708-0_6","http://dx.doi.org/10.1007/978-3-030-92708-0_6")</f>
        <v>http://dx.doi.org/10.1007/978-3-030-92708-0_6</v>
      </c>
      <c r="BG283" t="s">
        <v>74</v>
      </c>
      <c r="BH283" t="s">
        <v>74</v>
      </c>
      <c r="BI283">
        <v>16</v>
      </c>
      <c r="BJ283" t="s">
        <v>6014</v>
      </c>
      <c r="BK283" t="s">
        <v>203</v>
      </c>
      <c r="BL283" t="s">
        <v>6015</v>
      </c>
      <c r="BM283" t="s">
        <v>6016</v>
      </c>
      <c r="BN283" t="s">
        <v>74</v>
      </c>
      <c r="BO283" t="s">
        <v>74</v>
      </c>
      <c r="BP283" t="s">
        <v>74</v>
      </c>
      <c r="BQ283" t="s">
        <v>74</v>
      </c>
      <c r="BR283" t="s">
        <v>106</v>
      </c>
      <c r="BS283" t="s">
        <v>6017</v>
      </c>
      <c r="BT283" t="str">
        <f>HYPERLINK("https%3A%2F%2Fwww.webofscience.com%2Fwos%2Fwoscc%2Ffull-record%2FWOS:000927593700006","View Full Record in Web of Science")</f>
        <v>View Full Record in Web of Science</v>
      </c>
    </row>
    <row r="284" spans="1:72" x14ac:dyDescent="0.25">
      <c r="A284" t="s">
        <v>72</v>
      </c>
      <c r="B284" t="s">
        <v>6018</v>
      </c>
      <c r="C284" t="s">
        <v>74</v>
      </c>
      <c r="D284" t="s">
        <v>74</v>
      </c>
      <c r="E284" t="s">
        <v>74</v>
      </c>
      <c r="F284" t="s">
        <v>6019</v>
      </c>
      <c r="G284" t="s">
        <v>74</v>
      </c>
      <c r="H284" t="s">
        <v>74</v>
      </c>
      <c r="I284" t="s">
        <v>6020</v>
      </c>
      <c r="J284" t="s">
        <v>882</v>
      </c>
      <c r="K284" t="s">
        <v>74</v>
      </c>
      <c r="L284" t="s">
        <v>74</v>
      </c>
      <c r="M284" t="s">
        <v>78</v>
      </c>
      <c r="N284" t="s">
        <v>79</v>
      </c>
      <c r="O284" t="s">
        <v>74</v>
      </c>
      <c r="P284" t="s">
        <v>74</v>
      </c>
      <c r="Q284" t="s">
        <v>74</v>
      </c>
      <c r="R284" t="s">
        <v>74</v>
      </c>
      <c r="S284" t="s">
        <v>74</v>
      </c>
      <c r="T284" t="s">
        <v>6021</v>
      </c>
      <c r="U284" t="s">
        <v>6022</v>
      </c>
      <c r="V284" t="s">
        <v>6023</v>
      </c>
      <c r="W284" t="s">
        <v>6024</v>
      </c>
      <c r="X284" t="s">
        <v>6025</v>
      </c>
      <c r="Y284" t="s">
        <v>6026</v>
      </c>
      <c r="Z284" t="s">
        <v>6027</v>
      </c>
      <c r="AA284" t="s">
        <v>74</v>
      </c>
      <c r="AB284" t="s">
        <v>74</v>
      </c>
      <c r="AC284" t="s">
        <v>74</v>
      </c>
      <c r="AD284" t="s">
        <v>74</v>
      </c>
      <c r="AE284" t="s">
        <v>74</v>
      </c>
      <c r="AF284" t="s">
        <v>74</v>
      </c>
      <c r="AG284">
        <v>75</v>
      </c>
      <c r="AH284">
        <v>0</v>
      </c>
      <c r="AI284">
        <v>0</v>
      </c>
      <c r="AJ284">
        <v>0</v>
      </c>
      <c r="AK284">
        <v>9</v>
      </c>
      <c r="AL284" t="s">
        <v>895</v>
      </c>
      <c r="AM284" t="s">
        <v>896</v>
      </c>
      <c r="AN284" t="s">
        <v>897</v>
      </c>
      <c r="AO284" t="s">
        <v>898</v>
      </c>
      <c r="AP284" t="s">
        <v>74</v>
      </c>
      <c r="AQ284" t="s">
        <v>74</v>
      </c>
      <c r="AR284" t="s">
        <v>882</v>
      </c>
      <c r="AS284" t="s">
        <v>899</v>
      </c>
      <c r="AT284" t="s">
        <v>74</v>
      </c>
      <c r="AU284">
        <v>2024</v>
      </c>
      <c r="AV284">
        <v>12</v>
      </c>
      <c r="AW284" t="s">
        <v>74</v>
      </c>
      <c r="AX284" t="s">
        <v>74</v>
      </c>
      <c r="AY284" t="s">
        <v>74</v>
      </c>
      <c r="AZ284" t="s">
        <v>74</v>
      </c>
      <c r="BA284" t="s">
        <v>74</v>
      </c>
      <c r="BB284">
        <v>159833</v>
      </c>
      <c r="BC284">
        <v>159846</v>
      </c>
      <c r="BD284" t="s">
        <v>74</v>
      </c>
      <c r="BE284" t="s">
        <v>6028</v>
      </c>
      <c r="BF284" t="str">
        <f>HYPERLINK("http://dx.doi.org/10.1109/ACCESS.2024.3488072","http://dx.doi.org/10.1109/ACCESS.2024.3488072")</f>
        <v>http://dx.doi.org/10.1109/ACCESS.2024.3488072</v>
      </c>
      <c r="BG284" t="s">
        <v>74</v>
      </c>
      <c r="BH284" t="s">
        <v>74</v>
      </c>
      <c r="BI284">
        <v>14</v>
      </c>
      <c r="BJ284" t="s">
        <v>901</v>
      </c>
      <c r="BK284" t="s">
        <v>902</v>
      </c>
      <c r="BL284" t="s">
        <v>903</v>
      </c>
      <c r="BM284" t="s">
        <v>6029</v>
      </c>
      <c r="BN284" t="s">
        <v>74</v>
      </c>
      <c r="BO284" t="s">
        <v>398</v>
      </c>
      <c r="BP284" t="s">
        <v>74</v>
      </c>
      <c r="BQ284" t="s">
        <v>74</v>
      </c>
      <c r="BR284" t="s">
        <v>106</v>
      </c>
      <c r="BS284" t="s">
        <v>6030</v>
      </c>
      <c r="BT284" t="str">
        <f>HYPERLINK("https%3A%2F%2Fwww.webofscience.com%2Fwos%2Fwoscc%2Ffull-record%2FWOS:001349762500001","View Full Record in Web of Science")</f>
        <v>View Full Record in Web of Science</v>
      </c>
    </row>
    <row r="285" spans="1:72" x14ac:dyDescent="0.25">
      <c r="A285" t="s">
        <v>72</v>
      </c>
      <c r="B285" t="s">
        <v>6031</v>
      </c>
      <c r="C285" t="s">
        <v>74</v>
      </c>
      <c r="D285" t="s">
        <v>74</v>
      </c>
      <c r="E285" t="s">
        <v>74</v>
      </c>
      <c r="F285" t="s">
        <v>6032</v>
      </c>
      <c r="G285" t="s">
        <v>74</v>
      </c>
      <c r="H285" t="s">
        <v>74</v>
      </c>
      <c r="I285" t="s">
        <v>6033</v>
      </c>
      <c r="J285" t="s">
        <v>6034</v>
      </c>
      <c r="K285" t="s">
        <v>74</v>
      </c>
      <c r="L285" t="s">
        <v>74</v>
      </c>
      <c r="M285" t="s">
        <v>78</v>
      </c>
      <c r="N285" t="s">
        <v>79</v>
      </c>
      <c r="O285" t="s">
        <v>74</v>
      </c>
      <c r="P285" t="s">
        <v>74</v>
      </c>
      <c r="Q285" t="s">
        <v>74</v>
      </c>
      <c r="R285" t="s">
        <v>74</v>
      </c>
      <c r="S285" t="s">
        <v>74</v>
      </c>
      <c r="T285" t="s">
        <v>74</v>
      </c>
      <c r="U285" t="s">
        <v>74</v>
      </c>
      <c r="V285" t="s">
        <v>6035</v>
      </c>
      <c r="W285" t="s">
        <v>6036</v>
      </c>
      <c r="X285" t="s">
        <v>6037</v>
      </c>
      <c r="Y285" t="s">
        <v>6038</v>
      </c>
      <c r="Z285" t="s">
        <v>6039</v>
      </c>
      <c r="AA285" t="s">
        <v>74</v>
      </c>
      <c r="AB285" t="s">
        <v>74</v>
      </c>
      <c r="AC285" t="s">
        <v>74</v>
      </c>
      <c r="AD285" t="s">
        <v>74</v>
      </c>
      <c r="AE285" t="s">
        <v>74</v>
      </c>
      <c r="AF285" t="s">
        <v>74</v>
      </c>
      <c r="AG285">
        <v>32</v>
      </c>
      <c r="AH285">
        <v>7</v>
      </c>
      <c r="AI285">
        <v>8</v>
      </c>
      <c r="AJ285">
        <v>0</v>
      </c>
      <c r="AK285">
        <v>18</v>
      </c>
      <c r="AL285" t="s">
        <v>6040</v>
      </c>
      <c r="AM285" t="s">
        <v>3030</v>
      </c>
      <c r="AN285" t="s">
        <v>6041</v>
      </c>
      <c r="AO285" t="s">
        <v>6042</v>
      </c>
      <c r="AP285" t="s">
        <v>6043</v>
      </c>
      <c r="AQ285" t="s">
        <v>74</v>
      </c>
      <c r="AR285" t="s">
        <v>6044</v>
      </c>
      <c r="AS285" t="s">
        <v>6045</v>
      </c>
      <c r="AT285" t="s">
        <v>3666</v>
      </c>
      <c r="AU285">
        <v>2019</v>
      </c>
      <c r="AV285">
        <v>145</v>
      </c>
      <c r="AW285">
        <v>2</v>
      </c>
      <c r="AX285" t="s">
        <v>74</v>
      </c>
      <c r="AY285" t="s">
        <v>74</v>
      </c>
      <c r="AZ285" t="s">
        <v>74</v>
      </c>
      <c r="BA285" t="s">
        <v>74</v>
      </c>
      <c r="BB285" t="s">
        <v>74</v>
      </c>
      <c r="BC285" t="s">
        <v>74</v>
      </c>
      <c r="BD285">
        <v>5018018</v>
      </c>
      <c r="BE285" t="s">
        <v>6046</v>
      </c>
      <c r="BF285" t="str">
        <f>HYPERLINK("http://dx.doi.org/10.1061/(ASCE)EI.1943-5541.0000400","http://dx.doi.org/10.1061/(ASCE)EI.1943-5541.0000400")</f>
        <v>http://dx.doi.org/10.1061/(ASCE)EI.1943-5541.0000400</v>
      </c>
      <c r="BG285" t="s">
        <v>74</v>
      </c>
      <c r="BH285" t="s">
        <v>74</v>
      </c>
      <c r="BI285">
        <v>12</v>
      </c>
      <c r="BJ285" t="s">
        <v>485</v>
      </c>
      <c r="BK285" t="s">
        <v>902</v>
      </c>
      <c r="BL285" t="s">
        <v>486</v>
      </c>
      <c r="BM285" t="s">
        <v>6047</v>
      </c>
      <c r="BN285" t="s">
        <v>74</v>
      </c>
      <c r="BO285" t="s">
        <v>74</v>
      </c>
      <c r="BP285" t="s">
        <v>74</v>
      </c>
      <c r="BQ285" t="s">
        <v>74</v>
      </c>
      <c r="BR285" t="s">
        <v>106</v>
      </c>
      <c r="BS285" t="s">
        <v>6048</v>
      </c>
      <c r="BT285" t="str">
        <f>HYPERLINK("https%3A%2F%2Fwww.webofscience.com%2Fwos%2Fwoscc%2Ffull-record%2FWOS:000468777100008","View Full Record in Web of Science")</f>
        <v>View Full Record in Web of Science</v>
      </c>
    </row>
    <row r="286" spans="1:72" x14ac:dyDescent="0.25">
      <c r="A286" t="s">
        <v>108</v>
      </c>
      <c r="B286" t="s">
        <v>6049</v>
      </c>
      <c r="C286" t="s">
        <v>74</v>
      </c>
      <c r="D286" t="s">
        <v>6050</v>
      </c>
      <c r="E286" t="s">
        <v>74</v>
      </c>
      <c r="F286" t="s">
        <v>6051</v>
      </c>
      <c r="G286" t="s">
        <v>74</v>
      </c>
      <c r="H286" t="s">
        <v>74</v>
      </c>
      <c r="I286" t="s">
        <v>6052</v>
      </c>
      <c r="J286" t="s">
        <v>6053</v>
      </c>
      <c r="K286" t="s">
        <v>6054</v>
      </c>
      <c r="L286" t="s">
        <v>74</v>
      </c>
      <c r="M286" t="s">
        <v>78</v>
      </c>
      <c r="N286" t="s">
        <v>115</v>
      </c>
      <c r="O286" t="s">
        <v>6055</v>
      </c>
      <c r="P286" t="s">
        <v>6056</v>
      </c>
      <c r="Q286" t="s">
        <v>6057</v>
      </c>
      <c r="R286" t="s">
        <v>74</v>
      </c>
      <c r="S286" t="s">
        <v>74</v>
      </c>
      <c r="T286" t="s">
        <v>6058</v>
      </c>
      <c r="U286" t="s">
        <v>74</v>
      </c>
      <c r="V286" t="s">
        <v>6059</v>
      </c>
      <c r="W286" t="s">
        <v>6060</v>
      </c>
      <c r="X286" t="s">
        <v>6061</v>
      </c>
      <c r="Y286" t="s">
        <v>6062</v>
      </c>
      <c r="Z286" t="s">
        <v>6063</v>
      </c>
      <c r="AA286" t="s">
        <v>6064</v>
      </c>
      <c r="AB286" t="s">
        <v>74</v>
      </c>
      <c r="AC286" t="s">
        <v>74</v>
      </c>
      <c r="AD286" t="s">
        <v>74</v>
      </c>
      <c r="AE286" t="s">
        <v>74</v>
      </c>
      <c r="AF286" t="s">
        <v>74</v>
      </c>
      <c r="AG286">
        <v>22</v>
      </c>
      <c r="AH286">
        <v>0</v>
      </c>
      <c r="AI286">
        <v>0</v>
      </c>
      <c r="AJ286">
        <v>0</v>
      </c>
      <c r="AK286">
        <v>0</v>
      </c>
      <c r="AL286" t="s">
        <v>6065</v>
      </c>
      <c r="AM286" t="s">
        <v>6066</v>
      </c>
      <c r="AN286" t="s">
        <v>6067</v>
      </c>
      <c r="AO286" t="s">
        <v>6068</v>
      </c>
      <c r="AP286" t="s">
        <v>74</v>
      </c>
      <c r="AQ286" t="s">
        <v>6069</v>
      </c>
      <c r="AR286" t="s">
        <v>6070</v>
      </c>
      <c r="AS286" t="s">
        <v>74</v>
      </c>
      <c r="AT286" t="s">
        <v>74</v>
      </c>
      <c r="AU286">
        <v>2024</v>
      </c>
      <c r="AV286" t="s">
        <v>74</v>
      </c>
      <c r="AW286" t="s">
        <v>74</v>
      </c>
      <c r="AX286" t="s">
        <v>74</v>
      </c>
      <c r="AY286" t="s">
        <v>74</v>
      </c>
      <c r="AZ286" t="s">
        <v>74</v>
      </c>
      <c r="BA286" t="s">
        <v>74</v>
      </c>
      <c r="BB286">
        <v>155</v>
      </c>
      <c r="BC286">
        <v>164</v>
      </c>
      <c r="BD286" t="s">
        <v>74</v>
      </c>
      <c r="BE286" t="s">
        <v>74</v>
      </c>
      <c r="BF286" t="s">
        <v>74</v>
      </c>
      <c r="BG286" t="s">
        <v>74</v>
      </c>
      <c r="BH286" t="s">
        <v>74</v>
      </c>
      <c r="BI286">
        <v>10</v>
      </c>
      <c r="BJ286" t="s">
        <v>344</v>
      </c>
      <c r="BK286" t="s">
        <v>138</v>
      </c>
      <c r="BL286" t="s">
        <v>139</v>
      </c>
      <c r="BM286" t="s">
        <v>6071</v>
      </c>
      <c r="BN286" t="s">
        <v>74</v>
      </c>
      <c r="BO286" t="s">
        <v>74</v>
      </c>
      <c r="BP286" t="s">
        <v>74</v>
      </c>
      <c r="BQ286" t="s">
        <v>74</v>
      </c>
      <c r="BR286" t="s">
        <v>106</v>
      </c>
      <c r="BS286" t="s">
        <v>6072</v>
      </c>
      <c r="BT286" t="str">
        <f>HYPERLINK("https%3A%2F%2Fwww.webofscience.com%2Fwos%2Fwoscc%2Ffull-record%2FWOS:001460297100026","View Full Record in Web of Science")</f>
        <v>View Full Record in Web of Science</v>
      </c>
    </row>
    <row r="287" spans="1:72" x14ac:dyDescent="0.25">
      <c r="A287" t="s">
        <v>108</v>
      </c>
      <c r="B287" t="s">
        <v>6073</v>
      </c>
      <c r="C287" t="s">
        <v>74</v>
      </c>
      <c r="D287" t="s">
        <v>6074</v>
      </c>
      <c r="E287" t="s">
        <v>74</v>
      </c>
      <c r="F287" t="s">
        <v>6075</v>
      </c>
      <c r="G287" t="s">
        <v>74</v>
      </c>
      <c r="H287" t="s">
        <v>74</v>
      </c>
      <c r="I287" t="s">
        <v>6076</v>
      </c>
      <c r="J287" t="s">
        <v>6077</v>
      </c>
      <c r="K287" t="s">
        <v>74</v>
      </c>
      <c r="L287" t="s">
        <v>74</v>
      </c>
      <c r="M287" t="s">
        <v>78</v>
      </c>
      <c r="N287" t="s">
        <v>115</v>
      </c>
      <c r="O287" t="s">
        <v>6078</v>
      </c>
      <c r="P287" t="s">
        <v>6079</v>
      </c>
      <c r="Q287" t="s">
        <v>6080</v>
      </c>
      <c r="R287" t="s">
        <v>74</v>
      </c>
      <c r="S287" t="s">
        <v>74</v>
      </c>
      <c r="T287" t="s">
        <v>6081</v>
      </c>
      <c r="U287" t="s">
        <v>74</v>
      </c>
      <c r="V287" t="s">
        <v>6082</v>
      </c>
      <c r="W287" t="s">
        <v>6083</v>
      </c>
      <c r="X287" t="s">
        <v>6084</v>
      </c>
      <c r="Y287" t="s">
        <v>6085</v>
      </c>
      <c r="Z287" t="s">
        <v>6086</v>
      </c>
      <c r="AA287" t="s">
        <v>6087</v>
      </c>
      <c r="AB287" t="s">
        <v>6088</v>
      </c>
      <c r="AC287" t="s">
        <v>74</v>
      </c>
      <c r="AD287" t="s">
        <v>74</v>
      </c>
      <c r="AE287" t="s">
        <v>74</v>
      </c>
      <c r="AF287" t="s">
        <v>74</v>
      </c>
      <c r="AG287">
        <v>16</v>
      </c>
      <c r="AH287">
        <v>6</v>
      </c>
      <c r="AI287">
        <v>6</v>
      </c>
      <c r="AJ287">
        <v>0</v>
      </c>
      <c r="AK287">
        <v>6</v>
      </c>
      <c r="AL287" t="s">
        <v>465</v>
      </c>
      <c r="AM287" t="s">
        <v>92</v>
      </c>
      <c r="AN287" t="s">
        <v>480</v>
      </c>
      <c r="AO287" t="s">
        <v>74</v>
      </c>
      <c r="AP287" t="s">
        <v>74</v>
      </c>
      <c r="AQ287" t="s">
        <v>6089</v>
      </c>
      <c r="AR287" t="s">
        <v>74</v>
      </c>
      <c r="AS287" t="s">
        <v>74</v>
      </c>
      <c r="AT287" t="s">
        <v>74</v>
      </c>
      <c r="AU287">
        <v>2014</v>
      </c>
      <c r="AV287" t="s">
        <v>74</v>
      </c>
      <c r="AW287" t="s">
        <v>74</v>
      </c>
      <c r="AX287" t="s">
        <v>74</v>
      </c>
      <c r="AY287" t="s">
        <v>74</v>
      </c>
      <c r="AZ287" t="s">
        <v>74</v>
      </c>
      <c r="BA287" t="s">
        <v>74</v>
      </c>
      <c r="BB287">
        <v>485</v>
      </c>
      <c r="BC287">
        <v>492</v>
      </c>
      <c r="BD287" t="s">
        <v>74</v>
      </c>
      <c r="BE287" t="s">
        <v>6090</v>
      </c>
      <c r="BF287" t="str">
        <f>HYPERLINK("http://dx.doi.org/10.1109/SITIS.2014.86","http://dx.doi.org/10.1109/SITIS.2014.86")</f>
        <v>http://dx.doi.org/10.1109/SITIS.2014.86</v>
      </c>
      <c r="BG287" t="s">
        <v>74</v>
      </c>
      <c r="BH287" t="s">
        <v>74</v>
      </c>
      <c r="BI287">
        <v>8</v>
      </c>
      <c r="BJ287" t="s">
        <v>6091</v>
      </c>
      <c r="BK287" t="s">
        <v>203</v>
      </c>
      <c r="BL287" t="s">
        <v>103</v>
      </c>
      <c r="BM287" t="s">
        <v>6092</v>
      </c>
      <c r="BN287" t="s">
        <v>74</v>
      </c>
      <c r="BO287" t="s">
        <v>74</v>
      </c>
      <c r="BP287" t="s">
        <v>74</v>
      </c>
      <c r="BQ287" t="s">
        <v>74</v>
      </c>
      <c r="BR287" t="s">
        <v>106</v>
      </c>
      <c r="BS287" t="s">
        <v>6093</v>
      </c>
      <c r="BT287" t="str">
        <f>HYPERLINK("https%3A%2F%2Fwww.webofscience.com%2Fwos%2Fwoscc%2Ffull-record%2FWOS:000380564200072","View Full Record in Web of Science")</f>
        <v>View Full Record in Web of Science</v>
      </c>
    </row>
    <row r="288" spans="1:72" x14ac:dyDescent="0.25">
      <c r="A288" t="s">
        <v>108</v>
      </c>
      <c r="B288" t="s">
        <v>6094</v>
      </c>
      <c r="C288" t="s">
        <v>74</v>
      </c>
      <c r="D288" t="s">
        <v>6095</v>
      </c>
      <c r="E288" t="s">
        <v>74</v>
      </c>
      <c r="F288" t="s">
        <v>6096</v>
      </c>
      <c r="G288" t="s">
        <v>74</v>
      </c>
      <c r="H288" t="s">
        <v>74</v>
      </c>
      <c r="I288" t="s">
        <v>6097</v>
      </c>
      <c r="J288" t="s">
        <v>6098</v>
      </c>
      <c r="K288" t="s">
        <v>147</v>
      </c>
      <c r="L288" t="s">
        <v>74</v>
      </c>
      <c r="M288" t="s">
        <v>78</v>
      </c>
      <c r="N288" t="s">
        <v>115</v>
      </c>
      <c r="O288" t="s">
        <v>6099</v>
      </c>
      <c r="P288" t="s">
        <v>6100</v>
      </c>
      <c r="Q288" t="s">
        <v>6101</v>
      </c>
      <c r="R288" t="s">
        <v>6102</v>
      </c>
      <c r="S288" t="s">
        <v>74</v>
      </c>
      <c r="T288" t="s">
        <v>74</v>
      </c>
      <c r="U288" t="s">
        <v>74</v>
      </c>
      <c r="V288" t="s">
        <v>6103</v>
      </c>
      <c r="W288" t="s">
        <v>6104</v>
      </c>
      <c r="X288" t="s">
        <v>4883</v>
      </c>
      <c r="Y288" t="s">
        <v>6105</v>
      </c>
      <c r="Z288" t="s">
        <v>6106</v>
      </c>
      <c r="AA288" t="s">
        <v>6107</v>
      </c>
      <c r="AB288" t="s">
        <v>6108</v>
      </c>
      <c r="AC288" t="s">
        <v>74</v>
      </c>
      <c r="AD288" t="s">
        <v>74</v>
      </c>
      <c r="AE288" t="s">
        <v>74</v>
      </c>
      <c r="AF288" t="s">
        <v>74</v>
      </c>
      <c r="AG288">
        <v>23</v>
      </c>
      <c r="AH288">
        <v>13</v>
      </c>
      <c r="AI288">
        <v>15</v>
      </c>
      <c r="AJ288">
        <v>0</v>
      </c>
      <c r="AK288">
        <v>20</v>
      </c>
      <c r="AL288" t="s">
        <v>129</v>
      </c>
      <c r="AM288" t="s">
        <v>130</v>
      </c>
      <c r="AN288" t="s">
        <v>131</v>
      </c>
      <c r="AO288" t="s">
        <v>159</v>
      </c>
      <c r="AP288" t="s">
        <v>133</v>
      </c>
      <c r="AQ288" t="s">
        <v>6109</v>
      </c>
      <c r="AR288" t="s">
        <v>161</v>
      </c>
      <c r="AS288" t="s">
        <v>74</v>
      </c>
      <c r="AT288" t="s">
        <v>74</v>
      </c>
      <c r="AU288">
        <v>2016</v>
      </c>
      <c r="AV288">
        <v>10056</v>
      </c>
      <c r="AW288" t="s">
        <v>74</v>
      </c>
      <c r="AX288" t="s">
        <v>74</v>
      </c>
      <c r="AY288" t="s">
        <v>74</v>
      </c>
      <c r="AZ288" t="s">
        <v>74</v>
      </c>
      <c r="BA288" t="s">
        <v>74</v>
      </c>
      <c r="BB288">
        <v>331</v>
      </c>
      <c r="BC288">
        <v>341</v>
      </c>
      <c r="BD288" t="s">
        <v>74</v>
      </c>
      <c r="BE288" t="s">
        <v>6110</v>
      </c>
      <c r="BF288" t="str">
        <f>HYPERLINK("http://dx.doi.org/10.1007/978-3-319-50182-6_30","http://dx.doi.org/10.1007/978-3-319-50182-6_30")</f>
        <v>http://dx.doi.org/10.1007/978-3-319-50182-6_30</v>
      </c>
      <c r="BG288" t="s">
        <v>74</v>
      </c>
      <c r="BH288" t="s">
        <v>74</v>
      </c>
      <c r="BI288">
        <v>11</v>
      </c>
      <c r="BJ288" t="s">
        <v>6111</v>
      </c>
      <c r="BK288" t="s">
        <v>203</v>
      </c>
      <c r="BL288" t="s">
        <v>103</v>
      </c>
      <c r="BM288" t="s">
        <v>6112</v>
      </c>
      <c r="BN288" t="s">
        <v>74</v>
      </c>
      <c r="BO288" t="s">
        <v>74</v>
      </c>
      <c r="BP288" t="s">
        <v>74</v>
      </c>
      <c r="BQ288" t="s">
        <v>74</v>
      </c>
      <c r="BR288" t="s">
        <v>106</v>
      </c>
      <c r="BS288" t="s">
        <v>6113</v>
      </c>
      <c r="BT288" t="str">
        <f>HYPERLINK("https%3A%2F%2Fwww.webofscience.com%2Fwos%2Fwoscc%2Ffull-record%2FWOS:000389792300030","View Full Record in Web of Science")</f>
        <v>View Full Record in Web of Science</v>
      </c>
    </row>
    <row r="289" spans="1:72" x14ac:dyDescent="0.25">
      <c r="A289" t="s">
        <v>108</v>
      </c>
      <c r="B289" t="s">
        <v>6114</v>
      </c>
      <c r="C289" t="s">
        <v>74</v>
      </c>
      <c r="D289" t="s">
        <v>6115</v>
      </c>
      <c r="E289" t="s">
        <v>74</v>
      </c>
      <c r="F289" t="s">
        <v>6116</v>
      </c>
      <c r="G289" t="s">
        <v>74</v>
      </c>
      <c r="H289" t="s">
        <v>74</v>
      </c>
      <c r="I289" t="s">
        <v>6117</v>
      </c>
      <c r="J289" t="s">
        <v>6118</v>
      </c>
      <c r="K289" t="s">
        <v>147</v>
      </c>
      <c r="L289" t="s">
        <v>74</v>
      </c>
      <c r="M289" t="s">
        <v>78</v>
      </c>
      <c r="N289" t="s">
        <v>115</v>
      </c>
      <c r="O289" t="s">
        <v>6119</v>
      </c>
      <c r="P289" t="s">
        <v>6120</v>
      </c>
      <c r="Q289" t="s">
        <v>6121</v>
      </c>
      <c r="R289" t="s">
        <v>6122</v>
      </c>
      <c r="S289" t="s">
        <v>74</v>
      </c>
      <c r="T289" t="s">
        <v>74</v>
      </c>
      <c r="U289" t="s">
        <v>74</v>
      </c>
      <c r="V289" t="s">
        <v>6123</v>
      </c>
      <c r="W289" t="s">
        <v>6124</v>
      </c>
      <c r="X289" t="s">
        <v>6125</v>
      </c>
      <c r="Y289" t="s">
        <v>6126</v>
      </c>
      <c r="Z289" t="s">
        <v>6127</v>
      </c>
      <c r="AA289" t="s">
        <v>6128</v>
      </c>
      <c r="AB289" t="s">
        <v>6129</v>
      </c>
      <c r="AC289" t="s">
        <v>6130</v>
      </c>
      <c r="AD289" t="s">
        <v>6131</v>
      </c>
      <c r="AE289" t="s">
        <v>6132</v>
      </c>
      <c r="AF289" t="s">
        <v>74</v>
      </c>
      <c r="AG289">
        <v>25</v>
      </c>
      <c r="AH289">
        <v>44</v>
      </c>
      <c r="AI289">
        <v>53</v>
      </c>
      <c r="AJ289">
        <v>0</v>
      </c>
      <c r="AK289">
        <v>8</v>
      </c>
      <c r="AL289" t="s">
        <v>197</v>
      </c>
      <c r="AM289" t="s">
        <v>198</v>
      </c>
      <c r="AN289" t="s">
        <v>199</v>
      </c>
      <c r="AO289" t="s">
        <v>159</v>
      </c>
      <c r="AP289" t="s">
        <v>133</v>
      </c>
      <c r="AQ289" t="s">
        <v>6133</v>
      </c>
      <c r="AR289" t="s">
        <v>161</v>
      </c>
      <c r="AS289" t="s">
        <v>74</v>
      </c>
      <c r="AT289" t="s">
        <v>74</v>
      </c>
      <c r="AU289">
        <v>2008</v>
      </c>
      <c r="AV289">
        <v>5318</v>
      </c>
      <c r="AW289" t="s">
        <v>74</v>
      </c>
      <c r="AX289" t="s">
        <v>74</v>
      </c>
      <c r="AY289" t="s">
        <v>74</v>
      </c>
      <c r="AZ289" t="s">
        <v>74</v>
      </c>
      <c r="BA289" t="s">
        <v>74</v>
      </c>
      <c r="BB289">
        <v>632</v>
      </c>
      <c r="BC289" t="s">
        <v>5459</v>
      </c>
      <c r="BD289" t="s">
        <v>74</v>
      </c>
      <c r="BE289" t="s">
        <v>74</v>
      </c>
      <c r="BF289" t="s">
        <v>74</v>
      </c>
      <c r="BG289" t="s">
        <v>74</v>
      </c>
      <c r="BH289" t="s">
        <v>74</v>
      </c>
      <c r="BI289">
        <v>3</v>
      </c>
      <c r="BJ289" t="s">
        <v>696</v>
      </c>
      <c r="BK289" t="s">
        <v>203</v>
      </c>
      <c r="BL289" t="s">
        <v>103</v>
      </c>
      <c r="BM289" t="s">
        <v>6134</v>
      </c>
      <c r="BN289" t="s">
        <v>74</v>
      </c>
      <c r="BO289" t="s">
        <v>1302</v>
      </c>
      <c r="BP289" t="s">
        <v>74</v>
      </c>
      <c r="BQ289" t="s">
        <v>74</v>
      </c>
      <c r="BR289" t="s">
        <v>106</v>
      </c>
      <c r="BS289" t="s">
        <v>6135</v>
      </c>
      <c r="BT289" t="str">
        <f>HYPERLINK("https%3A%2F%2Fwww.webofscience.com%2Fwos%2Fwoscc%2Ffull-record%2FWOS:000263688400040","View Full Record in Web of Science")</f>
        <v>View Full Record in Web of Science</v>
      </c>
    </row>
    <row r="290" spans="1:72" x14ac:dyDescent="0.25">
      <c r="A290" t="s">
        <v>108</v>
      </c>
      <c r="B290" t="s">
        <v>6136</v>
      </c>
      <c r="C290" t="s">
        <v>74</v>
      </c>
      <c r="D290" t="s">
        <v>6137</v>
      </c>
      <c r="E290" t="s">
        <v>74</v>
      </c>
      <c r="F290" t="s">
        <v>6138</v>
      </c>
      <c r="G290" t="s">
        <v>74</v>
      </c>
      <c r="H290" t="s">
        <v>74</v>
      </c>
      <c r="I290" t="s">
        <v>6139</v>
      </c>
      <c r="J290" t="s">
        <v>6140</v>
      </c>
      <c r="K290" t="s">
        <v>74</v>
      </c>
      <c r="L290" t="s">
        <v>74</v>
      </c>
      <c r="M290" t="s">
        <v>78</v>
      </c>
      <c r="N290" t="s">
        <v>115</v>
      </c>
      <c r="O290" t="s">
        <v>6141</v>
      </c>
      <c r="P290" t="s">
        <v>6142</v>
      </c>
      <c r="Q290" t="s">
        <v>6143</v>
      </c>
      <c r="R290" t="s">
        <v>6144</v>
      </c>
      <c r="S290" t="s">
        <v>74</v>
      </c>
      <c r="T290" t="s">
        <v>6145</v>
      </c>
      <c r="U290" t="s">
        <v>74</v>
      </c>
      <c r="V290" t="s">
        <v>6146</v>
      </c>
      <c r="W290" t="s">
        <v>6147</v>
      </c>
      <c r="X290" t="s">
        <v>6148</v>
      </c>
      <c r="Y290" t="s">
        <v>6149</v>
      </c>
      <c r="Z290" t="s">
        <v>6150</v>
      </c>
      <c r="AA290" t="s">
        <v>6151</v>
      </c>
      <c r="AB290" t="s">
        <v>6152</v>
      </c>
      <c r="AC290" t="s">
        <v>74</v>
      </c>
      <c r="AD290" t="s">
        <v>74</v>
      </c>
      <c r="AE290" t="s">
        <v>74</v>
      </c>
      <c r="AF290" t="s">
        <v>74</v>
      </c>
      <c r="AG290">
        <v>6</v>
      </c>
      <c r="AH290">
        <v>2</v>
      </c>
      <c r="AI290">
        <v>2</v>
      </c>
      <c r="AJ290">
        <v>0</v>
      </c>
      <c r="AK290">
        <v>4</v>
      </c>
      <c r="AL290" t="s">
        <v>465</v>
      </c>
      <c r="AM290" t="s">
        <v>92</v>
      </c>
      <c r="AN290" t="s">
        <v>480</v>
      </c>
      <c r="AO290" t="s">
        <v>74</v>
      </c>
      <c r="AP290" t="s">
        <v>74</v>
      </c>
      <c r="AQ290" t="s">
        <v>6153</v>
      </c>
      <c r="AR290" t="s">
        <v>74</v>
      </c>
      <c r="AS290" t="s">
        <v>74</v>
      </c>
      <c r="AT290" t="s">
        <v>74</v>
      </c>
      <c r="AU290">
        <v>2016</v>
      </c>
      <c r="AV290" t="s">
        <v>74</v>
      </c>
      <c r="AW290" t="s">
        <v>74</v>
      </c>
      <c r="AX290" t="s">
        <v>74</v>
      </c>
      <c r="AY290" t="s">
        <v>74</v>
      </c>
      <c r="AZ290" t="s">
        <v>74</v>
      </c>
      <c r="BA290" t="s">
        <v>74</v>
      </c>
      <c r="BB290">
        <v>101</v>
      </c>
      <c r="BC290">
        <v>104</v>
      </c>
      <c r="BD290" t="s">
        <v>74</v>
      </c>
      <c r="BE290" t="s">
        <v>74</v>
      </c>
      <c r="BF290" t="s">
        <v>74</v>
      </c>
      <c r="BG290" t="s">
        <v>74</v>
      </c>
      <c r="BH290" t="s">
        <v>74</v>
      </c>
      <c r="BI290">
        <v>4</v>
      </c>
      <c r="BJ290" t="s">
        <v>6154</v>
      </c>
      <c r="BK290" t="s">
        <v>203</v>
      </c>
      <c r="BL290" t="s">
        <v>103</v>
      </c>
      <c r="BM290" t="s">
        <v>6155</v>
      </c>
      <c r="BN290" t="s">
        <v>74</v>
      </c>
      <c r="BO290" t="s">
        <v>74</v>
      </c>
      <c r="BP290" t="s">
        <v>74</v>
      </c>
      <c r="BQ290" t="s">
        <v>74</v>
      </c>
      <c r="BR290" t="s">
        <v>106</v>
      </c>
      <c r="BS290" t="s">
        <v>6156</v>
      </c>
      <c r="BT290" t="str">
        <f>HYPERLINK("https%3A%2F%2Fwww.webofscience.com%2Fwos%2Fwoscc%2Ffull-record%2FWOS:000390694000018","View Full Record in Web of Science")</f>
        <v>View Full Record in Web of Science</v>
      </c>
    </row>
    <row r="291" spans="1:72" x14ac:dyDescent="0.25">
      <c r="A291" t="s">
        <v>108</v>
      </c>
      <c r="B291" t="s">
        <v>6157</v>
      </c>
      <c r="C291" t="s">
        <v>74</v>
      </c>
      <c r="D291" t="s">
        <v>6158</v>
      </c>
      <c r="E291" t="s">
        <v>74</v>
      </c>
      <c r="F291" t="s">
        <v>6159</v>
      </c>
      <c r="G291" t="s">
        <v>74</v>
      </c>
      <c r="H291" t="s">
        <v>74</v>
      </c>
      <c r="I291" t="s">
        <v>6160</v>
      </c>
      <c r="J291" t="s">
        <v>6161</v>
      </c>
      <c r="K291" t="s">
        <v>74</v>
      </c>
      <c r="L291" t="s">
        <v>74</v>
      </c>
      <c r="M291" t="s">
        <v>78</v>
      </c>
      <c r="N291" t="s">
        <v>115</v>
      </c>
      <c r="O291" t="s">
        <v>6162</v>
      </c>
      <c r="P291" t="s">
        <v>6163</v>
      </c>
      <c r="Q291" t="s">
        <v>6164</v>
      </c>
      <c r="R291" t="s">
        <v>6165</v>
      </c>
      <c r="S291" t="s">
        <v>74</v>
      </c>
      <c r="T291" t="s">
        <v>6166</v>
      </c>
      <c r="U291" t="s">
        <v>74</v>
      </c>
      <c r="V291" t="s">
        <v>6167</v>
      </c>
      <c r="W291" t="s">
        <v>6168</v>
      </c>
      <c r="X291" t="s">
        <v>6169</v>
      </c>
      <c r="Y291" t="s">
        <v>6170</v>
      </c>
      <c r="Z291" t="s">
        <v>6171</v>
      </c>
      <c r="AA291" t="s">
        <v>6172</v>
      </c>
      <c r="AB291" t="s">
        <v>6173</v>
      </c>
      <c r="AC291" t="s">
        <v>6174</v>
      </c>
      <c r="AD291" t="s">
        <v>6175</v>
      </c>
      <c r="AE291" t="s">
        <v>74</v>
      </c>
      <c r="AF291" t="s">
        <v>74</v>
      </c>
      <c r="AG291">
        <v>6</v>
      </c>
      <c r="AH291">
        <v>1</v>
      </c>
      <c r="AI291">
        <v>1</v>
      </c>
      <c r="AJ291">
        <v>0</v>
      </c>
      <c r="AK291">
        <v>1</v>
      </c>
      <c r="AL291" t="s">
        <v>465</v>
      </c>
      <c r="AM291" t="s">
        <v>92</v>
      </c>
      <c r="AN291" t="s">
        <v>480</v>
      </c>
      <c r="AO291" t="s">
        <v>74</v>
      </c>
      <c r="AP291" t="s">
        <v>74</v>
      </c>
      <c r="AQ291" t="s">
        <v>6176</v>
      </c>
      <c r="AR291" t="s">
        <v>74</v>
      </c>
      <c r="AS291" t="s">
        <v>74</v>
      </c>
      <c r="AT291" t="s">
        <v>74</v>
      </c>
      <c r="AU291">
        <v>2015</v>
      </c>
      <c r="AV291" t="s">
        <v>74</v>
      </c>
      <c r="AW291" t="s">
        <v>74</v>
      </c>
      <c r="AX291" t="s">
        <v>74</v>
      </c>
      <c r="AY291" t="s">
        <v>74</v>
      </c>
      <c r="AZ291" t="s">
        <v>74</v>
      </c>
      <c r="BA291" t="s">
        <v>74</v>
      </c>
      <c r="BB291">
        <v>2825</v>
      </c>
      <c r="BC291">
        <v>2827</v>
      </c>
      <c r="BD291" t="s">
        <v>74</v>
      </c>
      <c r="BE291" t="s">
        <v>74</v>
      </c>
      <c r="BF291" t="s">
        <v>74</v>
      </c>
      <c r="BG291" t="s">
        <v>74</v>
      </c>
      <c r="BH291" t="s">
        <v>74</v>
      </c>
      <c r="BI291">
        <v>3</v>
      </c>
      <c r="BJ291" t="s">
        <v>6177</v>
      </c>
      <c r="BK291" t="s">
        <v>203</v>
      </c>
      <c r="BL291" t="s">
        <v>953</v>
      </c>
      <c r="BM291" t="s">
        <v>6178</v>
      </c>
      <c r="BN291" t="s">
        <v>74</v>
      </c>
      <c r="BO291" t="s">
        <v>74</v>
      </c>
      <c r="BP291" t="s">
        <v>74</v>
      </c>
      <c r="BQ291" t="s">
        <v>74</v>
      </c>
      <c r="BR291" t="s">
        <v>106</v>
      </c>
      <c r="BS291" t="s">
        <v>6179</v>
      </c>
      <c r="BT291" t="str">
        <f>HYPERLINK("https%3A%2F%2Fwww.webofscience.com%2Fwos%2Fwoscc%2Ffull-record%2FWOS:000380404600358","View Full Record in Web of Science")</f>
        <v>View Full Record in Web of Science</v>
      </c>
    </row>
    <row r="292" spans="1:72" x14ac:dyDescent="0.25">
      <c r="A292" t="s">
        <v>72</v>
      </c>
      <c r="B292" t="s">
        <v>6180</v>
      </c>
      <c r="C292" t="s">
        <v>74</v>
      </c>
      <c r="D292" t="s">
        <v>74</v>
      </c>
      <c r="E292" t="s">
        <v>74</v>
      </c>
      <c r="F292" t="s">
        <v>6181</v>
      </c>
      <c r="G292" t="s">
        <v>74</v>
      </c>
      <c r="H292" t="s">
        <v>74</v>
      </c>
      <c r="I292" t="s">
        <v>6182</v>
      </c>
      <c r="J292" t="s">
        <v>3418</v>
      </c>
      <c r="K292" t="s">
        <v>74</v>
      </c>
      <c r="L292" t="s">
        <v>74</v>
      </c>
      <c r="M292" t="s">
        <v>78</v>
      </c>
      <c r="N292" t="s">
        <v>79</v>
      </c>
      <c r="O292" t="s">
        <v>74</v>
      </c>
      <c r="P292" t="s">
        <v>74</v>
      </c>
      <c r="Q292" t="s">
        <v>74</v>
      </c>
      <c r="R292" t="s">
        <v>74</v>
      </c>
      <c r="S292" t="s">
        <v>74</v>
      </c>
      <c r="T292" t="s">
        <v>6183</v>
      </c>
      <c r="U292" t="s">
        <v>74</v>
      </c>
      <c r="V292" t="s">
        <v>6184</v>
      </c>
      <c r="W292" t="s">
        <v>6185</v>
      </c>
      <c r="X292" t="s">
        <v>6186</v>
      </c>
      <c r="Y292" t="s">
        <v>6187</v>
      </c>
      <c r="Z292" t="s">
        <v>6188</v>
      </c>
      <c r="AA292" t="s">
        <v>6189</v>
      </c>
      <c r="AB292" t="s">
        <v>6190</v>
      </c>
      <c r="AC292" t="s">
        <v>74</v>
      </c>
      <c r="AD292" t="s">
        <v>74</v>
      </c>
      <c r="AE292" t="s">
        <v>74</v>
      </c>
      <c r="AF292" t="s">
        <v>74</v>
      </c>
      <c r="AG292">
        <v>37</v>
      </c>
      <c r="AH292">
        <v>1</v>
      </c>
      <c r="AI292">
        <v>1</v>
      </c>
      <c r="AJ292">
        <v>0</v>
      </c>
      <c r="AK292">
        <v>0</v>
      </c>
      <c r="AL292" t="s">
        <v>3427</v>
      </c>
      <c r="AM292" t="s">
        <v>3769</v>
      </c>
      <c r="AN292" t="s">
        <v>3770</v>
      </c>
      <c r="AO292" t="s">
        <v>3430</v>
      </c>
      <c r="AP292" t="s">
        <v>3431</v>
      </c>
      <c r="AQ292" t="s">
        <v>74</v>
      </c>
      <c r="AR292" t="s">
        <v>3432</v>
      </c>
      <c r="AS292" t="s">
        <v>3433</v>
      </c>
      <c r="AT292" t="s">
        <v>6191</v>
      </c>
      <c r="AU292">
        <v>2025</v>
      </c>
      <c r="AV292">
        <v>15</v>
      </c>
      <c r="AW292">
        <v>1</v>
      </c>
      <c r="AX292" t="s">
        <v>74</v>
      </c>
      <c r="AY292" t="s">
        <v>74</v>
      </c>
      <c r="AZ292" t="s">
        <v>74</v>
      </c>
      <c r="BA292" t="s">
        <v>74</v>
      </c>
      <c r="BB292" t="s">
        <v>74</v>
      </c>
      <c r="BC292" t="s">
        <v>74</v>
      </c>
      <c r="BD292">
        <v>90</v>
      </c>
      <c r="BE292" t="s">
        <v>6192</v>
      </c>
      <c r="BF292" t="str">
        <f>HYPERLINK("http://dx.doi.org/10.1007/s13278-025-01516-w","http://dx.doi.org/10.1007/s13278-025-01516-w")</f>
        <v>http://dx.doi.org/10.1007/s13278-025-01516-w</v>
      </c>
      <c r="BG292" t="s">
        <v>74</v>
      </c>
      <c r="BH292" t="s">
        <v>74</v>
      </c>
      <c r="BI292">
        <v>23</v>
      </c>
      <c r="BJ292" t="s">
        <v>852</v>
      </c>
      <c r="BK292" t="s">
        <v>102</v>
      </c>
      <c r="BL292" t="s">
        <v>103</v>
      </c>
      <c r="BM292" t="s">
        <v>6193</v>
      </c>
      <c r="BN292" t="s">
        <v>74</v>
      </c>
      <c r="BO292" t="s">
        <v>105</v>
      </c>
      <c r="BP292" t="s">
        <v>74</v>
      </c>
      <c r="BQ292" t="s">
        <v>74</v>
      </c>
      <c r="BR292" t="s">
        <v>106</v>
      </c>
      <c r="BS292" t="s">
        <v>6194</v>
      </c>
      <c r="BT292" t="str">
        <f>HYPERLINK("https%3A%2F%2Fwww.webofscience.com%2Fwos%2Fwoscc%2Ffull-record%2FWOS:001555374300001","View Full Record in Web of Science")</f>
        <v>View Full Record in Web of Science</v>
      </c>
    </row>
    <row r="293" spans="1:72" x14ac:dyDescent="0.25">
      <c r="A293" t="s">
        <v>72</v>
      </c>
      <c r="B293" t="s">
        <v>6195</v>
      </c>
      <c r="C293" t="s">
        <v>74</v>
      </c>
      <c r="D293" t="s">
        <v>74</v>
      </c>
      <c r="E293" t="s">
        <v>74</v>
      </c>
      <c r="F293" t="s">
        <v>6196</v>
      </c>
      <c r="G293" t="s">
        <v>74</v>
      </c>
      <c r="H293" t="s">
        <v>74</v>
      </c>
      <c r="I293" t="s">
        <v>6197</v>
      </c>
      <c r="J293" t="s">
        <v>6198</v>
      </c>
      <c r="K293" t="s">
        <v>74</v>
      </c>
      <c r="L293" t="s">
        <v>74</v>
      </c>
      <c r="M293" t="s">
        <v>78</v>
      </c>
      <c r="N293" t="s">
        <v>79</v>
      </c>
      <c r="O293" t="s">
        <v>74</v>
      </c>
      <c r="P293" t="s">
        <v>74</v>
      </c>
      <c r="Q293" t="s">
        <v>74</v>
      </c>
      <c r="R293" t="s">
        <v>74</v>
      </c>
      <c r="S293" t="s">
        <v>74</v>
      </c>
      <c r="T293" t="s">
        <v>6199</v>
      </c>
      <c r="U293" t="s">
        <v>6200</v>
      </c>
      <c r="V293" t="s">
        <v>6201</v>
      </c>
      <c r="W293" t="s">
        <v>6202</v>
      </c>
      <c r="X293" t="s">
        <v>5446</v>
      </c>
      <c r="Y293" t="s">
        <v>6203</v>
      </c>
      <c r="Z293" t="s">
        <v>6204</v>
      </c>
      <c r="AA293" t="s">
        <v>6205</v>
      </c>
      <c r="AB293" t="s">
        <v>74</v>
      </c>
      <c r="AC293" t="s">
        <v>6206</v>
      </c>
      <c r="AD293" t="s">
        <v>6207</v>
      </c>
      <c r="AE293" t="s">
        <v>6208</v>
      </c>
      <c r="AF293" t="s">
        <v>74</v>
      </c>
      <c r="AG293">
        <v>41</v>
      </c>
      <c r="AH293">
        <v>21</v>
      </c>
      <c r="AI293">
        <v>26</v>
      </c>
      <c r="AJ293">
        <v>0</v>
      </c>
      <c r="AK293">
        <v>32</v>
      </c>
      <c r="AL293" t="s">
        <v>362</v>
      </c>
      <c r="AM293" t="s">
        <v>363</v>
      </c>
      <c r="AN293" t="s">
        <v>364</v>
      </c>
      <c r="AO293" t="s">
        <v>6209</v>
      </c>
      <c r="AP293" t="s">
        <v>6210</v>
      </c>
      <c r="AQ293" t="s">
        <v>74</v>
      </c>
      <c r="AR293" t="s">
        <v>6211</v>
      </c>
      <c r="AS293" t="s">
        <v>6212</v>
      </c>
      <c r="AT293" t="s">
        <v>1278</v>
      </c>
      <c r="AU293">
        <v>2014</v>
      </c>
      <c r="AV293">
        <v>14</v>
      </c>
      <c r="AW293" t="s">
        <v>74</v>
      </c>
      <c r="AX293" t="s">
        <v>108</v>
      </c>
      <c r="AY293" t="s">
        <v>74</v>
      </c>
      <c r="AZ293" t="s">
        <v>74</v>
      </c>
      <c r="BA293" t="s">
        <v>74</v>
      </c>
      <c r="BB293">
        <v>663</v>
      </c>
      <c r="BC293">
        <v>676</v>
      </c>
      <c r="BD293" t="s">
        <v>74</v>
      </c>
      <c r="BE293" t="s">
        <v>6213</v>
      </c>
      <c r="BF293" t="str">
        <f>HYPERLINK("http://dx.doi.org/10.1016/j.asoc.2013.09.007","http://dx.doi.org/10.1016/j.asoc.2013.09.007")</f>
        <v>http://dx.doi.org/10.1016/j.asoc.2013.09.007</v>
      </c>
      <c r="BG293" t="s">
        <v>74</v>
      </c>
      <c r="BH293" t="s">
        <v>74</v>
      </c>
      <c r="BI293">
        <v>14</v>
      </c>
      <c r="BJ293" t="s">
        <v>2837</v>
      </c>
      <c r="BK293" t="s">
        <v>902</v>
      </c>
      <c r="BL293" t="s">
        <v>103</v>
      </c>
      <c r="BM293" t="s">
        <v>6214</v>
      </c>
      <c r="BN293" t="s">
        <v>74</v>
      </c>
      <c r="BO293" t="s">
        <v>74</v>
      </c>
      <c r="BP293" t="s">
        <v>74</v>
      </c>
      <c r="BQ293" t="s">
        <v>74</v>
      </c>
      <c r="BR293" t="s">
        <v>106</v>
      </c>
      <c r="BS293" t="s">
        <v>6215</v>
      </c>
      <c r="BT293" t="str">
        <f>HYPERLINK("https%3A%2F%2Fwww.webofscience.com%2Fwos%2Fwoscc%2Ffull-record%2FWOS:000327529200030","View Full Record in Web of Science")</f>
        <v>View Full Record in Web of Science</v>
      </c>
    </row>
    <row r="294" spans="1:72" x14ac:dyDescent="0.25">
      <c r="A294" t="s">
        <v>108</v>
      </c>
      <c r="B294" t="s">
        <v>6216</v>
      </c>
      <c r="C294" t="s">
        <v>74</v>
      </c>
      <c r="D294" t="s">
        <v>6217</v>
      </c>
      <c r="E294" t="s">
        <v>74</v>
      </c>
      <c r="F294" t="s">
        <v>6218</v>
      </c>
      <c r="G294" t="s">
        <v>74</v>
      </c>
      <c r="H294" t="s">
        <v>74</v>
      </c>
      <c r="I294" t="s">
        <v>6219</v>
      </c>
      <c r="J294" t="s">
        <v>6220</v>
      </c>
      <c r="K294" t="s">
        <v>4853</v>
      </c>
      <c r="L294" t="s">
        <v>74</v>
      </c>
      <c r="M294" t="s">
        <v>78</v>
      </c>
      <c r="N294" t="s">
        <v>115</v>
      </c>
      <c r="O294" t="s">
        <v>6221</v>
      </c>
      <c r="P294" t="s">
        <v>6222</v>
      </c>
      <c r="Q294" t="s">
        <v>4669</v>
      </c>
      <c r="R294" t="s">
        <v>6223</v>
      </c>
      <c r="S294" t="s">
        <v>74</v>
      </c>
      <c r="T294" t="s">
        <v>6224</v>
      </c>
      <c r="U294" t="s">
        <v>74</v>
      </c>
      <c r="V294" t="s">
        <v>6225</v>
      </c>
      <c r="W294" t="s">
        <v>6226</v>
      </c>
      <c r="X294" t="s">
        <v>6227</v>
      </c>
      <c r="Y294" t="s">
        <v>6228</v>
      </c>
      <c r="Z294" t="s">
        <v>6229</v>
      </c>
      <c r="AA294" t="s">
        <v>6230</v>
      </c>
      <c r="AB294" t="s">
        <v>6231</v>
      </c>
      <c r="AC294" t="s">
        <v>6232</v>
      </c>
      <c r="AD294" t="s">
        <v>6233</v>
      </c>
      <c r="AE294" t="s">
        <v>6234</v>
      </c>
      <c r="AF294" t="s">
        <v>74</v>
      </c>
      <c r="AG294">
        <v>40</v>
      </c>
      <c r="AH294">
        <v>0</v>
      </c>
      <c r="AI294">
        <v>1</v>
      </c>
      <c r="AJ294">
        <v>0</v>
      </c>
      <c r="AK294">
        <v>4</v>
      </c>
      <c r="AL294" t="s">
        <v>129</v>
      </c>
      <c r="AM294" t="s">
        <v>130</v>
      </c>
      <c r="AN294" t="s">
        <v>131</v>
      </c>
      <c r="AO294" t="s">
        <v>4865</v>
      </c>
      <c r="AP294" t="s">
        <v>4866</v>
      </c>
      <c r="AQ294" t="s">
        <v>6235</v>
      </c>
      <c r="AR294" t="s">
        <v>4868</v>
      </c>
      <c r="AS294" t="s">
        <v>74</v>
      </c>
      <c r="AT294" t="s">
        <v>74</v>
      </c>
      <c r="AU294">
        <v>2022</v>
      </c>
      <c r="AV294">
        <v>1556</v>
      </c>
      <c r="AW294" t="s">
        <v>74</v>
      </c>
      <c r="AX294" t="s">
        <v>74</v>
      </c>
      <c r="AY294" t="s">
        <v>74</v>
      </c>
      <c r="AZ294" t="s">
        <v>74</v>
      </c>
      <c r="BA294" t="s">
        <v>74</v>
      </c>
      <c r="BB294">
        <v>265</v>
      </c>
      <c r="BC294">
        <v>287</v>
      </c>
      <c r="BD294" t="s">
        <v>74</v>
      </c>
      <c r="BE294" t="s">
        <v>6236</v>
      </c>
      <c r="BF294" t="str">
        <f>HYPERLINK("http://dx.doi.org/10.1007/978-3-030-96648-5_12","http://dx.doi.org/10.1007/978-3-030-96648-5_12")</f>
        <v>http://dx.doi.org/10.1007/978-3-030-96648-5_12</v>
      </c>
      <c r="BG294" t="s">
        <v>74</v>
      </c>
      <c r="BH294" t="s">
        <v>74</v>
      </c>
      <c r="BI294">
        <v>23</v>
      </c>
      <c r="BJ294" t="s">
        <v>1190</v>
      </c>
      <c r="BK294" t="s">
        <v>203</v>
      </c>
      <c r="BL294" t="s">
        <v>103</v>
      </c>
      <c r="BM294" t="s">
        <v>6237</v>
      </c>
      <c r="BN294" t="s">
        <v>74</v>
      </c>
      <c r="BO294" t="s">
        <v>74</v>
      </c>
      <c r="BP294" t="s">
        <v>74</v>
      </c>
      <c r="BQ294" t="s">
        <v>74</v>
      </c>
      <c r="BR294" t="s">
        <v>106</v>
      </c>
      <c r="BS294" t="s">
        <v>6238</v>
      </c>
      <c r="BT294" t="str">
        <f>HYPERLINK("https%3A%2F%2Fwww.webofscience.com%2Fwos%2Fwoscc%2Ffull-record%2FWOS:000771717200012","View Full Record in Web of Science")</f>
        <v>View Full Record in Web of Science</v>
      </c>
    </row>
    <row r="295" spans="1:72" x14ac:dyDescent="0.25">
      <c r="A295" t="s">
        <v>72</v>
      </c>
      <c r="B295" t="s">
        <v>6239</v>
      </c>
      <c r="C295" t="s">
        <v>74</v>
      </c>
      <c r="D295" t="s">
        <v>74</v>
      </c>
      <c r="E295" t="s">
        <v>74</v>
      </c>
      <c r="F295" t="s">
        <v>6240</v>
      </c>
      <c r="G295" t="s">
        <v>74</v>
      </c>
      <c r="H295" t="s">
        <v>74</v>
      </c>
      <c r="I295" t="s">
        <v>6241</v>
      </c>
      <c r="J295" t="s">
        <v>6242</v>
      </c>
      <c r="K295" t="s">
        <v>74</v>
      </c>
      <c r="L295" t="s">
        <v>74</v>
      </c>
      <c r="M295" t="s">
        <v>78</v>
      </c>
      <c r="N295" t="s">
        <v>79</v>
      </c>
      <c r="O295" t="s">
        <v>74</v>
      </c>
      <c r="P295" t="s">
        <v>74</v>
      </c>
      <c r="Q295" t="s">
        <v>74</v>
      </c>
      <c r="R295" t="s">
        <v>74</v>
      </c>
      <c r="S295" t="s">
        <v>74</v>
      </c>
      <c r="T295" t="s">
        <v>6243</v>
      </c>
      <c r="U295" t="s">
        <v>6244</v>
      </c>
      <c r="V295" t="s">
        <v>6245</v>
      </c>
      <c r="W295" t="s">
        <v>6246</v>
      </c>
      <c r="X295" t="s">
        <v>6247</v>
      </c>
      <c r="Y295" t="s">
        <v>6248</v>
      </c>
      <c r="Z295" t="s">
        <v>6249</v>
      </c>
      <c r="AA295" t="s">
        <v>6250</v>
      </c>
      <c r="AB295" t="s">
        <v>6251</v>
      </c>
      <c r="AC295" t="s">
        <v>6252</v>
      </c>
      <c r="AD295" t="s">
        <v>6253</v>
      </c>
      <c r="AE295" t="s">
        <v>6254</v>
      </c>
      <c r="AF295" t="s">
        <v>74</v>
      </c>
      <c r="AG295">
        <v>55</v>
      </c>
      <c r="AH295">
        <v>1</v>
      </c>
      <c r="AI295">
        <v>1</v>
      </c>
      <c r="AJ295">
        <v>0</v>
      </c>
      <c r="AK295">
        <v>9</v>
      </c>
      <c r="AL295" t="s">
        <v>6255</v>
      </c>
      <c r="AM295" t="s">
        <v>737</v>
      </c>
      <c r="AN295" t="s">
        <v>6256</v>
      </c>
      <c r="AO295" t="s">
        <v>6257</v>
      </c>
      <c r="AP295" t="s">
        <v>6258</v>
      </c>
      <c r="AQ295" t="s">
        <v>74</v>
      </c>
      <c r="AR295" t="s">
        <v>6259</v>
      </c>
      <c r="AS295" t="s">
        <v>6260</v>
      </c>
      <c r="AT295" t="s">
        <v>565</v>
      </c>
      <c r="AU295">
        <v>2022</v>
      </c>
      <c r="AV295">
        <v>119</v>
      </c>
      <c r="AW295" t="s">
        <v>74</v>
      </c>
      <c r="AX295" t="s">
        <v>74</v>
      </c>
      <c r="AY295" t="s">
        <v>74</v>
      </c>
      <c r="AZ295" t="s">
        <v>74</v>
      </c>
      <c r="BA295" t="s">
        <v>74</v>
      </c>
      <c r="BB295" t="s">
        <v>74</v>
      </c>
      <c r="BC295" t="s">
        <v>74</v>
      </c>
      <c r="BD295">
        <v>102778</v>
      </c>
      <c r="BE295" t="s">
        <v>6261</v>
      </c>
      <c r="BF295" t="str">
        <f>HYPERLINK("http://dx.doi.org/10.1016/j.cose.2022.102778","http://dx.doi.org/10.1016/j.cose.2022.102778")</f>
        <v>http://dx.doi.org/10.1016/j.cose.2022.102778</v>
      </c>
      <c r="BG295" t="s">
        <v>74</v>
      </c>
      <c r="BH295" t="s">
        <v>6262</v>
      </c>
      <c r="BI295">
        <v>15</v>
      </c>
      <c r="BJ295" t="s">
        <v>852</v>
      </c>
      <c r="BK295" t="s">
        <v>902</v>
      </c>
      <c r="BL295" t="s">
        <v>103</v>
      </c>
      <c r="BM295" t="s">
        <v>6263</v>
      </c>
      <c r="BN295" t="s">
        <v>74</v>
      </c>
      <c r="BO295" t="s">
        <v>74</v>
      </c>
      <c r="BP295" t="s">
        <v>74</v>
      </c>
      <c r="BQ295" t="s">
        <v>74</v>
      </c>
      <c r="BR295" t="s">
        <v>106</v>
      </c>
      <c r="BS295" t="s">
        <v>6264</v>
      </c>
      <c r="BT295" t="str">
        <f>HYPERLINK("https%3A%2F%2Fwww.webofscience.com%2Fwos%2Fwoscc%2Ffull-record%2FWOS:000808335600003","View Full Record in Web of Science")</f>
        <v>View Full Record in Web of Science</v>
      </c>
    </row>
    <row r="296" spans="1:72" x14ac:dyDescent="0.25">
      <c r="A296" t="s">
        <v>108</v>
      </c>
      <c r="B296" t="s">
        <v>6265</v>
      </c>
      <c r="C296" t="s">
        <v>74</v>
      </c>
      <c r="D296" t="s">
        <v>6266</v>
      </c>
      <c r="E296" t="s">
        <v>74</v>
      </c>
      <c r="F296" t="s">
        <v>6267</v>
      </c>
      <c r="G296" t="s">
        <v>74</v>
      </c>
      <c r="H296" t="s">
        <v>74</v>
      </c>
      <c r="I296" t="s">
        <v>6268</v>
      </c>
      <c r="J296" t="s">
        <v>6269</v>
      </c>
      <c r="K296" t="s">
        <v>3110</v>
      </c>
      <c r="L296" t="s">
        <v>74</v>
      </c>
      <c r="M296" t="s">
        <v>78</v>
      </c>
      <c r="N296" t="s">
        <v>115</v>
      </c>
      <c r="O296" t="s">
        <v>6270</v>
      </c>
      <c r="P296" t="s">
        <v>6271</v>
      </c>
      <c r="Q296" t="s">
        <v>1767</v>
      </c>
      <c r="R296" t="s">
        <v>74</v>
      </c>
      <c r="S296" t="s">
        <v>74</v>
      </c>
      <c r="T296" t="s">
        <v>6272</v>
      </c>
      <c r="U296" t="s">
        <v>74</v>
      </c>
      <c r="V296" t="s">
        <v>6273</v>
      </c>
      <c r="W296" t="s">
        <v>6274</v>
      </c>
      <c r="X296" t="s">
        <v>6275</v>
      </c>
      <c r="Y296" t="s">
        <v>6276</v>
      </c>
      <c r="Z296" t="s">
        <v>6277</v>
      </c>
      <c r="AA296" t="s">
        <v>6278</v>
      </c>
      <c r="AB296" t="s">
        <v>6279</v>
      </c>
      <c r="AC296" t="s">
        <v>6280</v>
      </c>
      <c r="AD296" t="s">
        <v>6281</v>
      </c>
      <c r="AE296" t="s">
        <v>6282</v>
      </c>
      <c r="AF296" t="s">
        <v>74</v>
      </c>
      <c r="AG296">
        <v>16</v>
      </c>
      <c r="AH296">
        <v>4</v>
      </c>
      <c r="AI296">
        <v>6</v>
      </c>
      <c r="AJ296">
        <v>0</v>
      </c>
      <c r="AK296">
        <v>2</v>
      </c>
      <c r="AL296" t="s">
        <v>197</v>
      </c>
      <c r="AM296" t="s">
        <v>198</v>
      </c>
      <c r="AN296" t="s">
        <v>199</v>
      </c>
      <c r="AO296" t="s">
        <v>3120</v>
      </c>
      <c r="AP296" t="s">
        <v>74</v>
      </c>
      <c r="AQ296" t="s">
        <v>6283</v>
      </c>
      <c r="AR296" t="s">
        <v>3122</v>
      </c>
      <c r="AS296" t="s">
        <v>74</v>
      </c>
      <c r="AT296" t="s">
        <v>74</v>
      </c>
      <c r="AU296">
        <v>2013</v>
      </c>
      <c r="AV296">
        <v>152</v>
      </c>
      <c r="AW296" t="s">
        <v>74</v>
      </c>
      <c r="AX296" t="s">
        <v>74</v>
      </c>
      <c r="AY296" t="s">
        <v>74</v>
      </c>
      <c r="AZ296" t="s">
        <v>74</v>
      </c>
      <c r="BA296" t="s">
        <v>74</v>
      </c>
      <c r="BB296">
        <v>182</v>
      </c>
      <c r="BC296">
        <v>193</v>
      </c>
      <c r="BD296" t="s">
        <v>74</v>
      </c>
      <c r="BE296" t="s">
        <v>74</v>
      </c>
      <c r="BF296" t="s">
        <v>74</v>
      </c>
      <c r="BG296" t="s">
        <v>74</v>
      </c>
      <c r="BH296" t="s">
        <v>74</v>
      </c>
      <c r="BI296">
        <v>12</v>
      </c>
      <c r="BJ296" t="s">
        <v>6284</v>
      </c>
      <c r="BK296" t="s">
        <v>203</v>
      </c>
      <c r="BL296" t="s">
        <v>103</v>
      </c>
      <c r="BM296" t="s">
        <v>6285</v>
      </c>
      <c r="BN296" t="s">
        <v>74</v>
      </c>
      <c r="BO296" t="s">
        <v>74</v>
      </c>
      <c r="BP296" t="s">
        <v>74</v>
      </c>
      <c r="BQ296" t="s">
        <v>74</v>
      </c>
      <c r="BR296" t="s">
        <v>106</v>
      </c>
      <c r="BS296" t="s">
        <v>6286</v>
      </c>
      <c r="BT296" t="str">
        <f>HYPERLINK("https%3A%2F%2Fwww.webofscience.com%2Fwos%2Fwoscc%2Ffull-record%2FWOS:000345066600017","View Full Record in Web of Science")</f>
        <v>View Full Record in Web of Science</v>
      </c>
    </row>
    <row r="297" spans="1:72" x14ac:dyDescent="0.25">
      <c r="A297" t="s">
        <v>108</v>
      </c>
      <c r="B297" t="s">
        <v>6287</v>
      </c>
      <c r="C297" t="s">
        <v>74</v>
      </c>
      <c r="D297" t="s">
        <v>74</v>
      </c>
      <c r="E297" t="s">
        <v>465</v>
      </c>
      <c r="F297" t="s">
        <v>6288</v>
      </c>
      <c r="G297" t="s">
        <v>74</v>
      </c>
      <c r="H297" t="s">
        <v>74</v>
      </c>
      <c r="I297" t="s">
        <v>6289</v>
      </c>
      <c r="J297" t="s">
        <v>6290</v>
      </c>
      <c r="K297" t="s">
        <v>6291</v>
      </c>
      <c r="L297" t="s">
        <v>74</v>
      </c>
      <c r="M297" t="s">
        <v>78</v>
      </c>
      <c r="N297" t="s">
        <v>115</v>
      </c>
      <c r="O297" t="s">
        <v>6292</v>
      </c>
      <c r="P297" t="s">
        <v>6293</v>
      </c>
      <c r="Q297" t="s">
        <v>6294</v>
      </c>
      <c r="R297" t="s">
        <v>6295</v>
      </c>
      <c r="S297" t="s">
        <v>74</v>
      </c>
      <c r="T297" t="s">
        <v>74</v>
      </c>
      <c r="U297" t="s">
        <v>74</v>
      </c>
      <c r="V297" t="s">
        <v>6296</v>
      </c>
      <c r="W297" t="s">
        <v>6297</v>
      </c>
      <c r="X297" t="s">
        <v>2260</v>
      </c>
      <c r="Y297" t="s">
        <v>6298</v>
      </c>
      <c r="Z297" t="s">
        <v>6299</v>
      </c>
      <c r="AA297" t="s">
        <v>6300</v>
      </c>
      <c r="AB297" t="s">
        <v>74</v>
      </c>
      <c r="AC297" t="s">
        <v>74</v>
      </c>
      <c r="AD297" t="s">
        <v>74</v>
      </c>
      <c r="AE297" t="s">
        <v>74</v>
      </c>
      <c r="AF297" t="s">
        <v>74</v>
      </c>
      <c r="AG297">
        <v>19</v>
      </c>
      <c r="AH297">
        <v>3</v>
      </c>
      <c r="AI297">
        <v>4</v>
      </c>
      <c r="AJ297">
        <v>0</v>
      </c>
      <c r="AK297">
        <v>0</v>
      </c>
      <c r="AL297" t="s">
        <v>465</v>
      </c>
      <c r="AM297" t="s">
        <v>92</v>
      </c>
      <c r="AN297" t="s">
        <v>480</v>
      </c>
      <c r="AO297" t="s">
        <v>6301</v>
      </c>
      <c r="AP297" t="s">
        <v>74</v>
      </c>
      <c r="AQ297" t="s">
        <v>6302</v>
      </c>
      <c r="AR297" t="s">
        <v>6303</v>
      </c>
      <c r="AS297" t="s">
        <v>74</v>
      </c>
      <c r="AT297" t="s">
        <v>74</v>
      </c>
      <c r="AU297">
        <v>2013</v>
      </c>
      <c r="AV297" t="s">
        <v>74</v>
      </c>
      <c r="AW297" t="s">
        <v>74</v>
      </c>
      <c r="AX297" t="s">
        <v>74</v>
      </c>
      <c r="AY297" t="s">
        <v>74</v>
      </c>
      <c r="AZ297" t="s">
        <v>74</v>
      </c>
      <c r="BA297" t="s">
        <v>74</v>
      </c>
      <c r="BB297" t="s">
        <v>74</v>
      </c>
      <c r="BC297" t="s">
        <v>74</v>
      </c>
      <c r="BD297" t="s">
        <v>74</v>
      </c>
      <c r="BE297" t="s">
        <v>74</v>
      </c>
      <c r="BF297" t="s">
        <v>74</v>
      </c>
      <c r="BG297" t="s">
        <v>74</v>
      </c>
      <c r="BH297" t="s">
        <v>74</v>
      </c>
      <c r="BI297">
        <v>6</v>
      </c>
      <c r="BJ297" t="s">
        <v>6304</v>
      </c>
      <c r="BK297" t="s">
        <v>203</v>
      </c>
      <c r="BL297" t="s">
        <v>903</v>
      </c>
      <c r="BM297" t="s">
        <v>6305</v>
      </c>
      <c r="BN297" t="s">
        <v>74</v>
      </c>
      <c r="BO297" t="s">
        <v>74</v>
      </c>
      <c r="BP297" t="s">
        <v>74</v>
      </c>
      <c r="BQ297" t="s">
        <v>74</v>
      </c>
      <c r="BR297" t="s">
        <v>106</v>
      </c>
      <c r="BS297" t="s">
        <v>6306</v>
      </c>
      <c r="BT297" t="str">
        <f>HYPERLINK("https%3A%2F%2Fwww.webofscience.com%2Fwos%2Fwoscc%2Ffull-record%2FWOS:000332492200167","View Full Record in Web of Science")</f>
        <v>View Full Record in Web of Science</v>
      </c>
    </row>
    <row r="298" spans="1:72" x14ac:dyDescent="0.25">
      <c r="A298" t="s">
        <v>72</v>
      </c>
      <c r="B298" t="s">
        <v>6307</v>
      </c>
      <c r="C298" t="s">
        <v>74</v>
      </c>
      <c r="D298" t="s">
        <v>74</v>
      </c>
      <c r="E298" t="s">
        <v>74</v>
      </c>
      <c r="F298" t="s">
        <v>6308</v>
      </c>
      <c r="G298" t="s">
        <v>74</v>
      </c>
      <c r="H298" t="s">
        <v>74</v>
      </c>
      <c r="I298" t="s">
        <v>6309</v>
      </c>
      <c r="J298" t="s">
        <v>6310</v>
      </c>
      <c r="K298" t="s">
        <v>74</v>
      </c>
      <c r="L298" t="s">
        <v>74</v>
      </c>
      <c r="M298" t="s">
        <v>78</v>
      </c>
      <c r="N298" t="s">
        <v>79</v>
      </c>
      <c r="O298" t="s">
        <v>74</v>
      </c>
      <c r="P298" t="s">
        <v>74</v>
      </c>
      <c r="Q298" t="s">
        <v>74</v>
      </c>
      <c r="R298" t="s">
        <v>74</v>
      </c>
      <c r="S298" t="s">
        <v>74</v>
      </c>
      <c r="T298" t="s">
        <v>6311</v>
      </c>
      <c r="U298" t="s">
        <v>74</v>
      </c>
      <c r="V298" t="s">
        <v>6312</v>
      </c>
      <c r="W298" t="s">
        <v>6313</v>
      </c>
      <c r="X298" t="s">
        <v>6314</v>
      </c>
      <c r="Y298" t="s">
        <v>6315</v>
      </c>
      <c r="Z298" t="s">
        <v>74</v>
      </c>
      <c r="AA298" t="s">
        <v>6316</v>
      </c>
      <c r="AB298" t="s">
        <v>6317</v>
      </c>
      <c r="AC298" t="s">
        <v>6318</v>
      </c>
      <c r="AD298" t="s">
        <v>6318</v>
      </c>
      <c r="AE298" t="s">
        <v>6319</v>
      </c>
      <c r="AF298" t="s">
        <v>74</v>
      </c>
      <c r="AG298">
        <v>42</v>
      </c>
      <c r="AH298">
        <v>21</v>
      </c>
      <c r="AI298">
        <v>31</v>
      </c>
      <c r="AJ298">
        <v>7</v>
      </c>
      <c r="AK298">
        <v>92</v>
      </c>
      <c r="AL298" t="s">
        <v>6320</v>
      </c>
      <c r="AM298" t="s">
        <v>6321</v>
      </c>
      <c r="AN298" t="s">
        <v>6322</v>
      </c>
      <c r="AO298" t="s">
        <v>6323</v>
      </c>
      <c r="AP298" t="s">
        <v>6324</v>
      </c>
      <c r="AQ298" t="s">
        <v>74</v>
      </c>
      <c r="AR298" t="s">
        <v>6325</v>
      </c>
      <c r="AS298" t="s">
        <v>6326</v>
      </c>
      <c r="AT298" t="s">
        <v>509</v>
      </c>
      <c r="AU298">
        <v>2024</v>
      </c>
      <c r="AV298">
        <v>28</v>
      </c>
      <c r="AW298">
        <v>3</v>
      </c>
      <c r="AX298" t="s">
        <v>74</v>
      </c>
      <c r="AY298" t="s">
        <v>74</v>
      </c>
      <c r="AZ298" t="s">
        <v>74</v>
      </c>
      <c r="BA298" t="s">
        <v>74</v>
      </c>
      <c r="BB298">
        <v>157</v>
      </c>
      <c r="BC298">
        <v>180</v>
      </c>
      <c r="BD298" t="s">
        <v>74</v>
      </c>
      <c r="BE298" t="s">
        <v>6327</v>
      </c>
      <c r="BF298" t="str">
        <f>HYPERLINK("http://dx.doi.org/10.24059/olj.v28i3.4497","http://dx.doi.org/10.24059/olj.v28i3.4497")</f>
        <v>http://dx.doi.org/10.24059/olj.v28i3.4497</v>
      </c>
      <c r="BG298" t="s">
        <v>74</v>
      </c>
      <c r="BH298" t="s">
        <v>74</v>
      </c>
      <c r="BI298">
        <v>24</v>
      </c>
      <c r="BJ298" t="s">
        <v>318</v>
      </c>
      <c r="BK298" t="s">
        <v>102</v>
      </c>
      <c r="BL298" t="s">
        <v>318</v>
      </c>
      <c r="BM298" t="s">
        <v>6328</v>
      </c>
      <c r="BN298" t="s">
        <v>74</v>
      </c>
      <c r="BO298" t="s">
        <v>372</v>
      </c>
      <c r="BP298" t="s">
        <v>74</v>
      </c>
      <c r="BQ298" t="s">
        <v>74</v>
      </c>
      <c r="BR298" t="s">
        <v>106</v>
      </c>
      <c r="BS298" t="s">
        <v>6329</v>
      </c>
      <c r="BT298" t="str">
        <f>HYPERLINK("https%3A%2F%2Fwww.webofscience.com%2Fwos%2Fwoscc%2Ffull-record%2FWOS:001309228000007","View Full Record in Web of Science")</f>
        <v>View Full Record in Web of Science</v>
      </c>
    </row>
    <row r="299" spans="1:72" x14ac:dyDescent="0.25">
      <c r="A299" t="s">
        <v>108</v>
      </c>
      <c r="B299" t="s">
        <v>5971</v>
      </c>
      <c r="C299" t="s">
        <v>74</v>
      </c>
      <c r="D299" t="s">
        <v>6330</v>
      </c>
      <c r="E299" t="s">
        <v>74</v>
      </c>
      <c r="F299" t="s">
        <v>5972</v>
      </c>
      <c r="G299" t="s">
        <v>74</v>
      </c>
      <c r="H299" t="s">
        <v>74</v>
      </c>
      <c r="I299" t="s">
        <v>6331</v>
      </c>
      <c r="J299" t="s">
        <v>6332</v>
      </c>
      <c r="K299" t="s">
        <v>4853</v>
      </c>
      <c r="L299" t="s">
        <v>74</v>
      </c>
      <c r="M299" t="s">
        <v>78</v>
      </c>
      <c r="N299" t="s">
        <v>115</v>
      </c>
      <c r="O299" t="s">
        <v>6333</v>
      </c>
      <c r="P299" t="s">
        <v>6334</v>
      </c>
      <c r="Q299" t="s">
        <v>6335</v>
      </c>
      <c r="R299" t="s">
        <v>74</v>
      </c>
      <c r="S299" t="s">
        <v>74</v>
      </c>
      <c r="T299" t="s">
        <v>6336</v>
      </c>
      <c r="U299" t="s">
        <v>5976</v>
      </c>
      <c r="V299" t="s">
        <v>6337</v>
      </c>
      <c r="W299" t="s">
        <v>6338</v>
      </c>
      <c r="X299" t="s">
        <v>5979</v>
      </c>
      <c r="Y299" t="s">
        <v>6339</v>
      </c>
      <c r="Z299" t="s">
        <v>5981</v>
      </c>
      <c r="AA299" t="s">
        <v>6340</v>
      </c>
      <c r="AB299" t="s">
        <v>74</v>
      </c>
      <c r="AC299" t="s">
        <v>74</v>
      </c>
      <c r="AD299" t="s">
        <v>74</v>
      </c>
      <c r="AE299" t="s">
        <v>74</v>
      </c>
      <c r="AF299" t="s">
        <v>74</v>
      </c>
      <c r="AG299">
        <v>23</v>
      </c>
      <c r="AH299">
        <v>0</v>
      </c>
      <c r="AI299">
        <v>0</v>
      </c>
      <c r="AJ299">
        <v>0</v>
      </c>
      <c r="AK299">
        <v>0</v>
      </c>
      <c r="AL299" t="s">
        <v>129</v>
      </c>
      <c r="AM299" t="s">
        <v>130</v>
      </c>
      <c r="AN299" t="s">
        <v>131</v>
      </c>
      <c r="AO299" t="s">
        <v>4865</v>
      </c>
      <c r="AP299" t="s">
        <v>4866</v>
      </c>
      <c r="AQ299" t="s">
        <v>6341</v>
      </c>
      <c r="AR299" t="s">
        <v>4868</v>
      </c>
      <c r="AS299" t="s">
        <v>74</v>
      </c>
      <c r="AT299" t="s">
        <v>74</v>
      </c>
      <c r="AU299">
        <v>2021</v>
      </c>
      <c r="AV299">
        <v>1410</v>
      </c>
      <c r="AW299" t="s">
        <v>74</v>
      </c>
      <c r="AX299" t="s">
        <v>74</v>
      </c>
      <c r="AY299" t="s">
        <v>74</v>
      </c>
      <c r="AZ299" t="s">
        <v>74</v>
      </c>
      <c r="BA299" t="s">
        <v>74</v>
      </c>
      <c r="BB299">
        <v>333</v>
      </c>
      <c r="BC299">
        <v>347</v>
      </c>
      <c r="BD299" t="s">
        <v>74</v>
      </c>
      <c r="BE299" t="s">
        <v>6342</v>
      </c>
      <c r="BF299" t="str">
        <f>HYPERLINK("http://dx.doi.org/10.1007/978-3-030-76228-5_24","http://dx.doi.org/10.1007/978-3-030-76228-5_24")</f>
        <v>http://dx.doi.org/10.1007/978-3-030-76228-5_24</v>
      </c>
      <c r="BG299" t="s">
        <v>74</v>
      </c>
      <c r="BH299" t="s">
        <v>74</v>
      </c>
      <c r="BI299">
        <v>15</v>
      </c>
      <c r="BJ299" t="s">
        <v>3345</v>
      </c>
      <c r="BK299" t="s">
        <v>203</v>
      </c>
      <c r="BL299" t="s">
        <v>103</v>
      </c>
      <c r="BM299" t="s">
        <v>6343</v>
      </c>
      <c r="BN299" t="s">
        <v>74</v>
      </c>
      <c r="BO299" t="s">
        <v>74</v>
      </c>
      <c r="BP299" t="s">
        <v>74</v>
      </c>
      <c r="BQ299" t="s">
        <v>74</v>
      </c>
      <c r="BR299" t="s">
        <v>106</v>
      </c>
      <c r="BS299" t="s">
        <v>6344</v>
      </c>
      <c r="BT299" t="str">
        <f>HYPERLINK("https%3A%2F%2Fwww.webofscience.com%2Fwos%2Fwoscc%2Ffull-record%2FWOS:001557302500024","View Full Record in Web of Science")</f>
        <v>View Full Record in Web of Science</v>
      </c>
    </row>
    <row r="300" spans="1:72" x14ac:dyDescent="0.25">
      <c r="A300" t="s">
        <v>72</v>
      </c>
      <c r="B300" t="s">
        <v>6345</v>
      </c>
      <c r="C300" t="s">
        <v>74</v>
      </c>
      <c r="D300" t="s">
        <v>74</v>
      </c>
      <c r="E300" t="s">
        <v>74</v>
      </c>
      <c r="F300" t="s">
        <v>6346</v>
      </c>
      <c r="G300" t="s">
        <v>74</v>
      </c>
      <c r="H300" t="s">
        <v>74</v>
      </c>
      <c r="I300" t="s">
        <v>6347</v>
      </c>
      <c r="J300" t="s">
        <v>3900</v>
      </c>
      <c r="K300" t="s">
        <v>74</v>
      </c>
      <c r="L300" t="s">
        <v>74</v>
      </c>
      <c r="M300" t="s">
        <v>78</v>
      </c>
      <c r="N300" t="s">
        <v>79</v>
      </c>
      <c r="O300" t="s">
        <v>74</v>
      </c>
      <c r="P300" t="s">
        <v>74</v>
      </c>
      <c r="Q300" t="s">
        <v>74</v>
      </c>
      <c r="R300" t="s">
        <v>74</v>
      </c>
      <c r="S300" t="s">
        <v>74</v>
      </c>
      <c r="T300" t="s">
        <v>74</v>
      </c>
      <c r="U300" t="s">
        <v>6348</v>
      </c>
      <c r="V300" t="s">
        <v>6349</v>
      </c>
      <c r="W300" t="s">
        <v>6350</v>
      </c>
      <c r="X300" t="s">
        <v>6351</v>
      </c>
      <c r="Y300" t="s">
        <v>6352</v>
      </c>
      <c r="Z300" t="s">
        <v>6353</v>
      </c>
      <c r="AA300" t="s">
        <v>6354</v>
      </c>
      <c r="AB300" t="s">
        <v>6355</v>
      </c>
      <c r="AC300" t="s">
        <v>6356</v>
      </c>
      <c r="AD300" t="s">
        <v>6357</v>
      </c>
      <c r="AE300" t="s">
        <v>6358</v>
      </c>
      <c r="AF300" t="s">
        <v>74</v>
      </c>
      <c r="AG300">
        <v>45</v>
      </c>
      <c r="AH300">
        <v>16</v>
      </c>
      <c r="AI300">
        <v>21</v>
      </c>
      <c r="AJ300">
        <v>0</v>
      </c>
      <c r="AK300">
        <v>2</v>
      </c>
      <c r="AL300" t="s">
        <v>2870</v>
      </c>
      <c r="AM300" t="s">
        <v>1320</v>
      </c>
      <c r="AN300" t="s">
        <v>2871</v>
      </c>
      <c r="AO300" t="s">
        <v>3912</v>
      </c>
      <c r="AP300" t="s">
        <v>3913</v>
      </c>
      <c r="AQ300" t="s">
        <v>74</v>
      </c>
      <c r="AR300" t="s">
        <v>3900</v>
      </c>
      <c r="AS300" t="s">
        <v>3914</v>
      </c>
      <c r="AT300" t="s">
        <v>4333</v>
      </c>
      <c r="AU300">
        <v>2020</v>
      </c>
      <c r="AV300">
        <v>2020</v>
      </c>
      <c r="AW300" t="s">
        <v>74</v>
      </c>
      <c r="AX300" t="s">
        <v>74</v>
      </c>
      <c r="AY300" t="s">
        <v>74</v>
      </c>
      <c r="AZ300" t="s">
        <v>74</v>
      </c>
      <c r="BA300" t="s">
        <v>74</v>
      </c>
      <c r="BB300" t="s">
        <v>74</v>
      </c>
      <c r="BC300" t="s">
        <v>74</v>
      </c>
      <c r="BD300" t="s">
        <v>74</v>
      </c>
      <c r="BE300" t="s">
        <v>6359</v>
      </c>
      <c r="BF300" t="str">
        <f>HYPERLINK("http://dx.doi.org/10.1155/2020/8892552","http://dx.doi.org/10.1155/2020/8892552")</f>
        <v>http://dx.doi.org/10.1155/2020/8892552</v>
      </c>
      <c r="BG300" t="s">
        <v>74</v>
      </c>
      <c r="BH300" t="s">
        <v>74</v>
      </c>
      <c r="BI300">
        <v>11</v>
      </c>
      <c r="BJ300" t="s">
        <v>3917</v>
      </c>
      <c r="BK300" t="s">
        <v>902</v>
      </c>
      <c r="BL300" t="s">
        <v>3918</v>
      </c>
      <c r="BM300" t="s">
        <v>6360</v>
      </c>
      <c r="BN300" t="s">
        <v>74</v>
      </c>
      <c r="BO300" t="s">
        <v>398</v>
      </c>
      <c r="BP300" t="s">
        <v>74</v>
      </c>
      <c r="BQ300" t="s">
        <v>74</v>
      </c>
      <c r="BR300" t="s">
        <v>106</v>
      </c>
      <c r="BS300" t="s">
        <v>6361</v>
      </c>
      <c r="BT300" t="str">
        <f>HYPERLINK("https%3A%2F%2Fwww.webofscience.com%2Fwos%2Fwoscc%2Ffull-record%2FWOS:000607831300003","View Full Record in Web of Science")</f>
        <v>View Full Record in Web of Science</v>
      </c>
    </row>
    <row r="301" spans="1:72" x14ac:dyDescent="0.25">
      <c r="A301" t="s">
        <v>108</v>
      </c>
      <c r="B301" t="s">
        <v>6362</v>
      </c>
      <c r="C301" t="s">
        <v>74</v>
      </c>
      <c r="D301" t="s">
        <v>6363</v>
      </c>
      <c r="E301" t="s">
        <v>74</v>
      </c>
      <c r="F301" t="s">
        <v>6364</v>
      </c>
      <c r="G301" t="s">
        <v>74</v>
      </c>
      <c r="H301" t="s">
        <v>74</v>
      </c>
      <c r="I301" t="s">
        <v>6365</v>
      </c>
      <c r="J301" t="s">
        <v>6366</v>
      </c>
      <c r="K301" t="s">
        <v>6367</v>
      </c>
      <c r="L301" t="s">
        <v>74</v>
      </c>
      <c r="M301" t="s">
        <v>78</v>
      </c>
      <c r="N301" t="s">
        <v>115</v>
      </c>
      <c r="O301" t="s">
        <v>6368</v>
      </c>
      <c r="P301" t="s">
        <v>6369</v>
      </c>
      <c r="Q301" t="s">
        <v>2643</v>
      </c>
      <c r="R301" t="s">
        <v>6370</v>
      </c>
      <c r="S301" t="s">
        <v>74</v>
      </c>
      <c r="T301" t="s">
        <v>6371</v>
      </c>
      <c r="U301" t="s">
        <v>74</v>
      </c>
      <c r="V301" t="s">
        <v>6372</v>
      </c>
      <c r="W301" t="s">
        <v>6373</v>
      </c>
      <c r="X301" t="s">
        <v>3053</v>
      </c>
      <c r="Y301" t="s">
        <v>6374</v>
      </c>
      <c r="Z301" t="s">
        <v>74</v>
      </c>
      <c r="AA301" t="s">
        <v>74</v>
      </c>
      <c r="AB301" t="s">
        <v>74</v>
      </c>
      <c r="AC301" t="s">
        <v>6375</v>
      </c>
      <c r="AD301" t="s">
        <v>6376</v>
      </c>
      <c r="AE301" t="s">
        <v>6377</v>
      </c>
      <c r="AF301" t="s">
        <v>74</v>
      </c>
      <c r="AG301">
        <v>15</v>
      </c>
      <c r="AH301">
        <v>0</v>
      </c>
      <c r="AI301">
        <v>0</v>
      </c>
      <c r="AJ301">
        <v>0</v>
      </c>
      <c r="AK301">
        <v>5</v>
      </c>
      <c r="AL301" t="s">
        <v>2605</v>
      </c>
      <c r="AM301" t="s">
        <v>2606</v>
      </c>
      <c r="AN301" t="s">
        <v>2607</v>
      </c>
      <c r="AO301" t="s">
        <v>6378</v>
      </c>
      <c r="AP301" t="s">
        <v>74</v>
      </c>
      <c r="AQ301" t="s">
        <v>6379</v>
      </c>
      <c r="AR301" t="s">
        <v>6380</v>
      </c>
      <c r="AS301" t="s">
        <v>74</v>
      </c>
      <c r="AT301" t="s">
        <v>74</v>
      </c>
      <c r="AU301">
        <v>2018</v>
      </c>
      <c r="AV301">
        <v>151</v>
      </c>
      <c r="AW301" t="s">
        <v>74</v>
      </c>
      <c r="AX301" t="s">
        <v>74</v>
      </c>
      <c r="AY301" t="s">
        <v>74</v>
      </c>
      <c r="AZ301" t="s">
        <v>74</v>
      </c>
      <c r="BA301" t="s">
        <v>74</v>
      </c>
      <c r="BB301">
        <v>1</v>
      </c>
      <c r="BC301">
        <v>3</v>
      </c>
      <c r="BD301" t="s">
        <v>74</v>
      </c>
      <c r="BE301" t="s">
        <v>74</v>
      </c>
      <c r="BF301" t="s">
        <v>74</v>
      </c>
      <c r="BG301" t="s">
        <v>74</v>
      </c>
      <c r="BH301" t="s">
        <v>74</v>
      </c>
      <c r="BI301">
        <v>3</v>
      </c>
      <c r="BJ301" t="s">
        <v>1399</v>
      </c>
      <c r="BK301" t="s">
        <v>203</v>
      </c>
      <c r="BL301" t="s">
        <v>103</v>
      </c>
      <c r="BM301" t="s">
        <v>6381</v>
      </c>
      <c r="BN301" t="s">
        <v>74</v>
      </c>
      <c r="BO301" t="s">
        <v>74</v>
      </c>
      <c r="BP301" t="s">
        <v>74</v>
      </c>
      <c r="BQ301" t="s">
        <v>74</v>
      </c>
      <c r="BR301" t="s">
        <v>106</v>
      </c>
      <c r="BS301" t="s">
        <v>6382</v>
      </c>
      <c r="BT301" t="str">
        <f>HYPERLINK("https%3A%2F%2Fwww.webofscience.com%2Fwos%2Fwoscc%2Ffull-record%2FWOS:000452695100001","View Full Record in Web of Science")</f>
        <v>View Full Record in Web of Science</v>
      </c>
    </row>
    <row r="302" spans="1:72" x14ac:dyDescent="0.25">
      <c r="A302" t="s">
        <v>108</v>
      </c>
      <c r="B302" t="s">
        <v>6383</v>
      </c>
      <c r="C302" t="s">
        <v>74</v>
      </c>
      <c r="D302" t="s">
        <v>6384</v>
      </c>
      <c r="E302" t="s">
        <v>74</v>
      </c>
      <c r="F302" t="s">
        <v>6385</v>
      </c>
      <c r="G302" t="s">
        <v>74</v>
      </c>
      <c r="H302" t="s">
        <v>74</v>
      </c>
      <c r="I302" t="s">
        <v>6386</v>
      </c>
      <c r="J302" t="s">
        <v>6387</v>
      </c>
      <c r="K302" t="s">
        <v>147</v>
      </c>
      <c r="L302" t="s">
        <v>74</v>
      </c>
      <c r="M302" t="s">
        <v>78</v>
      </c>
      <c r="N302" t="s">
        <v>115</v>
      </c>
      <c r="O302" t="s">
        <v>6388</v>
      </c>
      <c r="P302" t="s">
        <v>6389</v>
      </c>
      <c r="Q302" t="s">
        <v>935</v>
      </c>
      <c r="R302" t="s">
        <v>74</v>
      </c>
      <c r="S302" t="s">
        <v>74</v>
      </c>
      <c r="T302" t="s">
        <v>6390</v>
      </c>
      <c r="U302" t="s">
        <v>74</v>
      </c>
      <c r="V302" t="s">
        <v>6391</v>
      </c>
      <c r="W302" t="s">
        <v>6392</v>
      </c>
      <c r="X302" t="s">
        <v>2647</v>
      </c>
      <c r="Y302" t="s">
        <v>6393</v>
      </c>
      <c r="Z302" t="s">
        <v>6394</v>
      </c>
      <c r="AA302" t="s">
        <v>6395</v>
      </c>
      <c r="AB302" t="s">
        <v>74</v>
      </c>
      <c r="AC302" t="s">
        <v>74</v>
      </c>
      <c r="AD302" t="s">
        <v>74</v>
      </c>
      <c r="AE302" t="s">
        <v>74</v>
      </c>
      <c r="AF302" t="s">
        <v>74</v>
      </c>
      <c r="AG302">
        <v>10</v>
      </c>
      <c r="AH302">
        <v>17</v>
      </c>
      <c r="AI302">
        <v>21</v>
      </c>
      <c r="AJ302">
        <v>0</v>
      </c>
      <c r="AK302">
        <v>2</v>
      </c>
      <c r="AL302" t="s">
        <v>129</v>
      </c>
      <c r="AM302" t="s">
        <v>130</v>
      </c>
      <c r="AN302" t="s">
        <v>131</v>
      </c>
      <c r="AO302" t="s">
        <v>159</v>
      </c>
      <c r="AP302" t="s">
        <v>133</v>
      </c>
      <c r="AQ302" t="s">
        <v>6396</v>
      </c>
      <c r="AR302" t="s">
        <v>161</v>
      </c>
      <c r="AS302" t="s">
        <v>74</v>
      </c>
      <c r="AT302" t="s">
        <v>74</v>
      </c>
      <c r="AU302">
        <v>2014</v>
      </c>
      <c r="AV302">
        <v>8597</v>
      </c>
      <c r="AW302" t="s">
        <v>74</v>
      </c>
      <c r="AX302" t="s">
        <v>74</v>
      </c>
      <c r="AY302" t="s">
        <v>74</v>
      </c>
      <c r="AZ302" t="s">
        <v>74</v>
      </c>
      <c r="BA302" t="s">
        <v>74</v>
      </c>
      <c r="BB302">
        <v>325</v>
      </c>
      <c r="BC302">
        <v>336</v>
      </c>
      <c r="BD302" t="s">
        <v>74</v>
      </c>
      <c r="BE302" t="s">
        <v>6397</v>
      </c>
      <c r="BF302" t="str">
        <f>HYPERLINK("http://dx.doi.org/10.1007/978-3-319-11538-2_30","http://dx.doi.org/10.1007/978-3-319-11538-2_30")</f>
        <v>http://dx.doi.org/10.1007/978-3-319-11538-2_30</v>
      </c>
      <c r="BG302" t="s">
        <v>74</v>
      </c>
      <c r="BH302" t="s">
        <v>74</v>
      </c>
      <c r="BI302">
        <v>12</v>
      </c>
      <c r="BJ302" t="s">
        <v>696</v>
      </c>
      <c r="BK302" t="s">
        <v>203</v>
      </c>
      <c r="BL302" t="s">
        <v>103</v>
      </c>
      <c r="BM302" t="s">
        <v>6398</v>
      </c>
      <c r="BN302" t="s">
        <v>74</v>
      </c>
      <c r="BO302" t="s">
        <v>74</v>
      </c>
      <c r="BP302" t="s">
        <v>74</v>
      </c>
      <c r="BQ302" t="s">
        <v>74</v>
      </c>
      <c r="BR302" t="s">
        <v>106</v>
      </c>
      <c r="BS302" t="s">
        <v>6399</v>
      </c>
      <c r="BT302" t="str">
        <f>HYPERLINK("https%3A%2F%2Fwww.webofscience.com%2Fwos%2Fwoscc%2Ffull-record%2FWOS:000347619000030","View Full Record in Web of Science")</f>
        <v>View Full Record in Web of Science</v>
      </c>
    </row>
    <row r="303" spans="1:72" x14ac:dyDescent="0.25">
      <c r="A303" t="s">
        <v>108</v>
      </c>
      <c r="B303" t="s">
        <v>6400</v>
      </c>
      <c r="C303" t="s">
        <v>74</v>
      </c>
      <c r="D303" t="s">
        <v>74</v>
      </c>
      <c r="E303" t="s">
        <v>273</v>
      </c>
      <c r="F303" t="s">
        <v>6401</v>
      </c>
      <c r="G303" t="s">
        <v>74</v>
      </c>
      <c r="H303" t="s">
        <v>74</v>
      </c>
      <c r="I303" t="s">
        <v>6402</v>
      </c>
      <c r="J303" t="s">
        <v>2762</v>
      </c>
      <c r="K303" t="s">
        <v>74</v>
      </c>
      <c r="L303" t="s">
        <v>74</v>
      </c>
      <c r="M303" t="s">
        <v>78</v>
      </c>
      <c r="N303" t="s">
        <v>115</v>
      </c>
      <c r="O303" t="s">
        <v>2763</v>
      </c>
      <c r="P303" t="s">
        <v>2764</v>
      </c>
      <c r="Q303" t="s">
        <v>2765</v>
      </c>
      <c r="R303" t="s">
        <v>2766</v>
      </c>
      <c r="S303" t="s">
        <v>74</v>
      </c>
      <c r="T303" t="s">
        <v>6403</v>
      </c>
      <c r="U303" t="s">
        <v>74</v>
      </c>
      <c r="V303" t="s">
        <v>6404</v>
      </c>
      <c r="W303" t="s">
        <v>6405</v>
      </c>
      <c r="X303" t="s">
        <v>6406</v>
      </c>
      <c r="Y303" t="s">
        <v>6407</v>
      </c>
      <c r="Z303" t="s">
        <v>6408</v>
      </c>
      <c r="AA303" t="s">
        <v>74</v>
      </c>
      <c r="AB303" t="s">
        <v>74</v>
      </c>
      <c r="AC303" t="s">
        <v>74</v>
      </c>
      <c r="AD303" t="s">
        <v>74</v>
      </c>
      <c r="AE303" t="s">
        <v>74</v>
      </c>
      <c r="AF303" t="s">
        <v>74</v>
      </c>
      <c r="AG303">
        <v>7</v>
      </c>
      <c r="AH303">
        <v>9</v>
      </c>
      <c r="AI303">
        <v>9</v>
      </c>
      <c r="AJ303">
        <v>0</v>
      </c>
      <c r="AK303">
        <v>3</v>
      </c>
      <c r="AL303" t="s">
        <v>291</v>
      </c>
      <c r="AM303" t="s">
        <v>92</v>
      </c>
      <c r="AN303" t="s">
        <v>292</v>
      </c>
      <c r="AO303" t="s">
        <v>74</v>
      </c>
      <c r="AP303" t="s">
        <v>74</v>
      </c>
      <c r="AQ303" t="s">
        <v>2777</v>
      </c>
      <c r="AR303" t="s">
        <v>74</v>
      </c>
      <c r="AS303" t="s">
        <v>74</v>
      </c>
      <c r="AT303" t="s">
        <v>74</v>
      </c>
      <c r="AU303">
        <v>2014</v>
      </c>
      <c r="AV303" t="s">
        <v>74</v>
      </c>
      <c r="AW303" t="s">
        <v>74</v>
      </c>
      <c r="AX303" t="s">
        <v>74</v>
      </c>
      <c r="AY303" t="s">
        <v>74</v>
      </c>
      <c r="AZ303" t="s">
        <v>74</v>
      </c>
      <c r="BA303" t="s">
        <v>74</v>
      </c>
      <c r="BB303">
        <v>163</v>
      </c>
      <c r="BC303">
        <v>166</v>
      </c>
      <c r="BD303" t="s">
        <v>74</v>
      </c>
      <c r="BE303" t="s">
        <v>6409</v>
      </c>
      <c r="BF303" t="str">
        <f>HYPERLINK("http://dx.doi.org/10.1145/2567948.2577035","http://dx.doi.org/10.1145/2567948.2577035")</f>
        <v>http://dx.doi.org/10.1145/2567948.2577035</v>
      </c>
      <c r="BG303" t="s">
        <v>74</v>
      </c>
      <c r="BH303" t="s">
        <v>74</v>
      </c>
      <c r="BI303">
        <v>4</v>
      </c>
      <c r="BJ303" t="s">
        <v>696</v>
      </c>
      <c r="BK303" t="s">
        <v>203</v>
      </c>
      <c r="BL303" t="s">
        <v>103</v>
      </c>
      <c r="BM303" t="s">
        <v>2779</v>
      </c>
      <c r="BN303" t="s">
        <v>74</v>
      </c>
      <c r="BO303" t="s">
        <v>74</v>
      </c>
      <c r="BP303" t="s">
        <v>74</v>
      </c>
      <c r="BQ303" t="s">
        <v>74</v>
      </c>
      <c r="BR303" t="s">
        <v>106</v>
      </c>
      <c r="BS303" t="s">
        <v>6410</v>
      </c>
      <c r="BT303" t="str">
        <f>HYPERLINK("https%3A%2F%2Fwww.webofscience.com%2Fwos%2Fwoscc%2Ffull-record%2FWOS:000455947000035","View Full Record in Web of Science")</f>
        <v>View Full Record in Web of Science</v>
      </c>
    </row>
    <row r="304" spans="1:72" x14ac:dyDescent="0.25">
      <c r="A304" t="s">
        <v>72</v>
      </c>
      <c r="B304" t="s">
        <v>6411</v>
      </c>
      <c r="C304" t="s">
        <v>74</v>
      </c>
      <c r="D304" t="s">
        <v>74</v>
      </c>
      <c r="E304" t="s">
        <v>74</v>
      </c>
      <c r="F304" t="s">
        <v>6412</v>
      </c>
      <c r="G304" t="s">
        <v>74</v>
      </c>
      <c r="H304" t="s">
        <v>74</v>
      </c>
      <c r="I304" t="s">
        <v>6413</v>
      </c>
      <c r="J304" t="s">
        <v>2480</v>
      </c>
      <c r="K304" t="s">
        <v>74</v>
      </c>
      <c r="L304" t="s">
        <v>74</v>
      </c>
      <c r="M304" t="s">
        <v>78</v>
      </c>
      <c r="N304" t="s">
        <v>79</v>
      </c>
      <c r="O304" t="s">
        <v>74</v>
      </c>
      <c r="P304" t="s">
        <v>74</v>
      </c>
      <c r="Q304" t="s">
        <v>74</v>
      </c>
      <c r="R304" t="s">
        <v>74</v>
      </c>
      <c r="S304" t="s">
        <v>74</v>
      </c>
      <c r="T304" t="s">
        <v>6414</v>
      </c>
      <c r="U304" t="s">
        <v>74</v>
      </c>
      <c r="V304" t="s">
        <v>6415</v>
      </c>
      <c r="W304" t="s">
        <v>6416</v>
      </c>
      <c r="X304" t="s">
        <v>6417</v>
      </c>
      <c r="Y304" t="s">
        <v>6418</v>
      </c>
      <c r="Z304" t="s">
        <v>6419</v>
      </c>
      <c r="AA304" t="s">
        <v>6420</v>
      </c>
      <c r="AB304" t="s">
        <v>6421</v>
      </c>
      <c r="AC304" t="s">
        <v>6422</v>
      </c>
      <c r="AD304" t="s">
        <v>6175</v>
      </c>
      <c r="AE304" t="s">
        <v>74</v>
      </c>
      <c r="AF304" t="s">
        <v>74</v>
      </c>
      <c r="AG304">
        <v>31</v>
      </c>
      <c r="AH304">
        <v>8</v>
      </c>
      <c r="AI304">
        <v>11</v>
      </c>
      <c r="AJ304">
        <v>0</v>
      </c>
      <c r="AK304">
        <v>7</v>
      </c>
      <c r="AL304" t="s">
        <v>178</v>
      </c>
      <c r="AM304" t="s">
        <v>1005</v>
      </c>
      <c r="AN304" t="s">
        <v>1006</v>
      </c>
      <c r="AO304" t="s">
        <v>2489</v>
      </c>
      <c r="AP304" t="s">
        <v>3079</v>
      </c>
      <c r="AQ304" t="s">
        <v>74</v>
      </c>
      <c r="AR304" t="s">
        <v>2490</v>
      </c>
      <c r="AS304" t="s">
        <v>2491</v>
      </c>
      <c r="AT304" t="s">
        <v>1950</v>
      </c>
      <c r="AU304">
        <v>2017</v>
      </c>
      <c r="AV304">
        <v>76</v>
      </c>
      <c r="AW304">
        <v>4</v>
      </c>
      <c r="AX304" t="s">
        <v>74</v>
      </c>
      <c r="AY304" t="s">
        <v>74</v>
      </c>
      <c r="AZ304" t="s">
        <v>74</v>
      </c>
      <c r="BA304" t="s">
        <v>74</v>
      </c>
      <c r="BB304">
        <v>5461</v>
      </c>
      <c r="BC304">
        <v>5487</v>
      </c>
      <c r="BD304" t="s">
        <v>74</v>
      </c>
      <c r="BE304" t="s">
        <v>6423</v>
      </c>
      <c r="BF304" t="str">
        <f>HYPERLINK("http://dx.doi.org/10.1007/s11042-016-4034-6","http://dx.doi.org/10.1007/s11042-016-4034-6")</f>
        <v>http://dx.doi.org/10.1007/s11042-016-4034-6</v>
      </c>
      <c r="BG304" t="s">
        <v>74</v>
      </c>
      <c r="BH304" t="s">
        <v>74</v>
      </c>
      <c r="BI304">
        <v>27</v>
      </c>
      <c r="BJ304" t="s">
        <v>2493</v>
      </c>
      <c r="BK304" t="s">
        <v>902</v>
      </c>
      <c r="BL304" t="s">
        <v>953</v>
      </c>
      <c r="BM304" t="s">
        <v>6424</v>
      </c>
      <c r="BN304" t="s">
        <v>74</v>
      </c>
      <c r="BO304" t="s">
        <v>346</v>
      </c>
      <c r="BP304" t="s">
        <v>74</v>
      </c>
      <c r="BQ304" t="s">
        <v>74</v>
      </c>
      <c r="BR304" t="s">
        <v>106</v>
      </c>
      <c r="BS304" t="s">
        <v>6425</v>
      </c>
      <c r="BT304" t="str">
        <f>HYPERLINK("https%3A%2F%2Fwww.webofscience.com%2Fwos%2Fwoscc%2Ffull-record%2FWOS:000397020500035","View Full Record in Web of Science")</f>
        <v>View Full Record in Web of Science</v>
      </c>
    </row>
    <row r="305" spans="1:72" x14ac:dyDescent="0.25">
      <c r="A305" t="s">
        <v>108</v>
      </c>
      <c r="B305" t="s">
        <v>6426</v>
      </c>
      <c r="C305" t="s">
        <v>74</v>
      </c>
      <c r="D305" t="s">
        <v>74</v>
      </c>
      <c r="E305" t="s">
        <v>465</v>
      </c>
      <c r="F305" t="s">
        <v>6427</v>
      </c>
      <c r="G305" t="s">
        <v>74</v>
      </c>
      <c r="H305" t="s">
        <v>74</v>
      </c>
      <c r="I305" t="s">
        <v>6428</v>
      </c>
      <c r="J305" t="s">
        <v>6429</v>
      </c>
      <c r="K305" t="s">
        <v>6430</v>
      </c>
      <c r="L305" t="s">
        <v>74</v>
      </c>
      <c r="M305" t="s">
        <v>78</v>
      </c>
      <c r="N305" t="s">
        <v>115</v>
      </c>
      <c r="O305" t="s">
        <v>6431</v>
      </c>
      <c r="P305" t="s">
        <v>6432</v>
      </c>
      <c r="Q305" t="s">
        <v>6433</v>
      </c>
      <c r="R305" t="s">
        <v>6434</v>
      </c>
      <c r="S305" t="s">
        <v>6435</v>
      </c>
      <c r="T305" t="s">
        <v>6436</v>
      </c>
      <c r="U305" t="s">
        <v>74</v>
      </c>
      <c r="V305" t="s">
        <v>6437</v>
      </c>
      <c r="W305" t="s">
        <v>6438</v>
      </c>
      <c r="X305" t="s">
        <v>6439</v>
      </c>
      <c r="Y305" t="s">
        <v>6440</v>
      </c>
      <c r="Z305" t="s">
        <v>6441</v>
      </c>
      <c r="AA305" t="s">
        <v>6442</v>
      </c>
      <c r="AB305" t="s">
        <v>6443</v>
      </c>
      <c r="AC305" t="s">
        <v>74</v>
      </c>
      <c r="AD305" t="s">
        <v>74</v>
      </c>
      <c r="AE305" t="s">
        <v>74</v>
      </c>
      <c r="AF305" t="s">
        <v>74</v>
      </c>
      <c r="AG305">
        <v>29</v>
      </c>
      <c r="AH305">
        <v>3</v>
      </c>
      <c r="AI305">
        <v>6</v>
      </c>
      <c r="AJ305">
        <v>0</v>
      </c>
      <c r="AK305">
        <v>16</v>
      </c>
      <c r="AL305" t="s">
        <v>465</v>
      </c>
      <c r="AM305" t="s">
        <v>92</v>
      </c>
      <c r="AN305" t="s">
        <v>480</v>
      </c>
      <c r="AO305" t="s">
        <v>6444</v>
      </c>
      <c r="AP305" t="s">
        <v>6445</v>
      </c>
      <c r="AQ305" t="s">
        <v>6446</v>
      </c>
      <c r="AR305" t="s">
        <v>6447</v>
      </c>
      <c r="AS305" t="s">
        <v>74</v>
      </c>
      <c r="AT305" t="s">
        <v>74</v>
      </c>
      <c r="AU305">
        <v>2014</v>
      </c>
      <c r="AV305" t="s">
        <v>74</v>
      </c>
      <c r="AW305" t="s">
        <v>74</v>
      </c>
      <c r="AX305" t="s">
        <v>74</v>
      </c>
      <c r="AY305" t="s">
        <v>74</v>
      </c>
      <c r="AZ305" t="s">
        <v>74</v>
      </c>
      <c r="BA305" t="s">
        <v>74</v>
      </c>
      <c r="BB305">
        <v>29</v>
      </c>
      <c r="BC305">
        <v>38</v>
      </c>
      <c r="BD305" t="s">
        <v>74</v>
      </c>
      <c r="BE305" t="s">
        <v>74</v>
      </c>
      <c r="BF305" t="s">
        <v>74</v>
      </c>
      <c r="BG305" t="s">
        <v>74</v>
      </c>
      <c r="BH305" t="s">
        <v>74</v>
      </c>
      <c r="BI305">
        <v>10</v>
      </c>
      <c r="BJ305" t="s">
        <v>295</v>
      </c>
      <c r="BK305" t="s">
        <v>138</v>
      </c>
      <c r="BL305" t="s">
        <v>296</v>
      </c>
      <c r="BM305" t="s">
        <v>6448</v>
      </c>
      <c r="BN305" t="s">
        <v>74</v>
      </c>
      <c r="BO305" t="s">
        <v>74</v>
      </c>
      <c r="BP305" t="s">
        <v>74</v>
      </c>
      <c r="BQ305" t="s">
        <v>74</v>
      </c>
      <c r="BR305" t="s">
        <v>106</v>
      </c>
      <c r="BS305" t="s">
        <v>6449</v>
      </c>
      <c r="BT305" t="str">
        <f>HYPERLINK("https%3A%2F%2Fwww.webofscience.com%2Fwos%2Fwoscc%2Ffull-record%2FWOS:000383092300005","View Full Record in Web of Science")</f>
        <v>View Full Record in Web of Science</v>
      </c>
    </row>
    <row r="306" spans="1:72" x14ac:dyDescent="0.25">
      <c r="A306" t="s">
        <v>72</v>
      </c>
      <c r="B306" t="s">
        <v>6450</v>
      </c>
      <c r="C306" t="s">
        <v>74</v>
      </c>
      <c r="D306" t="s">
        <v>74</v>
      </c>
      <c r="E306" t="s">
        <v>74</v>
      </c>
      <c r="F306" t="s">
        <v>6451</v>
      </c>
      <c r="G306" t="s">
        <v>74</v>
      </c>
      <c r="H306" t="s">
        <v>74</v>
      </c>
      <c r="I306" t="s">
        <v>6452</v>
      </c>
      <c r="J306" t="s">
        <v>6453</v>
      </c>
      <c r="K306" t="s">
        <v>74</v>
      </c>
      <c r="L306" t="s">
        <v>74</v>
      </c>
      <c r="M306" t="s">
        <v>78</v>
      </c>
      <c r="N306" t="s">
        <v>79</v>
      </c>
      <c r="O306" t="s">
        <v>74</v>
      </c>
      <c r="P306" t="s">
        <v>74</v>
      </c>
      <c r="Q306" t="s">
        <v>74</v>
      </c>
      <c r="R306" t="s">
        <v>74</v>
      </c>
      <c r="S306" t="s">
        <v>74</v>
      </c>
      <c r="T306" t="s">
        <v>6454</v>
      </c>
      <c r="U306" t="s">
        <v>6455</v>
      </c>
      <c r="V306" t="s">
        <v>6456</v>
      </c>
      <c r="W306" t="s">
        <v>6457</v>
      </c>
      <c r="X306" t="s">
        <v>6458</v>
      </c>
      <c r="Y306" t="s">
        <v>6459</v>
      </c>
      <c r="Z306" t="s">
        <v>6460</v>
      </c>
      <c r="AA306" t="s">
        <v>6461</v>
      </c>
      <c r="AB306" t="s">
        <v>6462</v>
      </c>
      <c r="AC306" t="s">
        <v>74</v>
      </c>
      <c r="AD306" t="s">
        <v>74</v>
      </c>
      <c r="AE306" t="s">
        <v>74</v>
      </c>
      <c r="AF306" t="s">
        <v>74</v>
      </c>
      <c r="AG306">
        <v>27</v>
      </c>
      <c r="AH306">
        <v>0</v>
      </c>
      <c r="AI306">
        <v>0</v>
      </c>
      <c r="AJ306">
        <v>1</v>
      </c>
      <c r="AK306">
        <v>9</v>
      </c>
      <c r="AL306" t="s">
        <v>291</v>
      </c>
      <c r="AM306" t="s">
        <v>92</v>
      </c>
      <c r="AN306" t="s">
        <v>2534</v>
      </c>
      <c r="AO306" t="s">
        <v>6463</v>
      </c>
      <c r="AP306" t="s">
        <v>6464</v>
      </c>
      <c r="AQ306" t="s">
        <v>74</v>
      </c>
      <c r="AR306" t="s">
        <v>6465</v>
      </c>
      <c r="AS306" t="s">
        <v>6466</v>
      </c>
      <c r="AT306" t="s">
        <v>1278</v>
      </c>
      <c r="AU306">
        <v>2024</v>
      </c>
      <c r="AV306">
        <v>23</v>
      </c>
      <c r="AW306">
        <v>1</v>
      </c>
      <c r="AX306" t="s">
        <v>74</v>
      </c>
      <c r="AY306" t="s">
        <v>74</v>
      </c>
      <c r="AZ306" t="s">
        <v>74</v>
      </c>
      <c r="BA306" t="s">
        <v>74</v>
      </c>
      <c r="BB306" t="s">
        <v>74</v>
      </c>
      <c r="BC306" t="s">
        <v>74</v>
      </c>
      <c r="BD306">
        <v>10</v>
      </c>
      <c r="BE306" t="s">
        <v>6467</v>
      </c>
      <c r="BF306" t="str">
        <f>HYPERLINK("http://dx.doi.org/10.1145/3579165","http://dx.doi.org/10.1145/3579165")</f>
        <v>http://dx.doi.org/10.1145/3579165</v>
      </c>
      <c r="BG306" t="s">
        <v>74</v>
      </c>
      <c r="BH306" t="s">
        <v>74</v>
      </c>
      <c r="BI306">
        <v>17</v>
      </c>
      <c r="BJ306" t="s">
        <v>807</v>
      </c>
      <c r="BK306" t="s">
        <v>902</v>
      </c>
      <c r="BL306" t="s">
        <v>103</v>
      </c>
      <c r="BM306" t="s">
        <v>6468</v>
      </c>
      <c r="BN306" t="s">
        <v>74</v>
      </c>
      <c r="BO306" t="s">
        <v>205</v>
      </c>
      <c r="BP306" t="s">
        <v>74</v>
      </c>
      <c r="BQ306" t="s">
        <v>74</v>
      </c>
      <c r="BR306" t="s">
        <v>106</v>
      </c>
      <c r="BS306" t="s">
        <v>6469</v>
      </c>
      <c r="BT306" t="str">
        <f>HYPERLINK("https%3A%2F%2Fwww.webofscience.com%2Fwos%2Fwoscc%2Ffull-record%2FWOS:001168635200010","View Full Record in Web of Science")</f>
        <v>View Full Record in Web of Science</v>
      </c>
    </row>
    <row r="307" spans="1:72" x14ac:dyDescent="0.25">
      <c r="A307" t="s">
        <v>108</v>
      </c>
      <c r="B307" t="s">
        <v>6470</v>
      </c>
      <c r="C307" t="s">
        <v>74</v>
      </c>
      <c r="D307" t="s">
        <v>74</v>
      </c>
      <c r="E307" t="s">
        <v>465</v>
      </c>
      <c r="F307" t="s">
        <v>6471</v>
      </c>
      <c r="G307" t="s">
        <v>74</v>
      </c>
      <c r="H307" t="s">
        <v>74</v>
      </c>
      <c r="I307" t="s">
        <v>6472</v>
      </c>
      <c r="J307" t="s">
        <v>6473</v>
      </c>
      <c r="K307" t="s">
        <v>6474</v>
      </c>
      <c r="L307" t="s">
        <v>74</v>
      </c>
      <c r="M307" t="s">
        <v>78</v>
      </c>
      <c r="N307" t="s">
        <v>115</v>
      </c>
      <c r="O307" t="s">
        <v>6475</v>
      </c>
      <c r="P307" t="s">
        <v>6476</v>
      </c>
      <c r="Q307" t="s">
        <v>2887</v>
      </c>
      <c r="R307" t="s">
        <v>6477</v>
      </c>
      <c r="S307" t="s">
        <v>74</v>
      </c>
      <c r="T307" t="s">
        <v>74</v>
      </c>
      <c r="U307" t="s">
        <v>74</v>
      </c>
      <c r="V307" t="s">
        <v>6478</v>
      </c>
      <c r="W307" t="s">
        <v>6479</v>
      </c>
      <c r="X307" t="s">
        <v>6480</v>
      </c>
      <c r="Y307" t="s">
        <v>6481</v>
      </c>
      <c r="Z307" t="s">
        <v>6482</v>
      </c>
      <c r="AA307" t="s">
        <v>6483</v>
      </c>
      <c r="AB307" t="s">
        <v>6484</v>
      </c>
      <c r="AC307" t="s">
        <v>74</v>
      </c>
      <c r="AD307" t="s">
        <v>74</v>
      </c>
      <c r="AE307" t="s">
        <v>74</v>
      </c>
      <c r="AF307" t="s">
        <v>74</v>
      </c>
      <c r="AG307">
        <v>19</v>
      </c>
      <c r="AH307">
        <v>1</v>
      </c>
      <c r="AI307">
        <v>1</v>
      </c>
      <c r="AJ307">
        <v>0</v>
      </c>
      <c r="AK307">
        <v>0</v>
      </c>
      <c r="AL307" t="s">
        <v>465</v>
      </c>
      <c r="AM307" t="s">
        <v>92</v>
      </c>
      <c r="AN307" t="s">
        <v>480</v>
      </c>
      <c r="AO307" t="s">
        <v>6485</v>
      </c>
      <c r="AP307" t="s">
        <v>74</v>
      </c>
      <c r="AQ307" t="s">
        <v>6486</v>
      </c>
      <c r="AR307" t="s">
        <v>6487</v>
      </c>
      <c r="AS307" t="s">
        <v>74</v>
      </c>
      <c r="AT307" t="s">
        <v>74</v>
      </c>
      <c r="AU307">
        <v>2017</v>
      </c>
      <c r="AV307" t="s">
        <v>74</v>
      </c>
      <c r="AW307" t="s">
        <v>74</v>
      </c>
      <c r="AX307" t="s">
        <v>74</v>
      </c>
      <c r="AY307" t="s">
        <v>74</v>
      </c>
      <c r="AZ307" t="s">
        <v>74</v>
      </c>
      <c r="BA307" t="s">
        <v>74</v>
      </c>
      <c r="BB307" t="s">
        <v>74</v>
      </c>
      <c r="BC307" t="s">
        <v>74</v>
      </c>
      <c r="BD307" t="s">
        <v>74</v>
      </c>
      <c r="BE307" t="s">
        <v>74</v>
      </c>
      <c r="BF307" t="s">
        <v>74</v>
      </c>
      <c r="BG307" t="s">
        <v>74</v>
      </c>
      <c r="BH307" t="s">
        <v>74</v>
      </c>
      <c r="BI307">
        <v>7</v>
      </c>
      <c r="BJ307" t="s">
        <v>952</v>
      </c>
      <c r="BK307" t="s">
        <v>203</v>
      </c>
      <c r="BL307" t="s">
        <v>953</v>
      </c>
      <c r="BM307" t="s">
        <v>6488</v>
      </c>
      <c r="BN307" t="s">
        <v>74</v>
      </c>
      <c r="BO307" t="s">
        <v>74</v>
      </c>
      <c r="BP307" t="s">
        <v>74</v>
      </c>
      <c r="BQ307" t="s">
        <v>74</v>
      </c>
      <c r="BR307" t="s">
        <v>106</v>
      </c>
      <c r="BS307" t="s">
        <v>6489</v>
      </c>
      <c r="BT307" t="str">
        <f>HYPERLINK("https%3A%2F%2Fwww.webofscience.com%2Fwos%2Fwoscc%2Ffull-record%2FWOS:000426449100254","View Full Record in Web of Science")</f>
        <v>View Full Record in Web of Science</v>
      </c>
    </row>
    <row r="308" spans="1:72" x14ac:dyDescent="0.25">
      <c r="A308" t="s">
        <v>72</v>
      </c>
      <c r="B308" t="s">
        <v>6490</v>
      </c>
      <c r="C308" t="s">
        <v>74</v>
      </c>
      <c r="D308" t="s">
        <v>74</v>
      </c>
      <c r="E308" t="s">
        <v>74</v>
      </c>
      <c r="F308" t="s">
        <v>6491</v>
      </c>
      <c r="G308" t="s">
        <v>74</v>
      </c>
      <c r="H308" t="s">
        <v>74</v>
      </c>
      <c r="I308" t="s">
        <v>6492</v>
      </c>
      <c r="J308" t="s">
        <v>3418</v>
      </c>
      <c r="K308" t="s">
        <v>74</v>
      </c>
      <c r="L308" t="s">
        <v>74</v>
      </c>
      <c r="M308" t="s">
        <v>78</v>
      </c>
      <c r="N308" t="s">
        <v>79</v>
      </c>
      <c r="O308" t="s">
        <v>74</v>
      </c>
      <c r="P308" t="s">
        <v>74</v>
      </c>
      <c r="Q308" t="s">
        <v>74</v>
      </c>
      <c r="R308" t="s">
        <v>74</v>
      </c>
      <c r="S308" t="s">
        <v>74</v>
      </c>
      <c r="T308" t="s">
        <v>6493</v>
      </c>
      <c r="U308" t="s">
        <v>6494</v>
      </c>
      <c r="V308" t="s">
        <v>6495</v>
      </c>
      <c r="W308" t="s">
        <v>6496</v>
      </c>
      <c r="X308" t="s">
        <v>6497</v>
      </c>
      <c r="Y308" t="s">
        <v>6498</v>
      </c>
      <c r="Z308" t="s">
        <v>6499</v>
      </c>
      <c r="AA308" t="s">
        <v>6500</v>
      </c>
      <c r="AB308" t="s">
        <v>6501</v>
      </c>
      <c r="AC308" t="s">
        <v>6502</v>
      </c>
      <c r="AD308" t="s">
        <v>6503</v>
      </c>
      <c r="AE308" t="s">
        <v>6504</v>
      </c>
      <c r="AF308" t="s">
        <v>74</v>
      </c>
      <c r="AG308">
        <v>11</v>
      </c>
      <c r="AH308">
        <v>7</v>
      </c>
      <c r="AI308">
        <v>7</v>
      </c>
      <c r="AJ308">
        <v>0</v>
      </c>
      <c r="AK308">
        <v>11</v>
      </c>
      <c r="AL308" t="s">
        <v>3427</v>
      </c>
      <c r="AM308" t="s">
        <v>3769</v>
      </c>
      <c r="AN308" t="s">
        <v>3770</v>
      </c>
      <c r="AO308" t="s">
        <v>3430</v>
      </c>
      <c r="AP308" t="s">
        <v>3431</v>
      </c>
      <c r="AQ308" t="s">
        <v>74</v>
      </c>
      <c r="AR308" t="s">
        <v>3432</v>
      </c>
      <c r="AS308" t="s">
        <v>3433</v>
      </c>
      <c r="AT308" t="s">
        <v>6505</v>
      </c>
      <c r="AU308">
        <v>2018</v>
      </c>
      <c r="AV308">
        <v>8</v>
      </c>
      <c r="AW308">
        <v>1</v>
      </c>
      <c r="AX308" t="s">
        <v>74</v>
      </c>
      <c r="AY308" t="s">
        <v>74</v>
      </c>
      <c r="AZ308" t="s">
        <v>74</v>
      </c>
      <c r="BA308" t="s">
        <v>74</v>
      </c>
      <c r="BB308" t="s">
        <v>74</v>
      </c>
      <c r="BC308" t="s">
        <v>74</v>
      </c>
      <c r="BD308">
        <v>5</v>
      </c>
      <c r="BE308" t="s">
        <v>6506</v>
      </c>
      <c r="BF308" t="str">
        <f>HYPERLINK("http://dx.doi.org/10.1007/s13278-017-0482-x","http://dx.doi.org/10.1007/s13278-017-0482-x")</f>
        <v>http://dx.doi.org/10.1007/s13278-017-0482-x</v>
      </c>
      <c r="BG308" t="s">
        <v>74</v>
      </c>
      <c r="BH308" t="s">
        <v>74</v>
      </c>
      <c r="BI308">
        <v>10</v>
      </c>
      <c r="BJ308" t="s">
        <v>852</v>
      </c>
      <c r="BK308" t="s">
        <v>102</v>
      </c>
      <c r="BL308" t="s">
        <v>103</v>
      </c>
      <c r="BM308" t="s">
        <v>6507</v>
      </c>
      <c r="BN308" t="s">
        <v>74</v>
      </c>
      <c r="BO308" t="s">
        <v>74</v>
      </c>
      <c r="BP308" t="s">
        <v>74</v>
      </c>
      <c r="BQ308" t="s">
        <v>74</v>
      </c>
      <c r="BR308" t="s">
        <v>106</v>
      </c>
      <c r="BS308" t="s">
        <v>6508</v>
      </c>
      <c r="BT308" t="str">
        <f>HYPERLINK("https%3A%2F%2Fwww.webofscience.com%2Fwos%2Fwoscc%2Ffull-record%2FWOS:000422716000001","View Full Record in Web of Science")</f>
        <v>View Full Record in Web of Science</v>
      </c>
    </row>
    <row r="309" spans="1:72" x14ac:dyDescent="0.25">
      <c r="A309" t="s">
        <v>72</v>
      </c>
      <c r="B309" t="s">
        <v>6509</v>
      </c>
      <c r="C309" t="s">
        <v>74</v>
      </c>
      <c r="D309" t="s">
        <v>74</v>
      </c>
      <c r="E309" t="s">
        <v>74</v>
      </c>
      <c r="F309" t="s">
        <v>6510</v>
      </c>
      <c r="G309" t="s">
        <v>74</v>
      </c>
      <c r="H309" t="s">
        <v>74</v>
      </c>
      <c r="I309" t="s">
        <v>6511</v>
      </c>
      <c r="J309" t="s">
        <v>6512</v>
      </c>
      <c r="K309" t="s">
        <v>74</v>
      </c>
      <c r="L309" t="s">
        <v>74</v>
      </c>
      <c r="M309" t="s">
        <v>78</v>
      </c>
      <c r="N309" t="s">
        <v>79</v>
      </c>
      <c r="O309" t="s">
        <v>74</v>
      </c>
      <c r="P309" t="s">
        <v>74</v>
      </c>
      <c r="Q309" t="s">
        <v>74</v>
      </c>
      <c r="R309" t="s">
        <v>74</v>
      </c>
      <c r="S309" t="s">
        <v>74</v>
      </c>
      <c r="T309" t="s">
        <v>6513</v>
      </c>
      <c r="U309" t="s">
        <v>74</v>
      </c>
      <c r="V309" t="s">
        <v>6514</v>
      </c>
      <c r="W309" t="s">
        <v>6515</v>
      </c>
      <c r="X309" t="s">
        <v>6516</v>
      </c>
      <c r="Y309" t="s">
        <v>6517</v>
      </c>
      <c r="Z309" t="s">
        <v>6518</v>
      </c>
      <c r="AA309" t="s">
        <v>6519</v>
      </c>
      <c r="AB309" t="s">
        <v>6520</v>
      </c>
      <c r="AC309" t="s">
        <v>6521</v>
      </c>
      <c r="AD309" t="s">
        <v>6522</v>
      </c>
      <c r="AE309" t="s">
        <v>6523</v>
      </c>
      <c r="AF309" t="s">
        <v>74</v>
      </c>
      <c r="AG309">
        <v>46</v>
      </c>
      <c r="AH309">
        <v>3</v>
      </c>
      <c r="AI309">
        <v>7</v>
      </c>
      <c r="AJ309">
        <v>0</v>
      </c>
      <c r="AK309">
        <v>22</v>
      </c>
      <c r="AL309" t="s">
        <v>631</v>
      </c>
      <c r="AM309" t="s">
        <v>632</v>
      </c>
      <c r="AN309" t="s">
        <v>633</v>
      </c>
      <c r="AO309" t="s">
        <v>6524</v>
      </c>
      <c r="AP309" t="s">
        <v>6525</v>
      </c>
      <c r="AQ309" t="s">
        <v>74</v>
      </c>
      <c r="AR309" t="s">
        <v>6526</v>
      </c>
      <c r="AS309" t="s">
        <v>6527</v>
      </c>
      <c r="AT309" t="s">
        <v>6528</v>
      </c>
      <c r="AU309">
        <v>2018</v>
      </c>
      <c r="AV309">
        <v>31</v>
      </c>
      <c r="AW309">
        <v>7</v>
      </c>
      <c r="AX309" t="s">
        <v>74</v>
      </c>
      <c r="AY309" t="s">
        <v>74</v>
      </c>
      <c r="AZ309" t="s">
        <v>247</v>
      </c>
      <c r="BA309" t="s">
        <v>74</v>
      </c>
      <c r="BB309" t="s">
        <v>74</v>
      </c>
      <c r="BC309" t="s">
        <v>74</v>
      </c>
      <c r="BD309" t="s">
        <v>6529</v>
      </c>
      <c r="BE309" t="s">
        <v>6530</v>
      </c>
      <c r="BF309" t="str">
        <f>HYPERLINK("http://dx.doi.org/10.1002/dac.3471","http://dx.doi.org/10.1002/dac.3471")</f>
        <v>http://dx.doi.org/10.1002/dac.3471</v>
      </c>
      <c r="BG309" t="s">
        <v>74</v>
      </c>
      <c r="BH309" t="s">
        <v>74</v>
      </c>
      <c r="BI309">
        <v>14</v>
      </c>
      <c r="BJ309" t="s">
        <v>2268</v>
      </c>
      <c r="BK309" t="s">
        <v>902</v>
      </c>
      <c r="BL309" t="s">
        <v>2269</v>
      </c>
      <c r="BM309" t="s">
        <v>6531</v>
      </c>
      <c r="BN309" t="s">
        <v>74</v>
      </c>
      <c r="BO309" t="s">
        <v>74</v>
      </c>
      <c r="BP309" t="s">
        <v>74</v>
      </c>
      <c r="BQ309" t="s">
        <v>74</v>
      </c>
      <c r="BR309" t="s">
        <v>106</v>
      </c>
      <c r="BS309" t="s">
        <v>6532</v>
      </c>
      <c r="BT309" t="str">
        <f>HYPERLINK("https%3A%2F%2Fwww.webofscience.com%2Fwos%2Fwoscc%2Ffull-record%2FWOS:000428848600014","View Full Record in Web of Science")</f>
        <v>View Full Record in Web of Science</v>
      </c>
    </row>
    <row r="310" spans="1:72" x14ac:dyDescent="0.25">
      <c r="A310" t="s">
        <v>72</v>
      </c>
      <c r="B310" t="s">
        <v>6533</v>
      </c>
      <c r="C310" t="s">
        <v>74</v>
      </c>
      <c r="D310" t="s">
        <v>74</v>
      </c>
      <c r="E310" t="s">
        <v>74</v>
      </c>
      <c r="F310" t="s">
        <v>6534</v>
      </c>
      <c r="G310" t="s">
        <v>74</v>
      </c>
      <c r="H310" t="s">
        <v>74</v>
      </c>
      <c r="I310" t="s">
        <v>6535</v>
      </c>
      <c r="J310" t="s">
        <v>3240</v>
      </c>
      <c r="K310" t="s">
        <v>74</v>
      </c>
      <c r="L310" t="s">
        <v>74</v>
      </c>
      <c r="M310" t="s">
        <v>78</v>
      </c>
      <c r="N310" t="s">
        <v>79</v>
      </c>
      <c r="O310" t="s">
        <v>74</v>
      </c>
      <c r="P310" t="s">
        <v>74</v>
      </c>
      <c r="Q310" t="s">
        <v>74</v>
      </c>
      <c r="R310" t="s">
        <v>74</v>
      </c>
      <c r="S310" t="s">
        <v>74</v>
      </c>
      <c r="T310" t="s">
        <v>6536</v>
      </c>
      <c r="U310" t="s">
        <v>1308</v>
      </c>
      <c r="V310" t="s">
        <v>6537</v>
      </c>
      <c r="W310" t="s">
        <v>6538</v>
      </c>
      <c r="X310" t="s">
        <v>6539</v>
      </c>
      <c r="Y310" t="s">
        <v>6540</v>
      </c>
      <c r="Z310" t="s">
        <v>6541</v>
      </c>
      <c r="AA310" t="s">
        <v>6542</v>
      </c>
      <c r="AB310" t="s">
        <v>6543</v>
      </c>
      <c r="AC310" t="s">
        <v>6544</v>
      </c>
      <c r="AD310" t="s">
        <v>6545</v>
      </c>
      <c r="AE310" t="s">
        <v>6546</v>
      </c>
      <c r="AF310" t="s">
        <v>74</v>
      </c>
      <c r="AG310">
        <v>41</v>
      </c>
      <c r="AH310">
        <v>19</v>
      </c>
      <c r="AI310">
        <v>21</v>
      </c>
      <c r="AJ310">
        <v>0</v>
      </c>
      <c r="AK310">
        <v>29</v>
      </c>
      <c r="AL310" t="s">
        <v>362</v>
      </c>
      <c r="AM310" t="s">
        <v>363</v>
      </c>
      <c r="AN310" t="s">
        <v>364</v>
      </c>
      <c r="AO310" t="s">
        <v>3252</v>
      </c>
      <c r="AP310" t="s">
        <v>3253</v>
      </c>
      <c r="AQ310" t="s">
        <v>74</v>
      </c>
      <c r="AR310" t="s">
        <v>3254</v>
      </c>
      <c r="AS310" t="s">
        <v>3255</v>
      </c>
      <c r="AT310" t="s">
        <v>6547</v>
      </c>
      <c r="AU310">
        <v>2016</v>
      </c>
      <c r="AV310">
        <v>106</v>
      </c>
      <c r="AW310" t="s">
        <v>74</v>
      </c>
      <c r="AX310" t="s">
        <v>74</v>
      </c>
      <c r="AY310" t="s">
        <v>74</v>
      </c>
      <c r="AZ310" t="s">
        <v>74</v>
      </c>
      <c r="BA310" t="s">
        <v>74</v>
      </c>
      <c r="BB310">
        <v>196</v>
      </c>
      <c r="BC310">
        <v>205</v>
      </c>
      <c r="BD310" t="s">
        <v>74</v>
      </c>
      <c r="BE310" t="s">
        <v>6548</v>
      </c>
      <c r="BF310" t="str">
        <f>HYPERLINK("http://dx.doi.org/10.1016/j.knosys.2016.05.047","http://dx.doi.org/10.1016/j.knosys.2016.05.047")</f>
        <v>http://dx.doi.org/10.1016/j.knosys.2016.05.047</v>
      </c>
      <c r="BG310" t="s">
        <v>74</v>
      </c>
      <c r="BH310" t="s">
        <v>74</v>
      </c>
      <c r="BI310">
        <v>10</v>
      </c>
      <c r="BJ310" t="s">
        <v>807</v>
      </c>
      <c r="BK310" t="s">
        <v>902</v>
      </c>
      <c r="BL310" t="s">
        <v>103</v>
      </c>
      <c r="BM310" t="s">
        <v>6549</v>
      </c>
      <c r="BN310" t="s">
        <v>74</v>
      </c>
      <c r="BO310" t="s">
        <v>74</v>
      </c>
      <c r="BP310" t="s">
        <v>74</v>
      </c>
      <c r="BQ310" t="s">
        <v>74</v>
      </c>
      <c r="BR310" t="s">
        <v>106</v>
      </c>
      <c r="BS310" t="s">
        <v>6550</v>
      </c>
      <c r="BT310" t="str">
        <f>HYPERLINK("https%3A%2F%2Fwww.webofscience.com%2Fwos%2Fwoscc%2Ffull-record%2FWOS:000379634200016","View Full Record in Web of Science")</f>
        <v>View Full Record in Web of Science</v>
      </c>
    </row>
    <row r="311" spans="1:72" x14ac:dyDescent="0.25">
      <c r="A311" t="s">
        <v>72</v>
      </c>
      <c r="B311" t="s">
        <v>4952</v>
      </c>
      <c r="C311" t="s">
        <v>74</v>
      </c>
      <c r="D311" t="s">
        <v>74</v>
      </c>
      <c r="E311" t="s">
        <v>74</v>
      </c>
      <c r="F311" t="s">
        <v>4952</v>
      </c>
      <c r="G311" t="s">
        <v>74</v>
      </c>
      <c r="H311" t="s">
        <v>74</v>
      </c>
      <c r="I311" t="s">
        <v>6551</v>
      </c>
      <c r="J311" t="s">
        <v>6552</v>
      </c>
      <c r="K311" t="s">
        <v>74</v>
      </c>
      <c r="L311" t="s">
        <v>74</v>
      </c>
      <c r="M311" t="s">
        <v>78</v>
      </c>
      <c r="N311" t="s">
        <v>79</v>
      </c>
      <c r="O311" t="s">
        <v>74</v>
      </c>
      <c r="P311" t="s">
        <v>74</v>
      </c>
      <c r="Q311" t="s">
        <v>74</v>
      </c>
      <c r="R311" t="s">
        <v>74</v>
      </c>
      <c r="S311" t="s">
        <v>74</v>
      </c>
      <c r="T311" t="s">
        <v>74</v>
      </c>
      <c r="U311" t="s">
        <v>74</v>
      </c>
      <c r="V311" t="s">
        <v>6553</v>
      </c>
      <c r="W311" t="s">
        <v>6554</v>
      </c>
      <c r="X311" t="s">
        <v>285</v>
      </c>
      <c r="Y311" t="s">
        <v>6555</v>
      </c>
      <c r="Z311" t="s">
        <v>74</v>
      </c>
      <c r="AA311" t="s">
        <v>4965</v>
      </c>
      <c r="AB311" t="s">
        <v>4966</v>
      </c>
      <c r="AC311" t="s">
        <v>74</v>
      </c>
      <c r="AD311" t="s">
        <v>74</v>
      </c>
      <c r="AE311" t="s">
        <v>74</v>
      </c>
      <c r="AF311" t="s">
        <v>74</v>
      </c>
      <c r="AG311">
        <v>27</v>
      </c>
      <c r="AH311">
        <v>62</v>
      </c>
      <c r="AI311">
        <v>75</v>
      </c>
      <c r="AJ311">
        <v>0</v>
      </c>
      <c r="AK311">
        <v>8</v>
      </c>
      <c r="AL311" t="s">
        <v>6556</v>
      </c>
      <c r="AM311" t="s">
        <v>92</v>
      </c>
      <c r="AN311" t="s">
        <v>6557</v>
      </c>
      <c r="AO311" t="s">
        <v>6558</v>
      </c>
      <c r="AP311" t="s">
        <v>74</v>
      </c>
      <c r="AQ311" t="s">
        <v>74</v>
      </c>
      <c r="AR311" t="s">
        <v>6559</v>
      </c>
      <c r="AS311" t="s">
        <v>6560</v>
      </c>
      <c r="AT311" t="s">
        <v>6561</v>
      </c>
      <c r="AU311">
        <v>2001</v>
      </c>
      <c r="AV311">
        <v>52</v>
      </c>
      <c r="AW311">
        <v>3</v>
      </c>
      <c r="AX311" t="s">
        <v>74</v>
      </c>
      <c r="AY311" t="s">
        <v>74</v>
      </c>
      <c r="AZ311" t="s">
        <v>74</v>
      </c>
      <c r="BA311" t="s">
        <v>74</v>
      </c>
      <c r="BB311">
        <v>212</v>
      </c>
      <c r="BC311">
        <v>225</v>
      </c>
      <c r="BD311" t="s">
        <v>74</v>
      </c>
      <c r="BE311" t="s">
        <v>6562</v>
      </c>
      <c r="BF311" t="str">
        <f>HYPERLINK("http://dx.doi.org/10.1002/1532-2890(2000)9999:9999&lt;::AID-ASI1615&gt;3.3.CO;2-F","http://dx.doi.org/10.1002/1532-2890(2000)9999:9999&lt;::AID-ASI1615&gt;3.3.CO;2-F")</f>
        <v>http://dx.doi.org/10.1002/1532-2890(2000)9999:9999&lt;::AID-ASI1615&gt;3.3.CO;2-F</v>
      </c>
      <c r="BG311" t="s">
        <v>74</v>
      </c>
      <c r="BH311" t="s">
        <v>74</v>
      </c>
      <c r="BI311">
        <v>14</v>
      </c>
      <c r="BJ311" t="s">
        <v>295</v>
      </c>
      <c r="BK311" t="s">
        <v>745</v>
      </c>
      <c r="BL311" t="s">
        <v>296</v>
      </c>
      <c r="BM311" t="s">
        <v>6563</v>
      </c>
      <c r="BN311" t="s">
        <v>74</v>
      </c>
      <c r="BO311" t="s">
        <v>74</v>
      </c>
      <c r="BP311" t="s">
        <v>74</v>
      </c>
      <c r="BQ311" t="s">
        <v>74</v>
      </c>
      <c r="BR311" t="s">
        <v>106</v>
      </c>
      <c r="BS311" t="s">
        <v>6564</v>
      </c>
      <c r="BT311" t="str">
        <f>HYPERLINK("https%3A%2F%2Fwww.webofscience.com%2Fwos%2Fwoscc%2Ffull-record%2FWOS:000167198000003","View Full Record in Web of Science")</f>
        <v>View Full Record in Web of Science</v>
      </c>
    </row>
    <row r="312" spans="1:72" x14ac:dyDescent="0.25">
      <c r="A312" t="s">
        <v>72</v>
      </c>
      <c r="B312" t="s">
        <v>6565</v>
      </c>
      <c r="C312" t="s">
        <v>74</v>
      </c>
      <c r="D312" t="s">
        <v>74</v>
      </c>
      <c r="E312" t="s">
        <v>74</v>
      </c>
      <c r="F312" t="s">
        <v>6566</v>
      </c>
      <c r="G312" t="s">
        <v>74</v>
      </c>
      <c r="H312" t="s">
        <v>74</v>
      </c>
      <c r="I312" t="s">
        <v>6567</v>
      </c>
      <c r="J312" t="s">
        <v>1532</v>
      </c>
      <c r="K312" t="s">
        <v>74</v>
      </c>
      <c r="L312" t="s">
        <v>74</v>
      </c>
      <c r="M312" t="s">
        <v>78</v>
      </c>
      <c r="N312" t="s">
        <v>79</v>
      </c>
      <c r="O312" t="s">
        <v>74</v>
      </c>
      <c r="P312" t="s">
        <v>74</v>
      </c>
      <c r="Q312" t="s">
        <v>74</v>
      </c>
      <c r="R312" t="s">
        <v>74</v>
      </c>
      <c r="S312" t="s">
        <v>74</v>
      </c>
      <c r="T312" t="s">
        <v>6568</v>
      </c>
      <c r="U312" t="s">
        <v>74</v>
      </c>
      <c r="V312" t="s">
        <v>6569</v>
      </c>
      <c r="W312" t="s">
        <v>6570</v>
      </c>
      <c r="X312" t="s">
        <v>6571</v>
      </c>
      <c r="Y312" t="s">
        <v>6572</v>
      </c>
      <c r="Z312" t="s">
        <v>6573</v>
      </c>
      <c r="AA312" t="s">
        <v>6574</v>
      </c>
      <c r="AB312" t="s">
        <v>6575</v>
      </c>
      <c r="AC312" t="s">
        <v>74</v>
      </c>
      <c r="AD312" t="s">
        <v>74</v>
      </c>
      <c r="AE312" t="s">
        <v>74</v>
      </c>
      <c r="AF312" t="s">
        <v>74</v>
      </c>
      <c r="AG312">
        <v>38</v>
      </c>
      <c r="AH312">
        <v>19</v>
      </c>
      <c r="AI312">
        <v>22</v>
      </c>
      <c r="AJ312">
        <v>0</v>
      </c>
      <c r="AK312">
        <v>18</v>
      </c>
      <c r="AL312" t="s">
        <v>895</v>
      </c>
      <c r="AM312" t="s">
        <v>896</v>
      </c>
      <c r="AN312" t="s">
        <v>897</v>
      </c>
      <c r="AO312" t="s">
        <v>1541</v>
      </c>
      <c r="AP312" t="s">
        <v>74</v>
      </c>
      <c r="AQ312" t="s">
        <v>74</v>
      </c>
      <c r="AR312" t="s">
        <v>1542</v>
      </c>
      <c r="AS312" t="s">
        <v>1543</v>
      </c>
      <c r="AT312" t="s">
        <v>4318</v>
      </c>
      <c r="AU312">
        <v>2023</v>
      </c>
      <c r="AV312">
        <v>10</v>
      </c>
      <c r="AW312">
        <v>5</v>
      </c>
      <c r="AX312" t="s">
        <v>74</v>
      </c>
      <c r="AY312" t="s">
        <v>74</v>
      </c>
      <c r="AZ312" t="s">
        <v>74</v>
      </c>
      <c r="BA312" t="s">
        <v>74</v>
      </c>
      <c r="BB312">
        <v>2439</v>
      </c>
      <c r="BC312">
        <v>2459</v>
      </c>
      <c r="BD312" t="s">
        <v>74</v>
      </c>
      <c r="BE312" t="s">
        <v>6576</v>
      </c>
      <c r="BF312" t="str">
        <f>HYPERLINK("http://dx.doi.org/10.1109/TCSS.2022.3184307","http://dx.doi.org/10.1109/TCSS.2022.3184307")</f>
        <v>http://dx.doi.org/10.1109/TCSS.2022.3184307</v>
      </c>
      <c r="BG312" t="s">
        <v>74</v>
      </c>
      <c r="BH312" t="s">
        <v>6577</v>
      </c>
      <c r="BI312">
        <v>21</v>
      </c>
      <c r="BJ312" t="s">
        <v>1546</v>
      </c>
      <c r="BK312" t="s">
        <v>902</v>
      </c>
      <c r="BL312" t="s">
        <v>103</v>
      </c>
      <c r="BM312" t="s">
        <v>6578</v>
      </c>
      <c r="BN312" t="s">
        <v>74</v>
      </c>
      <c r="BO312" t="s">
        <v>74</v>
      </c>
      <c r="BP312" t="s">
        <v>74</v>
      </c>
      <c r="BQ312" t="s">
        <v>74</v>
      </c>
      <c r="BR312" t="s">
        <v>106</v>
      </c>
      <c r="BS312" t="s">
        <v>6579</v>
      </c>
      <c r="BT312" t="str">
        <f>HYPERLINK("https%3A%2F%2Fwww.webofscience.com%2Fwos%2Fwoscc%2Ffull-record%2FWOS:000821548100001","View Full Record in Web of Science")</f>
        <v>View Full Record in Web of Science</v>
      </c>
    </row>
    <row r="313" spans="1:72" x14ac:dyDescent="0.25">
      <c r="A313" t="s">
        <v>108</v>
      </c>
      <c r="B313" t="s">
        <v>6580</v>
      </c>
      <c r="C313" t="s">
        <v>74</v>
      </c>
      <c r="D313" t="s">
        <v>6581</v>
      </c>
      <c r="E313" t="s">
        <v>74</v>
      </c>
      <c r="F313" t="s">
        <v>6582</v>
      </c>
      <c r="G313" t="s">
        <v>74</v>
      </c>
      <c r="H313" t="s">
        <v>74</v>
      </c>
      <c r="I313" t="s">
        <v>6583</v>
      </c>
      <c r="J313" t="s">
        <v>6584</v>
      </c>
      <c r="K313" t="s">
        <v>74</v>
      </c>
      <c r="L313" t="s">
        <v>74</v>
      </c>
      <c r="M313" t="s">
        <v>78</v>
      </c>
      <c r="N313" t="s">
        <v>115</v>
      </c>
      <c r="O313" t="s">
        <v>6585</v>
      </c>
      <c r="P313" t="s">
        <v>6586</v>
      </c>
      <c r="Q313" t="s">
        <v>6587</v>
      </c>
      <c r="R313" t="s">
        <v>74</v>
      </c>
      <c r="S313" t="s">
        <v>74</v>
      </c>
      <c r="T313" t="s">
        <v>6588</v>
      </c>
      <c r="U313" t="s">
        <v>6589</v>
      </c>
      <c r="V313" t="s">
        <v>6590</v>
      </c>
      <c r="W313" t="s">
        <v>6591</v>
      </c>
      <c r="X313" t="s">
        <v>6592</v>
      </c>
      <c r="Y313" t="s">
        <v>6593</v>
      </c>
      <c r="Z313" t="s">
        <v>74</v>
      </c>
      <c r="AA313" t="s">
        <v>74</v>
      </c>
      <c r="AB313" t="s">
        <v>74</v>
      </c>
      <c r="AC313" t="s">
        <v>74</v>
      </c>
      <c r="AD313" t="s">
        <v>74</v>
      </c>
      <c r="AE313" t="s">
        <v>74</v>
      </c>
      <c r="AF313" t="s">
        <v>74</v>
      </c>
      <c r="AG313">
        <v>48</v>
      </c>
      <c r="AH313">
        <v>1</v>
      </c>
      <c r="AI313">
        <v>1</v>
      </c>
      <c r="AJ313">
        <v>0</v>
      </c>
      <c r="AK313">
        <v>19</v>
      </c>
      <c r="AL313" t="s">
        <v>2558</v>
      </c>
      <c r="AM313" t="s">
        <v>2559</v>
      </c>
      <c r="AN313" t="s">
        <v>2560</v>
      </c>
      <c r="AO313" t="s">
        <v>74</v>
      </c>
      <c r="AP313" t="s">
        <v>74</v>
      </c>
      <c r="AQ313" t="s">
        <v>6594</v>
      </c>
      <c r="AR313" t="s">
        <v>74</v>
      </c>
      <c r="AS313" t="s">
        <v>74</v>
      </c>
      <c r="AT313" t="s">
        <v>74</v>
      </c>
      <c r="AU313">
        <v>2016</v>
      </c>
      <c r="AV313" t="s">
        <v>74</v>
      </c>
      <c r="AW313" t="s">
        <v>74</v>
      </c>
      <c r="AX313" t="s">
        <v>74</v>
      </c>
      <c r="AY313" t="s">
        <v>74</v>
      </c>
      <c r="AZ313" t="s">
        <v>74</v>
      </c>
      <c r="BA313" t="s">
        <v>74</v>
      </c>
      <c r="BB313">
        <v>330</v>
      </c>
      <c r="BC313">
        <v>336</v>
      </c>
      <c r="BD313" t="s">
        <v>74</v>
      </c>
      <c r="BE313" t="s">
        <v>6595</v>
      </c>
      <c r="BF313" t="str">
        <f>HYPERLINK("http://dx.doi.org/10.5220/0005798003300336","http://dx.doi.org/10.5220/0005798003300336")</f>
        <v>http://dx.doi.org/10.5220/0005798003300336</v>
      </c>
      <c r="BG313" t="s">
        <v>74</v>
      </c>
      <c r="BH313" t="s">
        <v>74</v>
      </c>
      <c r="BI313">
        <v>7</v>
      </c>
      <c r="BJ313" t="s">
        <v>744</v>
      </c>
      <c r="BK313" t="s">
        <v>138</v>
      </c>
      <c r="BL313" t="s">
        <v>139</v>
      </c>
      <c r="BM313" t="s">
        <v>6596</v>
      </c>
      <c r="BN313" t="s">
        <v>74</v>
      </c>
      <c r="BO313" t="s">
        <v>372</v>
      </c>
      <c r="BP313" t="s">
        <v>74</v>
      </c>
      <c r="BQ313" t="s">
        <v>74</v>
      </c>
      <c r="BR313" t="s">
        <v>106</v>
      </c>
      <c r="BS313" t="s">
        <v>6597</v>
      </c>
      <c r="BT313" t="str">
        <f>HYPERLINK("https%3A%2F%2Fwww.webofscience.com%2Fwos%2Fwoscc%2Ffull-record%2FWOS:000393154800034","View Full Record in Web of Science")</f>
        <v>View Full Record in Web of Science</v>
      </c>
    </row>
    <row r="314" spans="1:72" x14ac:dyDescent="0.25">
      <c r="A314" t="s">
        <v>72</v>
      </c>
      <c r="B314" t="s">
        <v>6598</v>
      </c>
      <c r="C314" t="s">
        <v>74</v>
      </c>
      <c r="D314" t="s">
        <v>74</v>
      </c>
      <c r="E314" t="s">
        <v>74</v>
      </c>
      <c r="F314" t="s">
        <v>6599</v>
      </c>
      <c r="G314" t="s">
        <v>74</v>
      </c>
      <c r="H314" t="s">
        <v>74</v>
      </c>
      <c r="I314" t="s">
        <v>6600</v>
      </c>
      <c r="J314" t="s">
        <v>6601</v>
      </c>
      <c r="K314" t="s">
        <v>74</v>
      </c>
      <c r="L314" t="s">
        <v>74</v>
      </c>
      <c r="M314" t="s">
        <v>78</v>
      </c>
      <c r="N314" t="s">
        <v>79</v>
      </c>
      <c r="O314" t="s">
        <v>74</v>
      </c>
      <c r="P314" t="s">
        <v>74</v>
      </c>
      <c r="Q314" t="s">
        <v>74</v>
      </c>
      <c r="R314" t="s">
        <v>74</v>
      </c>
      <c r="S314" t="s">
        <v>74</v>
      </c>
      <c r="T314" t="s">
        <v>6602</v>
      </c>
      <c r="U314" t="s">
        <v>6603</v>
      </c>
      <c r="V314" t="s">
        <v>6604</v>
      </c>
      <c r="W314" t="s">
        <v>6605</v>
      </c>
      <c r="X314" t="s">
        <v>6606</v>
      </c>
      <c r="Y314" t="s">
        <v>6607</v>
      </c>
      <c r="Z314" t="s">
        <v>6608</v>
      </c>
      <c r="AA314" t="s">
        <v>74</v>
      </c>
      <c r="AB314" t="s">
        <v>74</v>
      </c>
      <c r="AC314" t="s">
        <v>6609</v>
      </c>
      <c r="AD314" t="s">
        <v>6610</v>
      </c>
      <c r="AE314" t="s">
        <v>6611</v>
      </c>
      <c r="AF314" t="s">
        <v>74</v>
      </c>
      <c r="AG314">
        <v>19</v>
      </c>
      <c r="AH314">
        <v>8</v>
      </c>
      <c r="AI314">
        <v>9</v>
      </c>
      <c r="AJ314">
        <v>0</v>
      </c>
      <c r="AK314">
        <v>37</v>
      </c>
      <c r="AL314" t="s">
        <v>1272</v>
      </c>
      <c r="AM314" t="s">
        <v>1273</v>
      </c>
      <c r="AN314" t="s">
        <v>3098</v>
      </c>
      <c r="AO314" t="s">
        <v>6612</v>
      </c>
      <c r="AP314" t="s">
        <v>74</v>
      </c>
      <c r="AQ314" t="s">
        <v>74</v>
      </c>
      <c r="AR314" t="s">
        <v>6601</v>
      </c>
      <c r="AS314" t="s">
        <v>6613</v>
      </c>
      <c r="AT314" t="s">
        <v>1278</v>
      </c>
      <c r="AU314">
        <v>2023</v>
      </c>
      <c r="AV314">
        <v>15</v>
      </c>
      <c r="AW314">
        <v>1</v>
      </c>
      <c r="AX314" t="s">
        <v>74</v>
      </c>
      <c r="AY314" t="s">
        <v>74</v>
      </c>
      <c r="AZ314" t="s">
        <v>74</v>
      </c>
      <c r="BA314" t="s">
        <v>74</v>
      </c>
      <c r="BB314" t="s">
        <v>74</v>
      </c>
      <c r="BC314" t="s">
        <v>74</v>
      </c>
      <c r="BD314">
        <v>13</v>
      </c>
      <c r="BE314" t="s">
        <v>6614</v>
      </c>
      <c r="BF314" t="str">
        <f>HYPERLINK("http://dx.doi.org/10.3390/fi15010013","http://dx.doi.org/10.3390/fi15010013")</f>
        <v>http://dx.doi.org/10.3390/fi15010013</v>
      </c>
      <c r="BG314" t="s">
        <v>74</v>
      </c>
      <c r="BH314" t="s">
        <v>74</v>
      </c>
      <c r="BI314">
        <v>20</v>
      </c>
      <c r="BJ314" t="s">
        <v>852</v>
      </c>
      <c r="BK314" t="s">
        <v>102</v>
      </c>
      <c r="BL314" t="s">
        <v>103</v>
      </c>
      <c r="BM314" t="s">
        <v>6615</v>
      </c>
      <c r="BN314" t="s">
        <v>74</v>
      </c>
      <c r="BO314" t="s">
        <v>398</v>
      </c>
      <c r="BP314" t="s">
        <v>74</v>
      </c>
      <c r="BQ314" t="s">
        <v>74</v>
      </c>
      <c r="BR314" t="s">
        <v>106</v>
      </c>
      <c r="BS314" t="s">
        <v>6616</v>
      </c>
      <c r="BT314" t="str">
        <f>HYPERLINK("https%3A%2F%2Fwww.webofscience.com%2Fwos%2Fwoscc%2Ffull-record%2FWOS:000917962000001","View Full Record in Web of Science")</f>
        <v>View Full Record in Web of Science</v>
      </c>
    </row>
    <row r="315" spans="1:72" x14ac:dyDescent="0.25">
      <c r="A315" t="s">
        <v>108</v>
      </c>
      <c r="B315" t="s">
        <v>6617</v>
      </c>
      <c r="C315" t="s">
        <v>74</v>
      </c>
      <c r="D315" t="s">
        <v>74</v>
      </c>
      <c r="E315" t="s">
        <v>3480</v>
      </c>
      <c r="F315" t="s">
        <v>6618</v>
      </c>
      <c r="G315" t="s">
        <v>74</v>
      </c>
      <c r="H315" t="s">
        <v>74</v>
      </c>
      <c r="I315" t="s">
        <v>6619</v>
      </c>
      <c r="J315" t="s">
        <v>6620</v>
      </c>
      <c r="K315" t="s">
        <v>74</v>
      </c>
      <c r="L315" t="s">
        <v>74</v>
      </c>
      <c r="M315" t="s">
        <v>78</v>
      </c>
      <c r="N315" t="s">
        <v>115</v>
      </c>
      <c r="O315" t="s">
        <v>6621</v>
      </c>
      <c r="P315" t="s">
        <v>6622</v>
      </c>
      <c r="Q315" t="s">
        <v>4669</v>
      </c>
      <c r="R315" t="s">
        <v>6623</v>
      </c>
      <c r="S315" t="s">
        <v>74</v>
      </c>
      <c r="T315" t="s">
        <v>6624</v>
      </c>
      <c r="U315" t="s">
        <v>74</v>
      </c>
      <c r="V315" t="s">
        <v>6625</v>
      </c>
      <c r="W315" t="s">
        <v>6626</v>
      </c>
      <c r="X315" t="s">
        <v>6627</v>
      </c>
      <c r="Y315" t="s">
        <v>6628</v>
      </c>
      <c r="Z315" t="s">
        <v>6629</v>
      </c>
      <c r="AA315" t="s">
        <v>6630</v>
      </c>
      <c r="AB315" t="s">
        <v>6631</v>
      </c>
      <c r="AC315" t="s">
        <v>6632</v>
      </c>
      <c r="AD315" t="s">
        <v>6633</v>
      </c>
      <c r="AE315" t="s">
        <v>6634</v>
      </c>
      <c r="AF315" t="s">
        <v>74</v>
      </c>
      <c r="AG315">
        <v>51</v>
      </c>
      <c r="AH315">
        <v>41</v>
      </c>
      <c r="AI315">
        <v>46</v>
      </c>
      <c r="AJ315">
        <v>0</v>
      </c>
      <c r="AK315">
        <v>12</v>
      </c>
      <c r="AL315" t="s">
        <v>291</v>
      </c>
      <c r="AM315" t="s">
        <v>92</v>
      </c>
      <c r="AN315" t="s">
        <v>341</v>
      </c>
      <c r="AO315" t="s">
        <v>74</v>
      </c>
      <c r="AP315" t="s">
        <v>74</v>
      </c>
      <c r="AQ315" t="s">
        <v>6635</v>
      </c>
      <c r="AR315" t="s">
        <v>74</v>
      </c>
      <c r="AS315" t="s">
        <v>74</v>
      </c>
      <c r="AT315" t="s">
        <v>74</v>
      </c>
      <c r="AU315">
        <v>2021</v>
      </c>
      <c r="AV315" t="s">
        <v>74</v>
      </c>
      <c r="AW315" t="s">
        <v>74</v>
      </c>
      <c r="AX315" t="s">
        <v>74</v>
      </c>
      <c r="AY315" t="s">
        <v>74</v>
      </c>
      <c r="AZ315" t="s">
        <v>74</v>
      </c>
      <c r="BA315" t="s">
        <v>74</v>
      </c>
      <c r="BB315">
        <v>163</v>
      </c>
      <c r="BC315">
        <v>172</v>
      </c>
      <c r="BD315" t="s">
        <v>74</v>
      </c>
      <c r="BE315" t="s">
        <v>6636</v>
      </c>
      <c r="BF315" t="str">
        <f>HYPERLINK("http://dx.doi.org/10.1145/3404835.3462934","http://dx.doi.org/10.1145/3404835.3462934")</f>
        <v>http://dx.doi.org/10.1145/3404835.3462934</v>
      </c>
      <c r="BG315" t="s">
        <v>74</v>
      </c>
      <c r="BH315" t="s">
        <v>74</v>
      </c>
      <c r="BI315">
        <v>10</v>
      </c>
      <c r="BJ315" t="s">
        <v>852</v>
      </c>
      <c r="BK315" t="s">
        <v>203</v>
      </c>
      <c r="BL315" t="s">
        <v>103</v>
      </c>
      <c r="BM315" t="s">
        <v>6637</v>
      </c>
      <c r="BN315" t="s">
        <v>74</v>
      </c>
      <c r="BO315" t="s">
        <v>372</v>
      </c>
      <c r="BP315" t="s">
        <v>74</v>
      </c>
      <c r="BQ315" t="s">
        <v>74</v>
      </c>
      <c r="BR315" t="s">
        <v>106</v>
      </c>
      <c r="BS315" t="s">
        <v>6638</v>
      </c>
      <c r="BT315" t="str">
        <f>HYPERLINK("https%3A%2F%2Fwww.webofscience.com%2Fwos%2Fwoscc%2Ffull-record%2FWOS:000719807900017","View Full Record in Web of Science")</f>
        <v>View Full Record in Web of Science</v>
      </c>
    </row>
    <row r="316" spans="1:72" x14ac:dyDescent="0.25">
      <c r="A316" t="s">
        <v>72</v>
      </c>
      <c r="B316" t="s">
        <v>6639</v>
      </c>
      <c r="C316" t="s">
        <v>74</v>
      </c>
      <c r="D316" t="s">
        <v>74</v>
      </c>
      <c r="E316" t="s">
        <v>74</v>
      </c>
      <c r="F316" t="s">
        <v>6640</v>
      </c>
      <c r="G316" t="s">
        <v>74</v>
      </c>
      <c r="H316" t="s">
        <v>74</v>
      </c>
      <c r="I316" t="s">
        <v>6641</v>
      </c>
      <c r="J316" t="s">
        <v>6642</v>
      </c>
      <c r="K316" t="s">
        <v>74</v>
      </c>
      <c r="L316" t="s">
        <v>74</v>
      </c>
      <c r="M316" t="s">
        <v>78</v>
      </c>
      <c r="N316" t="s">
        <v>79</v>
      </c>
      <c r="O316" t="s">
        <v>74</v>
      </c>
      <c r="P316" t="s">
        <v>74</v>
      </c>
      <c r="Q316" t="s">
        <v>74</v>
      </c>
      <c r="R316" t="s">
        <v>74</v>
      </c>
      <c r="S316" t="s">
        <v>74</v>
      </c>
      <c r="T316" t="s">
        <v>6643</v>
      </c>
      <c r="U316" t="s">
        <v>1308</v>
      </c>
      <c r="V316" t="s">
        <v>6644</v>
      </c>
      <c r="W316" t="s">
        <v>6645</v>
      </c>
      <c r="X316" t="s">
        <v>6646</v>
      </c>
      <c r="Y316" t="s">
        <v>799</v>
      </c>
      <c r="Z316" t="s">
        <v>6647</v>
      </c>
      <c r="AA316" t="s">
        <v>6648</v>
      </c>
      <c r="AB316" t="s">
        <v>6649</v>
      </c>
      <c r="AC316" t="s">
        <v>74</v>
      </c>
      <c r="AD316" t="s">
        <v>74</v>
      </c>
      <c r="AE316" t="s">
        <v>74</v>
      </c>
      <c r="AF316" t="s">
        <v>74</v>
      </c>
      <c r="AG316">
        <v>42</v>
      </c>
      <c r="AH316">
        <v>2</v>
      </c>
      <c r="AI316">
        <v>2</v>
      </c>
      <c r="AJ316">
        <v>0</v>
      </c>
      <c r="AK316">
        <v>6</v>
      </c>
      <c r="AL316" t="s">
        <v>6650</v>
      </c>
      <c r="AM316" t="s">
        <v>6651</v>
      </c>
      <c r="AN316" t="s">
        <v>6652</v>
      </c>
      <c r="AO316" t="s">
        <v>6653</v>
      </c>
      <c r="AP316" t="s">
        <v>6654</v>
      </c>
      <c r="AQ316" t="s">
        <v>74</v>
      </c>
      <c r="AR316" t="s">
        <v>6655</v>
      </c>
      <c r="AS316" t="s">
        <v>6656</v>
      </c>
      <c r="AT316" t="s">
        <v>74</v>
      </c>
      <c r="AU316">
        <v>2019</v>
      </c>
      <c r="AV316">
        <v>14</v>
      </c>
      <c r="AW316">
        <v>3</v>
      </c>
      <c r="AX316" t="s">
        <v>74</v>
      </c>
      <c r="AY316" t="s">
        <v>74</v>
      </c>
      <c r="AZ316" t="s">
        <v>74</v>
      </c>
      <c r="BA316" t="s">
        <v>74</v>
      </c>
      <c r="BB316">
        <v>86</v>
      </c>
      <c r="BC316">
        <v>97</v>
      </c>
      <c r="BD316" t="s">
        <v>74</v>
      </c>
      <c r="BE316" t="s">
        <v>74</v>
      </c>
      <c r="BF316" t="s">
        <v>74</v>
      </c>
      <c r="BG316" t="s">
        <v>74</v>
      </c>
      <c r="BH316" t="s">
        <v>74</v>
      </c>
      <c r="BI316">
        <v>12</v>
      </c>
      <c r="BJ316" t="s">
        <v>852</v>
      </c>
      <c r="BK316" t="s">
        <v>102</v>
      </c>
      <c r="BL316" t="s">
        <v>103</v>
      </c>
      <c r="BM316" t="s">
        <v>6657</v>
      </c>
      <c r="BN316" t="s">
        <v>74</v>
      </c>
      <c r="BO316" t="s">
        <v>74</v>
      </c>
      <c r="BP316" t="s">
        <v>74</v>
      </c>
      <c r="BQ316" t="s">
        <v>74</v>
      </c>
      <c r="BR316" t="s">
        <v>106</v>
      </c>
      <c r="BS316" t="s">
        <v>6658</v>
      </c>
      <c r="BT316" t="str">
        <f>HYPERLINK("https%3A%2F%2Fwww.webofscience.com%2Fwos%2Fwoscc%2Ffull-record%2FWOS:000500300900003","View Full Record in Web of Science")</f>
        <v>View Full Record in Web of Science</v>
      </c>
    </row>
    <row r="317" spans="1:72" x14ac:dyDescent="0.25">
      <c r="A317" t="s">
        <v>72</v>
      </c>
      <c r="B317" t="s">
        <v>6659</v>
      </c>
      <c r="C317" t="s">
        <v>74</v>
      </c>
      <c r="D317" t="s">
        <v>74</v>
      </c>
      <c r="E317" t="s">
        <v>74</v>
      </c>
      <c r="F317" t="s">
        <v>6660</v>
      </c>
      <c r="G317" t="s">
        <v>74</v>
      </c>
      <c r="H317" t="s">
        <v>74</v>
      </c>
      <c r="I317" t="s">
        <v>6661</v>
      </c>
      <c r="J317" t="s">
        <v>6662</v>
      </c>
      <c r="K317" t="s">
        <v>74</v>
      </c>
      <c r="L317" t="s">
        <v>74</v>
      </c>
      <c r="M317" t="s">
        <v>78</v>
      </c>
      <c r="N317" t="s">
        <v>79</v>
      </c>
      <c r="O317" t="s">
        <v>74</v>
      </c>
      <c r="P317" t="s">
        <v>74</v>
      </c>
      <c r="Q317" t="s">
        <v>74</v>
      </c>
      <c r="R317" t="s">
        <v>74</v>
      </c>
      <c r="S317" t="s">
        <v>74</v>
      </c>
      <c r="T317" t="s">
        <v>6663</v>
      </c>
      <c r="U317" t="s">
        <v>6664</v>
      </c>
      <c r="V317" t="s">
        <v>6665</v>
      </c>
      <c r="W317" t="s">
        <v>6666</v>
      </c>
      <c r="X317" t="s">
        <v>235</v>
      </c>
      <c r="Y317" t="s">
        <v>6667</v>
      </c>
      <c r="Z317" t="s">
        <v>6668</v>
      </c>
      <c r="AA317" t="s">
        <v>74</v>
      </c>
      <c r="AB317" t="s">
        <v>238</v>
      </c>
      <c r="AC317" t="s">
        <v>6669</v>
      </c>
      <c r="AD317" t="s">
        <v>6669</v>
      </c>
      <c r="AE317" t="s">
        <v>6670</v>
      </c>
      <c r="AF317" t="s">
        <v>74</v>
      </c>
      <c r="AG317">
        <v>61</v>
      </c>
      <c r="AH317">
        <v>18</v>
      </c>
      <c r="AI317">
        <v>33</v>
      </c>
      <c r="AJ317">
        <v>0</v>
      </c>
      <c r="AK317">
        <v>49</v>
      </c>
      <c r="AL317" t="s">
        <v>1097</v>
      </c>
      <c r="AM317" t="s">
        <v>1098</v>
      </c>
      <c r="AN317" t="s">
        <v>1099</v>
      </c>
      <c r="AO317" t="s">
        <v>6671</v>
      </c>
      <c r="AP317" t="s">
        <v>6672</v>
      </c>
      <c r="AQ317" t="s">
        <v>74</v>
      </c>
      <c r="AR317" t="s">
        <v>6673</v>
      </c>
      <c r="AS317" t="s">
        <v>6674</v>
      </c>
      <c r="AT317" t="s">
        <v>565</v>
      </c>
      <c r="AU317">
        <v>2017</v>
      </c>
      <c r="AV317">
        <v>49</v>
      </c>
      <c r="AW317">
        <v>4</v>
      </c>
      <c r="AX317" t="s">
        <v>74</v>
      </c>
      <c r="AY317" t="s">
        <v>74</v>
      </c>
      <c r="AZ317" t="s">
        <v>74</v>
      </c>
      <c r="BA317" t="s">
        <v>74</v>
      </c>
      <c r="BB317">
        <v>519</v>
      </c>
      <c r="BC317">
        <v>530</v>
      </c>
      <c r="BD317" t="s">
        <v>74</v>
      </c>
      <c r="BE317" t="s">
        <v>6675</v>
      </c>
      <c r="BF317" t="str">
        <f>HYPERLINK("http://dx.doi.org/10.1007/s11858-017-0842-z","http://dx.doi.org/10.1007/s11858-017-0842-z")</f>
        <v>http://dx.doi.org/10.1007/s11858-017-0842-z</v>
      </c>
      <c r="BG317" t="s">
        <v>74</v>
      </c>
      <c r="BH317" t="s">
        <v>74</v>
      </c>
      <c r="BI317">
        <v>12</v>
      </c>
      <c r="BJ317" t="s">
        <v>318</v>
      </c>
      <c r="BK317" t="s">
        <v>250</v>
      </c>
      <c r="BL317" t="s">
        <v>318</v>
      </c>
      <c r="BM317" t="s">
        <v>6676</v>
      </c>
      <c r="BN317" t="s">
        <v>74</v>
      </c>
      <c r="BO317" t="s">
        <v>74</v>
      </c>
      <c r="BP317" t="s">
        <v>74</v>
      </c>
      <c r="BQ317" t="s">
        <v>74</v>
      </c>
      <c r="BR317" t="s">
        <v>106</v>
      </c>
      <c r="BS317" t="s">
        <v>6677</v>
      </c>
      <c r="BT317" t="str">
        <f>HYPERLINK("https%3A%2F%2Fwww.webofscience.com%2Fwos%2Fwoscc%2Ffull-record%2FWOS:000406286900004","View Full Record in Web of Science")</f>
        <v>View Full Record in Web of Science</v>
      </c>
    </row>
    <row r="318" spans="1:72" x14ac:dyDescent="0.25">
      <c r="A318" t="s">
        <v>72</v>
      </c>
      <c r="B318" t="s">
        <v>6678</v>
      </c>
      <c r="C318" t="s">
        <v>74</v>
      </c>
      <c r="D318" t="s">
        <v>74</v>
      </c>
      <c r="E318" t="s">
        <v>74</v>
      </c>
      <c r="F318" t="s">
        <v>6679</v>
      </c>
      <c r="G318" t="s">
        <v>74</v>
      </c>
      <c r="H318" t="s">
        <v>74</v>
      </c>
      <c r="I318" t="s">
        <v>6680</v>
      </c>
      <c r="J318" t="s">
        <v>6681</v>
      </c>
      <c r="K318" t="s">
        <v>74</v>
      </c>
      <c r="L318" t="s">
        <v>74</v>
      </c>
      <c r="M318" t="s">
        <v>78</v>
      </c>
      <c r="N318" t="s">
        <v>79</v>
      </c>
      <c r="O318" t="s">
        <v>74</v>
      </c>
      <c r="P318" t="s">
        <v>74</v>
      </c>
      <c r="Q318" t="s">
        <v>74</v>
      </c>
      <c r="R318" t="s">
        <v>74</v>
      </c>
      <c r="S318" t="s">
        <v>74</v>
      </c>
      <c r="T318" t="s">
        <v>6682</v>
      </c>
      <c r="U318" t="s">
        <v>74</v>
      </c>
      <c r="V318" t="s">
        <v>6683</v>
      </c>
      <c r="W318" t="s">
        <v>6684</v>
      </c>
      <c r="X318" t="s">
        <v>6685</v>
      </c>
      <c r="Y318" t="s">
        <v>6686</v>
      </c>
      <c r="Z318" t="s">
        <v>6687</v>
      </c>
      <c r="AA318" t="s">
        <v>6688</v>
      </c>
      <c r="AB318" t="s">
        <v>6689</v>
      </c>
      <c r="AC318" t="s">
        <v>74</v>
      </c>
      <c r="AD318" t="s">
        <v>74</v>
      </c>
      <c r="AE318" t="s">
        <v>74</v>
      </c>
      <c r="AF318" t="s">
        <v>74</v>
      </c>
      <c r="AG318">
        <v>19</v>
      </c>
      <c r="AH318">
        <v>18</v>
      </c>
      <c r="AI318">
        <v>20</v>
      </c>
      <c r="AJ318">
        <v>0</v>
      </c>
      <c r="AK318">
        <v>5</v>
      </c>
      <c r="AL318" t="s">
        <v>362</v>
      </c>
      <c r="AM318" t="s">
        <v>363</v>
      </c>
      <c r="AN318" t="s">
        <v>364</v>
      </c>
      <c r="AO318" t="s">
        <v>6690</v>
      </c>
      <c r="AP318" t="s">
        <v>74</v>
      </c>
      <c r="AQ318" t="s">
        <v>74</v>
      </c>
      <c r="AR318" t="s">
        <v>6691</v>
      </c>
      <c r="AS318" t="s">
        <v>6692</v>
      </c>
      <c r="AT318" t="s">
        <v>1251</v>
      </c>
      <c r="AU318">
        <v>2009</v>
      </c>
      <c r="AV318">
        <v>7</v>
      </c>
      <c r="AW318">
        <v>2</v>
      </c>
      <c r="AX318" t="s">
        <v>74</v>
      </c>
      <c r="AY318" t="s">
        <v>74</v>
      </c>
      <c r="AZ318" t="s">
        <v>74</v>
      </c>
      <c r="BA318" t="s">
        <v>74</v>
      </c>
      <c r="BB318">
        <v>107</v>
      </c>
      <c r="BC318">
        <v>120</v>
      </c>
      <c r="BD318" t="s">
        <v>74</v>
      </c>
      <c r="BE318" t="s">
        <v>6693</v>
      </c>
      <c r="BF318" t="str">
        <f>HYPERLINK("http://dx.doi.org/10.1016/j.websem.2009.01.001","http://dx.doi.org/10.1016/j.websem.2009.01.001")</f>
        <v>http://dx.doi.org/10.1016/j.websem.2009.01.001</v>
      </c>
      <c r="BG318" t="s">
        <v>74</v>
      </c>
      <c r="BH318" t="s">
        <v>74</v>
      </c>
      <c r="BI318">
        <v>14</v>
      </c>
      <c r="BJ318" t="s">
        <v>6154</v>
      </c>
      <c r="BK318" t="s">
        <v>902</v>
      </c>
      <c r="BL318" t="s">
        <v>103</v>
      </c>
      <c r="BM318" t="s">
        <v>6694</v>
      </c>
      <c r="BN318" t="s">
        <v>74</v>
      </c>
      <c r="BO318" t="s">
        <v>74</v>
      </c>
      <c r="BP318" t="s">
        <v>74</v>
      </c>
      <c r="BQ318" t="s">
        <v>74</v>
      </c>
      <c r="BR318" t="s">
        <v>106</v>
      </c>
      <c r="BS318" t="s">
        <v>6695</v>
      </c>
      <c r="BT318" t="str">
        <f>HYPERLINK("https%3A%2F%2Fwww.webofscience.com%2Fwos%2Fwoscc%2Ffull-record%2FWOS:000267038100004","View Full Record in Web of Science")</f>
        <v>View Full Record in Web of Science</v>
      </c>
    </row>
    <row r="319" spans="1:72" x14ac:dyDescent="0.25">
      <c r="A319" t="s">
        <v>108</v>
      </c>
      <c r="B319" t="s">
        <v>6696</v>
      </c>
      <c r="C319" t="s">
        <v>74</v>
      </c>
      <c r="D319" t="s">
        <v>74</v>
      </c>
      <c r="E319" t="s">
        <v>322</v>
      </c>
      <c r="F319" t="s">
        <v>6697</v>
      </c>
      <c r="G319" t="s">
        <v>74</v>
      </c>
      <c r="H319" t="s">
        <v>74</v>
      </c>
      <c r="I319" t="s">
        <v>6698</v>
      </c>
      <c r="J319" t="s">
        <v>6699</v>
      </c>
      <c r="K319" t="s">
        <v>74</v>
      </c>
      <c r="L319" t="s">
        <v>74</v>
      </c>
      <c r="M319" t="s">
        <v>78</v>
      </c>
      <c r="N319" t="s">
        <v>115</v>
      </c>
      <c r="O319" t="s">
        <v>6700</v>
      </c>
      <c r="P319" t="s">
        <v>6701</v>
      </c>
      <c r="Q319" t="s">
        <v>6702</v>
      </c>
      <c r="R319" t="s">
        <v>6703</v>
      </c>
      <c r="S319" t="s">
        <v>6704</v>
      </c>
      <c r="T319" t="s">
        <v>6705</v>
      </c>
      <c r="U319" t="s">
        <v>74</v>
      </c>
      <c r="V319" t="s">
        <v>6706</v>
      </c>
      <c r="W319" t="s">
        <v>6707</v>
      </c>
      <c r="X319" t="s">
        <v>6708</v>
      </c>
      <c r="Y319" t="s">
        <v>6709</v>
      </c>
      <c r="Z319" t="s">
        <v>6710</v>
      </c>
      <c r="AA319" t="s">
        <v>6711</v>
      </c>
      <c r="AB319" t="s">
        <v>6712</v>
      </c>
      <c r="AC319" t="s">
        <v>74</v>
      </c>
      <c r="AD319" t="s">
        <v>74</v>
      </c>
      <c r="AE319" t="s">
        <v>74</v>
      </c>
      <c r="AF319" t="s">
        <v>74</v>
      </c>
      <c r="AG319">
        <v>25</v>
      </c>
      <c r="AH319">
        <v>28</v>
      </c>
      <c r="AI319">
        <v>29</v>
      </c>
      <c r="AJ319">
        <v>0</v>
      </c>
      <c r="AK319">
        <v>6</v>
      </c>
      <c r="AL319" t="s">
        <v>291</v>
      </c>
      <c r="AM319" t="s">
        <v>92</v>
      </c>
      <c r="AN319" t="s">
        <v>292</v>
      </c>
      <c r="AO319" t="s">
        <v>74</v>
      </c>
      <c r="AP319" t="s">
        <v>74</v>
      </c>
      <c r="AQ319" t="s">
        <v>6713</v>
      </c>
      <c r="AR319" t="s">
        <v>74</v>
      </c>
      <c r="AS319" t="s">
        <v>74</v>
      </c>
      <c r="AT319" t="s">
        <v>74</v>
      </c>
      <c r="AU319">
        <v>2016</v>
      </c>
      <c r="AV319" t="s">
        <v>74</v>
      </c>
      <c r="AW319" t="s">
        <v>74</v>
      </c>
      <c r="AX319" t="s">
        <v>74</v>
      </c>
      <c r="AY319" t="s">
        <v>74</v>
      </c>
      <c r="AZ319" t="s">
        <v>74</v>
      </c>
      <c r="BA319" t="s">
        <v>74</v>
      </c>
      <c r="BB319">
        <v>25</v>
      </c>
      <c r="BC319">
        <v>34</v>
      </c>
      <c r="BD319" t="s">
        <v>74</v>
      </c>
      <c r="BE319" t="s">
        <v>6714</v>
      </c>
      <c r="BF319" t="str">
        <f>HYPERLINK("http://dx.doi.org/10.1145/2983323.2983749","http://dx.doi.org/10.1145/2983323.2983749")</f>
        <v>http://dx.doi.org/10.1145/2983323.2983749</v>
      </c>
      <c r="BG319" t="s">
        <v>74</v>
      </c>
      <c r="BH319" t="s">
        <v>74</v>
      </c>
      <c r="BI319">
        <v>10</v>
      </c>
      <c r="BJ319" t="s">
        <v>852</v>
      </c>
      <c r="BK319" t="s">
        <v>203</v>
      </c>
      <c r="BL319" t="s">
        <v>103</v>
      </c>
      <c r="BM319" t="s">
        <v>6715</v>
      </c>
      <c r="BN319" t="s">
        <v>74</v>
      </c>
      <c r="BO319" t="s">
        <v>346</v>
      </c>
      <c r="BP319" t="s">
        <v>74</v>
      </c>
      <c r="BQ319" t="s">
        <v>74</v>
      </c>
      <c r="BR319" t="s">
        <v>106</v>
      </c>
      <c r="BS319" t="s">
        <v>6716</v>
      </c>
      <c r="BT319" t="str">
        <f>HYPERLINK("https%3A%2F%2Fwww.webofscience.com%2Fwos%2Fwoscc%2Ffull-record%2FWOS:000390890800004","View Full Record in Web of Science")</f>
        <v>View Full Record in Web of Science</v>
      </c>
    </row>
    <row r="320" spans="1:72" x14ac:dyDescent="0.25">
      <c r="A320" t="s">
        <v>108</v>
      </c>
      <c r="B320" t="s">
        <v>6717</v>
      </c>
      <c r="C320" t="s">
        <v>74</v>
      </c>
      <c r="D320" t="s">
        <v>6718</v>
      </c>
      <c r="E320" t="s">
        <v>74</v>
      </c>
      <c r="F320" t="s">
        <v>6719</v>
      </c>
      <c r="G320" t="s">
        <v>74</v>
      </c>
      <c r="H320" t="s">
        <v>74</v>
      </c>
      <c r="I320" t="s">
        <v>6720</v>
      </c>
      <c r="J320" t="s">
        <v>6721</v>
      </c>
      <c r="K320" t="s">
        <v>147</v>
      </c>
      <c r="L320" t="s">
        <v>74</v>
      </c>
      <c r="M320" t="s">
        <v>78</v>
      </c>
      <c r="N320" t="s">
        <v>115</v>
      </c>
      <c r="O320" t="s">
        <v>6722</v>
      </c>
      <c r="P320" t="s">
        <v>6723</v>
      </c>
      <c r="Q320" t="s">
        <v>6724</v>
      </c>
      <c r="R320" t="s">
        <v>6725</v>
      </c>
      <c r="S320" t="s">
        <v>6726</v>
      </c>
      <c r="T320" t="s">
        <v>6727</v>
      </c>
      <c r="U320" t="s">
        <v>6728</v>
      </c>
      <c r="V320" t="s">
        <v>6729</v>
      </c>
      <c r="W320" t="s">
        <v>6730</v>
      </c>
      <c r="X320" t="s">
        <v>6731</v>
      </c>
      <c r="Y320" t="s">
        <v>6732</v>
      </c>
      <c r="Z320" t="s">
        <v>6733</v>
      </c>
      <c r="AA320" t="s">
        <v>6734</v>
      </c>
      <c r="AB320" t="s">
        <v>6735</v>
      </c>
      <c r="AC320" t="s">
        <v>74</v>
      </c>
      <c r="AD320" t="s">
        <v>74</v>
      </c>
      <c r="AE320" t="s">
        <v>74</v>
      </c>
      <c r="AF320" t="s">
        <v>74</v>
      </c>
      <c r="AG320">
        <v>21</v>
      </c>
      <c r="AH320">
        <v>12</v>
      </c>
      <c r="AI320">
        <v>12</v>
      </c>
      <c r="AJ320">
        <v>0</v>
      </c>
      <c r="AK320">
        <v>5</v>
      </c>
      <c r="AL320" t="s">
        <v>197</v>
      </c>
      <c r="AM320" t="s">
        <v>198</v>
      </c>
      <c r="AN320" t="s">
        <v>199</v>
      </c>
      <c r="AO320" t="s">
        <v>159</v>
      </c>
      <c r="AP320" t="s">
        <v>133</v>
      </c>
      <c r="AQ320" t="s">
        <v>6736</v>
      </c>
      <c r="AR320" t="s">
        <v>161</v>
      </c>
      <c r="AS320" t="s">
        <v>74</v>
      </c>
      <c r="AT320" t="s">
        <v>74</v>
      </c>
      <c r="AU320">
        <v>2010</v>
      </c>
      <c r="AV320">
        <v>6335</v>
      </c>
      <c r="AW320" t="s">
        <v>74</v>
      </c>
      <c r="AX320" t="s">
        <v>74</v>
      </c>
      <c r="AY320" t="s">
        <v>74</v>
      </c>
      <c r="AZ320" t="s">
        <v>74</v>
      </c>
      <c r="BA320" t="s">
        <v>74</v>
      </c>
      <c r="BB320">
        <v>34</v>
      </c>
      <c r="BC320" t="s">
        <v>5459</v>
      </c>
      <c r="BD320" t="s">
        <v>74</v>
      </c>
      <c r="BE320" t="s">
        <v>74</v>
      </c>
      <c r="BF320" t="s">
        <v>74</v>
      </c>
      <c r="BG320" t="s">
        <v>74</v>
      </c>
      <c r="BH320" t="s">
        <v>74</v>
      </c>
      <c r="BI320">
        <v>3</v>
      </c>
      <c r="BJ320" t="s">
        <v>6737</v>
      </c>
      <c r="BK320" t="s">
        <v>203</v>
      </c>
      <c r="BL320" t="s">
        <v>6015</v>
      </c>
      <c r="BM320" t="s">
        <v>6738</v>
      </c>
      <c r="BN320" t="s">
        <v>74</v>
      </c>
      <c r="BO320" t="s">
        <v>74</v>
      </c>
      <c r="BP320" t="s">
        <v>74</v>
      </c>
      <c r="BQ320" t="s">
        <v>74</v>
      </c>
      <c r="BR320" t="s">
        <v>106</v>
      </c>
      <c r="BS320" t="s">
        <v>6739</v>
      </c>
      <c r="BT320" t="str">
        <f>HYPERLINK("https%3A%2F%2Fwww.webofscience.com%2Fwos%2Fwoscc%2Ffull-record%2FWOS:000284854200006","View Full Record in Web of Science")</f>
        <v>View Full Record in Web of Science</v>
      </c>
    </row>
    <row r="321" spans="1:72" x14ac:dyDescent="0.25">
      <c r="A321" t="s">
        <v>108</v>
      </c>
      <c r="B321" t="s">
        <v>6740</v>
      </c>
      <c r="C321" t="s">
        <v>74</v>
      </c>
      <c r="D321" t="s">
        <v>74</v>
      </c>
      <c r="E321" t="s">
        <v>465</v>
      </c>
      <c r="F321" t="s">
        <v>6741</v>
      </c>
      <c r="G321" t="s">
        <v>74</v>
      </c>
      <c r="H321" t="s">
        <v>74</v>
      </c>
      <c r="I321" t="s">
        <v>6742</v>
      </c>
      <c r="J321" t="s">
        <v>6743</v>
      </c>
      <c r="K321" t="s">
        <v>6744</v>
      </c>
      <c r="L321" t="s">
        <v>74</v>
      </c>
      <c r="M321" t="s">
        <v>78</v>
      </c>
      <c r="N321" t="s">
        <v>115</v>
      </c>
      <c r="O321" t="s">
        <v>6745</v>
      </c>
      <c r="P321" t="s">
        <v>6746</v>
      </c>
      <c r="Q321" t="s">
        <v>6747</v>
      </c>
      <c r="R321" t="s">
        <v>465</v>
      </c>
      <c r="S321" t="s">
        <v>74</v>
      </c>
      <c r="T321" t="s">
        <v>6748</v>
      </c>
      <c r="U321" t="s">
        <v>74</v>
      </c>
      <c r="V321" t="s">
        <v>6749</v>
      </c>
      <c r="W321" t="s">
        <v>6750</v>
      </c>
      <c r="X321" t="s">
        <v>6751</v>
      </c>
      <c r="Y321" t="s">
        <v>6752</v>
      </c>
      <c r="Z321" t="s">
        <v>6753</v>
      </c>
      <c r="AA321" t="s">
        <v>74</v>
      </c>
      <c r="AB321" t="s">
        <v>74</v>
      </c>
      <c r="AC321" t="s">
        <v>74</v>
      </c>
      <c r="AD321" t="s">
        <v>74</v>
      </c>
      <c r="AE321" t="s">
        <v>74</v>
      </c>
      <c r="AF321" t="s">
        <v>74</v>
      </c>
      <c r="AG321">
        <v>28</v>
      </c>
      <c r="AH321">
        <v>0</v>
      </c>
      <c r="AI321">
        <v>0</v>
      </c>
      <c r="AJ321">
        <v>0</v>
      </c>
      <c r="AK321">
        <v>7</v>
      </c>
      <c r="AL321" t="s">
        <v>465</v>
      </c>
      <c r="AM321" t="s">
        <v>92</v>
      </c>
      <c r="AN321" t="s">
        <v>480</v>
      </c>
      <c r="AO321" t="s">
        <v>6754</v>
      </c>
      <c r="AP321" t="s">
        <v>74</v>
      </c>
      <c r="AQ321" t="s">
        <v>6755</v>
      </c>
      <c r="AR321" t="s">
        <v>6756</v>
      </c>
      <c r="AS321" t="s">
        <v>74</v>
      </c>
      <c r="AT321" t="s">
        <v>74</v>
      </c>
      <c r="AU321">
        <v>2015</v>
      </c>
      <c r="AV321" t="s">
        <v>74</v>
      </c>
      <c r="AW321" t="s">
        <v>74</v>
      </c>
      <c r="AX321" t="s">
        <v>74</v>
      </c>
      <c r="AY321" t="s">
        <v>74</v>
      </c>
      <c r="AZ321" t="s">
        <v>74</v>
      </c>
      <c r="BA321" t="s">
        <v>74</v>
      </c>
      <c r="BB321" t="s">
        <v>74</v>
      </c>
      <c r="BC321" t="s">
        <v>74</v>
      </c>
      <c r="BD321" t="s">
        <v>74</v>
      </c>
      <c r="BE321" t="s">
        <v>74</v>
      </c>
      <c r="BF321" t="s">
        <v>74</v>
      </c>
      <c r="BG321" t="s">
        <v>74</v>
      </c>
      <c r="BH321" t="s">
        <v>74</v>
      </c>
      <c r="BI321">
        <v>6</v>
      </c>
      <c r="BJ321" t="s">
        <v>4990</v>
      </c>
      <c r="BK321" t="s">
        <v>203</v>
      </c>
      <c r="BL321" t="s">
        <v>953</v>
      </c>
      <c r="BM321" t="s">
        <v>6757</v>
      </c>
      <c r="BN321" t="s">
        <v>74</v>
      </c>
      <c r="BO321" t="s">
        <v>74</v>
      </c>
      <c r="BP321" t="s">
        <v>74</v>
      </c>
      <c r="BQ321" t="s">
        <v>74</v>
      </c>
      <c r="BR321" t="s">
        <v>106</v>
      </c>
      <c r="BS321" t="s">
        <v>6758</v>
      </c>
      <c r="BT321" t="str">
        <f>HYPERLINK("https%3A%2F%2Fwww.webofscience.com%2Fwos%2Fwoscc%2Ffull-record%2FWOS:000380486500092","View Full Record in Web of Science")</f>
        <v>View Full Record in Web of Science</v>
      </c>
    </row>
    <row r="322" spans="1:72" x14ac:dyDescent="0.25">
      <c r="A322" t="s">
        <v>108</v>
      </c>
      <c r="B322" t="s">
        <v>6759</v>
      </c>
      <c r="C322" t="s">
        <v>74</v>
      </c>
      <c r="D322" t="s">
        <v>6760</v>
      </c>
      <c r="E322" t="s">
        <v>74</v>
      </c>
      <c r="F322" t="s">
        <v>6761</v>
      </c>
      <c r="G322" t="s">
        <v>74</v>
      </c>
      <c r="H322" t="s">
        <v>74</v>
      </c>
      <c r="I322" t="s">
        <v>6762</v>
      </c>
      <c r="J322" t="s">
        <v>6763</v>
      </c>
      <c r="K322" t="s">
        <v>6764</v>
      </c>
      <c r="L322" t="s">
        <v>74</v>
      </c>
      <c r="M322" t="s">
        <v>78</v>
      </c>
      <c r="N322" t="s">
        <v>115</v>
      </c>
      <c r="O322" t="s">
        <v>6765</v>
      </c>
      <c r="P322" t="s">
        <v>6766</v>
      </c>
      <c r="Q322" t="s">
        <v>6767</v>
      </c>
      <c r="R322" t="s">
        <v>74</v>
      </c>
      <c r="S322" t="s">
        <v>74</v>
      </c>
      <c r="T322" t="s">
        <v>6768</v>
      </c>
      <c r="U322" t="s">
        <v>74</v>
      </c>
      <c r="V322" t="s">
        <v>6769</v>
      </c>
      <c r="W322" t="s">
        <v>6770</v>
      </c>
      <c r="X322" t="s">
        <v>6771</v>
      </c>
      <c r="Y322" t="s">
        <v>6772</v>
      </c>
      <c r="Z322" t="s">
        <v>6773</v>
      </c>
      <c r="AA322" t="s">
        <v>6774</v>
      </c>
      <c r="AB322" t="s">
        <v>6775</v>
      </c>
      <c r="AC322" t="s">
        <v>6776</v>
      </c>
      <c r="AD322" t="s">
        <v>6777</v>
      </c>
      <c r="AE322" t="s">
        <v>6778</v>
      </c>
      <c r="AF322" t="s">
        <v>74</v>
      </c>
      <c r="AG322">
        <v>22</v>
      </c>
      <c r="AH322">
        <v>1</v>
      </c>
      <c r="AI322">
        <v>5</v>
      </c>
      <c r="AJ322">
        <v>0</v>
      </c>
      <c r="AK322">
        <v>3</v>
      </c>
      <c r="AL322" t="s">
        <v>2179</v>
      </c>
      <c r="AM322" t="s">
        <v>363</v>
      </c>
      <c r="AN322" t="s">
        <v>2180</v>
      </c>
      <c r="AO322" t="s">
        <v>6779</v>
      </c>
      <c r="AP322" t="s">
        <v>6780</v>
      </c>
      <c r="AQ322" t="s">
        <v>6781</v>
      </c>
      <c r="AR322" t="s">
        <v>6782</v>
      </c>
      <c r="AS322" t="s">
        <v>74</v>
      </c>
      <c r="AT322" t="s">
        <v>74</v>
      </c>
      <c r="AU322">
        <v>2014</v>
      </c>
      <c r="AV322">
        <v>206</v>
      </c>
      <c r="AW322" t="s">
        <v>74</v>
      </c>
      <c r="AX322" t="s">
        <v>74</v>
      </c>
      <c r="AY322" t="s">
        <v>74</v>
      </c>
      <c r="AZ322" t="s">
        <v>74</v>
      </c>
      <c r="BA322" t="s">
        <v>74</v>
      </c>
      <c r="BB322">
        <v>84</v>
      </c>
      <c r="BC322">
        <v>92</v>
      </c>
      <c r="BD322" t="s">
        <v>74</v>
      </c>
      <c r="BE322" t="s">
        <v>6783</v>
      </c>
      <c r="BF322" t="str">
        <f>HYPERLINK("http://dx.doi.org/10.3233/978-1-61499-456-5-84","http://dx.doi.org/10.3233/978-1-61499-456-5-84")</f>
        <v>http://dx.doi.org/10.3233/978-1-61499-456-5-84</v>
      </c>
      <c r="BG322" t="s">
        <v>74</v>
      </c>
      <c r="BH322" t="s">
        <v>74</v>
      </c>
      <c r="BI322">
        <v>9</v>
      </c>
      <c r="BJ322" t="s">
        <v>6784</v>
      </c>
      <c r="BK322" t="s">
        <v>203</v>
      </c>
      <c r="BL322" t="s">
        <v>6784</v>
      </c>
      <c r="BM322" t="s">
        <v>6785</v>
      </c>
      <c r="BN322">
        <v>25365675</v>
      </c>
      <c r="BO322" t="s">
        <v>74</v>
      </c>
      <c r="BP322" t="s">
        <v>74</v>
      </c>
      <c r="BQ322" t="s">
        <v>74</v>
      </c>
      <c r="BR322" t="s">
        <v>106</v>
      </c>
      <c r="BS322" t="s">
        <v>6786</v>
      </c>
      <c r="BT322" t="str">
        <f>HYPERLINK("https%3A%2F%2Fwww.webofscience.com%2Fwos%2Fwoscc%2Ffull-record%2FWOS:000454389700010","View Full Record in Web of Science")</f>
        <v>View Full Record in Web of Science</v>
      </c>
    </row>
    <row r="323" spans="1:72" x14ac:dyDescent="0.25">
      <c r="A323" t="s">
        <v>108</v>
      </c>
      <c r="B323" t="s">
        <v>6787</v>
      </c>
      <c r="C323" t="s">
        <v>74</v>
      </c>
      <c r="D323" t="s">
        <v>6788</v>
      </c>
      <c r="E323" t="s">
        <v>74</v>
      </c>
      <c r="F323" t="s">
        <v>6789</v>
      </c>
      <c r="G323" t="s">
        <v>74</v>
      </c>
      <c r="H323" t="s">
        <v>74</v>
      </c>
      <c r="I323" t="s">
        <v>6790</v>
      </c>
      <c r="J323" t="s">
        <v>6791</v>
      </c>
      <c r="K323" t="s">
        <v>5674</v>
      </c>
      <c r="L323" t="s">
        <v>74</v>
      </c>
      <c r="M323" t="s">
        <v>78</v>
      </c>
      <c r="N323" t="s">
        <v>115</v>
      </c>
      <c r="O323" t="s">
        <v>6792</v>
      </c>
      <c r="P323" t="s">
        <v>6793</v>
      </c>
      <c r="Q323" t="s">
        <v>6794</v>
      </c>
      <c r="R323" t="s">
        <v>6795</v>
      </c>
      <c r="S323" t="s">
        <v>6796</v>
      </c>
      <c r="T323" t="s">
        <v>6797</v>
      </c>
      <c r="U323" t="s">
        <v>74</v>
      </c>
      <c r="V323" t="s">
        <v>6798</v>
      </c>
      <c r="W323" t="s">
        <v>6799</v>
      </c>
      <c r="X323" t="s">
        <v>6800</v>
      </c>
      <c r="Y323" t="s">
        <v>6801</v>
      </c>
      <c r="Z323" t="s">
        <v>6802</v>
      </c>
      <c r="AA323" t="s">
        <v>74</v>
      </c>
      <c r="AB323" t="s">
        <v>74</v>
      </c>
      <c r="AC323" t="s">
        <v>74</v>
      </c>
      <c r="AD323" t="s">
        <v>74</v>
      </c>
      <c r="AE323" t="s">
        <v>74</v>
      </c>
      <c r="AF323" t="s">
        <v>74</v>
      </c>
      <c r="AG323">
        <v>10</v>
      </c>
      <c r="AH323">
        <v>6</v>
      </c>
      <c r="AI323">
        <v>11</v>
      </c>
      <c r="AJ323">
        <v>0</v>
      </c>
      <c r="AK323">
        <v>4</v>
      </c>
      <c r="AL323" t="s">
        <v>2695</v>
      </c>
      <c r="AM323" t="s">
        <v>363</v>
      </c>
      <c r="AN323" t="s">
        <v>2696</v>
      </c>
      <c r="AO323" t="s">
        <v>5684</v>
      </c>
      <c r="AP323" t="s">
        <v>74</v>
      </c>
      <c r="AQ323" t="s">
        <v>74</v>
      </c>
      <c r="AR323" t="s">
        <v>5685</v>
      </c>
      <c r="AS323" t="s">
        <v>74</v>
      </c>
      <c r="AT323" t="s">
        <v>74</v>
      </c>
      <c r="AU323">
        <v>2012</v>
      </c>
      <c r="AV323">
        <v>67</v>
      </c>
      <c r="AW323" t="s">
        <v>74</v>
      </c>
      <c r="AX323" t="s">
        <v>74</v>
      </c>
      <c r="AY323" t="s">
        <v>74</v>
      </c>
      <c r="AZ323" t="s">
        <v>74</v>
      </c>
      <c r="BA323" t="s">
        <v>74</v>
      </c>
      <c r="BB323">
        <v>490</v>
      </c>
      <c r="BC323">
        <v>499</v>
      </c>
      <c r="BD323" t="s">
        <v>74</v>
      </c>
      <c r="BE323" t="s">
        <v>6803</v>
      </c>
      <c r="BF323" t="str">
        <f>HYPERLINK("http://dx.doi.org/10.1016/j.sbspro.2012.11.354","http://dx.doi.org/10.1016/j.sbspro.2012.11.354")</f>
        <v>http://dx.doi.org/10.1016/j.sbspro.2012.11.354</v>
      </c>
      <c r="BG323" t="s">
        <v>74</v>
      </c>
      <c r="BH323" t="s">
        <v>74</v>
      </c>
      <c r="BI323">
        <v>10</v>
      </c>
      <c r="BJ323" t="s">
        <v>5687</v>
      </c>
      <c r="BK323" t="s">
        <v>1042</v>
      </c>
      <c r="BL323" t="s">
        <v>5688</v>
      </c>
      <c r="BM323" t="s">
        <v>6804</v>
      </c>
      <c r="BN323" t="s">
        <v>74</v>
      </c>
      <c r="BO323" t="s">
        <v>372</v>
      </c>
      <c r="BP323" t="s">
        <v>74</v>
      </c>
      <c r="BQ323" t="s">
        <v>74</v>
      </c>
      <c r="BR323" t="s">
        <v>106</v>
      </c>
      <c r="BS323" t="s">
        <v>6805</v>
      </c>
      <c r="BT323" t="str">
        <f>HYPERLINK("https%3A%2F%2Fwww.webofscience.com%2Fwos%2Fwoscc%2Ffull-record%2FWOS:000314112100053","View Full Record in Web of Science")</f>
        <v>View Full Record in Web of Science</v>
      </c>
    </row>
    <row r="324" spans="1:72" x14ac:dyDescent="0.25">
      <c r="A324" t="s">
        <v>72</v>
      </c>
      <c r="B324" t="s">
        <v>3479</v>
      </c>
      <c r="C324" t="s">
        <v>74</v>
      </c>
      <c r="D324" t="s">
        <v>74</v>
      </c>
      <c r="E324" t="s">
        <v>74</v>
      </c>
      <c r="F324" t="s">
        <v>3481</v>
      </c>
      <c r="G324" t="s">
        <v>74</v>
      </c>
      <c r="H324" t="s">
        <v>74</v>
      </c>
      <c r="I324" t="s">
        <v>6806</v>
      </c>
      <c r="J324" t="s">
        <v>6807</v>
      </c>
      <c r="K324" t="s">
        <v>74</v>
      </c>
      <c r="L324" t="s">
        <v>74</v>
      </c>
      <c r="M324" t="s">
        <v>78</v>
      </c>
      <c r="N324" t="s">
        <v>79</v>
      </c>
      <c r="O324" t="s">
        <v>74</v>
      </c>
      <c r="P324" t="s">
        <v>74</v>
      </c>
      <c r="Q324" t="s">
        <v>74</v>
      </c>
      <c r="R324" t="s">
        <v>74</v>
      </c>
      <c r="S324" t="s">
        <v>74</v>
      </c>
      <c r="T324" t="s">
        <v>6808</v>
      </c>
      <c r="U324" t="s">
        <v>74</v>
      </c>
      <c r="V324" t="s">
        <v>6809</v>
      </c>
      <c r="W324" t="s">
        <v>6810</v>
      </c>
      <c r="X324" t="s">
        <v>6811</v>
      </c>
      <c r="Y324" t="s">
        <v>6812</v>
      </c>
      <c r="Z324" t="s">
        <v>6813</v>
      </c>
      <c r="AA324" t="s">
        <v>6814</v>
      </c>
      <c r="AB324" t="s">
        <v>6815</v>
      </c>
      <c r="AC324" t="s">
        <v>6816</v>
      </c>
      <c r="AD324" t="s">
        <v>6817</v>
      </c>
      <c r="AE324" t="s">
        <v>6818</v>
      </c>
      <c r="AF324" t="s">
        <v>74</v>
      </c>
      <c r="AG324">
        <v>30</v>
      </c>
      <c r="AH324">
        <v>6</v>
      </c>
      <c r="AI324">
        <v>6</v>
      </c>
      <c r="AJ324">
        <v>0</v>
      </c>
      <c r="AK324">
        <v>26</v>
      </c>
      <c r="AL324" t="s">
        <v>91</v>
      </c>
      <c r="AM324" t="s">
        <v>92</v>
      </c>
      <c r="AN324" t="s">
        <v>2307</v>
      </c>
      <c r="AO324" t="s">
        <v>6819</v>
      </c>
      <c r="AP324" t="s">
        <v>6820</v>
      </c>
      <c r="AQ324" t="s">
        <v>74</v>
      </c>
      <c r="AR324" t="s">
        <v>6821</v>
      </c>
      <c r="AS324" t="s">
        <v>6822</v>
      </c>
      <c r="AT324" t="s">
        <v>4318</v>
      </c>
      <c r="AU324">
        <v>2018</v>
      </c>
      <c r="AV324">
        <v>463</v>
      </c>
      <c r="AW324" t="s">
        <v>74</v>
      </c>
      <c r="AX324" t="s">
        <v>74</v>
      </c>
      <c r="AY324" t="s">
        <v>74</v>
      </c>
      <c r="AZ324" t="s">
        <v>74</v>
      </c>
      <c r="BA324" t="s">
        <v>74</v>
      </c>
      <c r="BB324">
        <v>110</v>
      </c>
      <c r="BC324">
        <v>128</v>
      </c>
      <c r="BD324" t="s">
        <v>74</v>
      </c>
      <c r="BE324" t="s">
        <v>6823</v>
      </c>
      <c r="BF324" t="str">
        <f>HYPERLINK("http://dx.doi.org/10.1016/j.ins.2018.06.029","http://dx.doi.org/10.1016/j.ins.2018.06.029")</f>
        <v>http://dx.doi.org/10.1016/j.ins.2018.06.029</v>
      </c>
      <c r="BG324" t="s">
        <v>74</v>
      </c>
      <c r="BH324" t="s">
        <v>74</v>
      </c>
      <c r="BI324">
        <v>19</v>
      </c>
      <c r="BJ324" t="s">
        <v>852</v>
      </c>
      <c r="BK324" t="s">
        <v>902</v>
      </c>
      <c r="BL324" t="s">
        <v>103</v>
      </c>
      <c r="BM324" t="s">
        <v>6824</v>
      </c>
      <c r="BN324" t="s">
        <v>74</v>
      </c>
      <c r="BO324" t="s">
        <v>74</v>
      </c>
      <c r="BP324" t="s">
        <v>74</v>
      </c>
      <c r="BQ324" t="s">
        <v>74</v>
      </c>
      <c r="BR324" t="s">
        <v>106</v>
      </c>
      <c r="BS324" t="s">
        <v>6825</v>
      </c>
      <c r="BT324" t="str">
        <f>HYPERLINK("https%3A%2F%2Fwww.webofscience.com%2Fwos%2Fwoscc%2Ffull-record%2FWOS:000442712900008","View Full Record in Web of Science")</f>
        <v>View Full Record in Web of Science</v>
      </c>
    </row>
    <row r="325" spans="1:72" x14ac:dyDescent="0.25">
      <c r="A325" t="s">
        <v>108</v>
      </c>
      <c r="B325" t="s">
        <v>6826</v>
      </c>
      <c r="C325" t="s">
        <v>74</v>
      </c>
      <c r="D325" t="s">
        <v>6827</v>
      </c>
      <c r="E325" t="s">
        <v>74</v>
      </c>
      <c r="F325" t="s">
        <v>6828</v>
      </c>
      <c r="G325" t="s">
        <v>74</v>
      </c>
      <c r="H325" t="s">
        <v>74</v>
      </c>
      <c r="I325" t="s">
        <v>6829</v>
      </c>
      <c r="J325" t="s">
        <v>6830</v>
      </c>
      <c r="K325" t="s">
        <v>74</v>
      </c>
      <c r="L325" t="s">
        <v>74</v>
      </c>
      <c r="M325" t="s">
        <v>78</v>
      </c>
      <c r="N325" t="s">
        <v>115</v>
      </c>
      <c r="O325" t="s">
        <v>6831</v>
      </c>
      <c r="P325" t="s">
        <v>6832</v>
      </c>
      <c r="Q325" t="s">
        <v>862</v>
      </c>
      <c r="R325" t="s">
        <v>6833</v>
      </c>
      <c r="S325" t="s">
        <v>74</v>
      </c>
      <c r="T325" t="s">
        <v>6834</v>
      </c>
      <c r="U325" t="s">
        <v>4941</v>
      </c>
      <c r="V325" t="s">
        <v>6835</v>
      </c>
      <c r="W325" t="s">
        <v>6836</v>
      </c>
      <c r="X325" t="s">
        <v>4944</v>
      </c>
      <c r="Y325" t="s">
        <v>6837</v>
      </c>
      <c r="Z325" t="s">
        <v>6838</v>
      </c>
      <c r="AA325" t="s">
        <v>74</v>
      </c>
      <c r="AB325" t="s">
        <v>74</v>
      </c>
      <c r="AC325" t="s">
        <v>6839</v>
      </c>
      <c r="AD325" t="s">
        <v>6840</v>
      </c>
      <c r="AE325" t="s">
        <v>6841</v>
      </c>
      <c r="AF325" t="s">
        <v>74</v>
      </c>
      <c r="AG325">
        <v>33</v>
      </c>
      <c r="AH325">
        <v>0</v>
      </c>
      <c r="AI325">
        <v>0</v>
      </c>
      <c r="AJ325">
        <v>0</v>
      </c>
      <c r="AK325">
        <v>2</v>
      </c>
      <c r="AL325" t="s">
        <v>465</v>
      </c>
      <c r="AM325" t="s">
        <v>92</v>
      </c>
      <c r="AN325" t="s">
        <v>480</v>
      </c>
      <c r="AO325" t="s">
        <v>74</v>
      </c>
      <c r="AP325" t="s">
        <v>74</v>
      </c>
      <c r="AQ325" t="s">
        <v>6842</v>
      </c>
      <c r="AR325" t="s">
        <v>74</v>
      </c>
      <c r="AS325" t="s">
        <v>74</v>
      </c>
      <c r="AT325" t="s">
        <v>74</v>
      </c>
      <c r="AU325">
        <v>2018</v>
      </c>
      <c r="AV325" t="s">
        <v>74</v>
      </c>
      <c r="AW325" t="s">
        <v>74</v>
      </c>
      <c r="AX325" t="s">
        <v>74</v>
      </c>
      <c r="AY325" t="s">
        <v>74</v>
      </c>
      <c r="AZ325" t="s">
        <v>74</v>
      </c>
      <c r="BA325" t="s">
        <v>74</v>
      </c>
      <c r="BB325">
        <v>1087</v>
      </c>
      <c r="BC325">
        <v>1094</v>
      </c>
      <c r="BD325" t="s">
        <v>74</v>
      </c>
      <c r="BE325" t="s">
        <v>6843</v>
      </c>
      <c r="BF325" t="str">
        <f>HYPERLINK("http://dx.doi.org/10.1109/SmartWorld.2018.00189","http://dx.doi.org/10.1109/SmartWorld.2018.00189")</f>
        <v>http://dx.doi.org/10.1109/SmartWorld.2018.00189</v>
      </c>
      <c r="BG325" t="s">
        <v>74</v>
      </c>
      <c r="BH325" t="s">
        <v>74</v>
      </c>
      <c r="BI325">
        <v>8</v>
      </c>
      <c r="BJ325" t="s">
        <v>972</v>
      </c>
      <c r="BK325" t="s">
        <v>203</v>
      </c>
      <c r="BL325" t="s">
        <v>953</v>
      </c>
      <c r="BM325" t="s">
        <v>6844</v>
      </c>
      <c r="BN325" t="s">
        <v>74</v>
      </c>
      <c r="BO325" t="s">
        <v>74</v>
      </c>
      <c r="BP325" t="s">
        <v>74</v>
      </c>
      <c r="BQ325" t="s">
        <v>74</v>
      </c>
      <c r="BR325" t="s">
        <v>106</v>
      </c>
      <c r="BS325" t="s">
        <v>6845</v>
      </c>
      <c r="BT325" t="str">
        <f>HYPERLINK("https%3A%2F%2Fwww.webofscience.com%2Fwos%2Fwoscc%2Ffull-record%2FWOS:000458742900153","View Full Record in Web of Science")</f>
        <v>View Full Record in Web of Science</v>
      </c>
    </row>
    <row r="326" spans="1:72" x14ac:dyDescent="0.25">
      <c r="A326" t="s">
        <v>108</v>
      </c>
      <c r="B326" t="s">
        <v>6846</v>
      </c>
      <c r="C326" t="s">
        <v>74</v>
      </c>
      <c r="D326" t="s">
        <v>6847</v>
      </c>
      <c r="E326" t="s">
        <v>74</v>
      </c>
      <c r="F326" t="s">
        <v>6848</v>
      </c>
      <c r="G326" t="s">
        <v>74</v>
      </c>
      <c r="H326" t="s">
        <v>74</v>
      </c>
      <c r="I326" t="s">
        <v>6849</v>
      </c>
      <c r="J326" t="s">
        <v>6850</v>
      </c>
      <c r="K326" t="s">
        <v>6162</v>
      </c>
      <c r="L326" t="s">
        <v>74</v>
      </c>
      <c r="M326" t="s">
        <v>78</v>
      </c>
      <c r="N326" t="s">
        <v>115</v>
      </c>
      <c r="O326" t="s">
        <v>6851</v>
      </c>
      <c r="P326" t="s">
        <v>6852</v>
      </c>
      <c r="Q326" t="s">
        <v>6164</v>
      </c>
      <c r="R326" t="s">
        <v>6853</v>
      </c>
      <c r="S326" t="s">
        <v>74</v>
      </c>
      <c r="T326" t="s">
        <v>6854</v>
      </c>
      <c r="U326" t="s">
        <v>74</v>
      </c>
      <c r="V326" t="s">
        <v>6855</v>
      </c>
      <c r="W326" t="s">
        <v>6856</v>
      </c>
      <c r="X326" t="s">
        <v>1204</v>
      </c>
      <c r="Y326" t="s">
        <v>6857</v>
      </c>
      <c r="Z326" t="s">
        <v>6858</v>
      </c>
      <c r="AA326" t="s">
        <v>74</v>
      </c>
      <c r="AB326" t="s">
        <v>74</v>
      </c>
      <c r="AC326" t="s">
        <v>74</v>
      </c>
      <c r="AD326" t="s">
        <v>74</v>
      </c>
      <c r="AE326" t="s">
        <v>74</v>
      </c>
      <c r="AF326" t="s">
        <v>74</v>
      </c>
      <c r="AG326">
        <v>23</v>
      </c>
      <c r="AH326">
        <v>0</v>
      </c>
      <c r="AI326">
        <v>0</v>
      </c>
      <c r="AJ326">
        <v>0</v>
      </c>
      <c r="AK326">
        <v>1</v>
      </c>
      <c r="AL326" t="s">
        <v>465</v>
      </c>
      <c r="AM326" t="s">
        <v>92</v>
      </c>
      <c r="AN326" t="s">
        <v>480</v>
      </c>
      <c r="AO326" t="s">
        <v>6859</v>
      </c>
      <c r="AP326" t="s">
        <v>74</v>
      </c>
      <c r="AQ326" t="s">
        <v>6860</v>
      </c>
      <c r="AR326" t="s">
        <v>6861</v>
      </c>
      <c r="AS326" t="s">
        <v>74</v>
      </c>
      <c r="AT326" t="s">
        <v>74</v>
      </c>
      <c r="AU326">
        <v>2013</v>
      </c>
      <c r="AV326" t="s">
        <v>74</v>
      </c>
      <c r="AW326" t="s">
        <v>74</v>
      </c>
      <c r="AX326" t="s">
        <v>74</v>
      </c>
      <c r="AY326" t="s">
        <v>74</v>
      </c>
      <c r="AZ326" t="s">
        <v>74</v>
      </c>
      <c r="BA326" t="s">
        <v>74</v>
      </c>
      <c r="BB326" t="s">
        <v>74</v>
      </c>
      <c r="BC326" t="s">
        <v>74</v>
      </c>
      <c r="BD326" t="s">
        <v>74</v>
      </c>
      <c r="BE326" t="s">
        <v>74</v>
      </c>
      <c r="BF326" t="s">
        <v>74</v>
      </c>
      <c r="BG326" t="s">
        <v>74</v>
      </c>
      <c r="BH326" t="s">
        <v>74</v>
      </c>
      <c r="BI326">
        <v>8</v>
      </c>
      <c r="BJ326" t="s">
        <v>6862</v>
      </c>
      <c r="BK326" t="s">
        <v>203</v>
      </c>
      <c r="BL326" t="s">
        <v>953</v>
      </c>
      <c r="BM326" t="s">
        <v>6863</v>
      </c>
      <c r="BN326" t="s">
        <v>74</v>
      </c>
      <c r="BO326" t="s">
        <v>74</v>
      </c>
      <c r="BP326" t="s">
        <v>74</v>
      </c>
      <c r="BQ326" t="s">
        <v>74</v>
      </c>
      <c r="BR326" t="s">
        <v>106</v>
      </c>
      <c r="BS326" t="s">
        <v>6864</v>
      </c>
      <c r="BT326" t="str">
        <f>HYPERLINK("https%3A%2F%2Fwww.webofscience.com%2Fwos%2Fwoscc%2Ffull-record%2FWOS:000330831300205","View Full Record in Web of Science")</f>
        <v>View Full Record in Web of Science</v>
      </c>
    </row>
    <row r="327" spans="1:72" x14ac:dyDescent="0.25">
      <c r="A327" t="s">
        <v>72</v>
      </c>
      <c r="B327" t="s">
        <v>6865</v>
      </c>
      <c r="C327" t="s">
        <v>74</v>
      </c>
      <c r="D327" t="s">
        <v>74</v>
      </c>
      <c r="E327" t="s">
        <v>74</v>
      </c>
      <c r="F327" t="s">
        <v>6866</v>
      </c>
      <c r="G327" t="s">
        <v>74</v>
      </c>
      <c r="H327" t="s">
        <v>74</v>
      </c>
      <c r="I327" t="s">
        <v>6867</v>
      </c>
      <c r="J327" t="s">
        <v>6868</v>
      </c>
      <c r="K327" t="s">
        <v>74</v>
      </c>
      <c r="L327" t="s">
        <v>74</v>
      </c>
      <c r="M327" t="s">
        <v>78</v>
      </c>
      <c r="N327" t="s">
        <v>79</v>
      </c>
      <c r="O327" t="s">
        <v>74</v>
      </c>
      <c r="P327" t="s">
        <v>74</v>
      </c>
      <c r="Q327" t="s">
        <v>74</v>
      </c>
      <c r="R327" t="s">
        <v>74</v>
      </c>
      <c r="S327" t="s">
        <v>74</v>
      </c>
      <c r="T327" t="s">
        <v>6869</v>
      </c>
      <c r="U327" t="s">
        <v>74</v>
      </c>
      <c r="V327" t="s">
        <v>6870</v>
      </c>
      <c r="W327" t="s">
        <v>6871</v>
      </c>
      <c r="X327" t="s">
        <v>6872</v>
      </c>
      <c r="Y327" t="s">
        <v>6873</v>
      </c>
      <c r="Z327" t="s">
        <v>6874</v>
      </c>
      <c r="AA327" t="s">
        <v>6875</v>
      </c>
      <c r="AB327" t="s">
        <v>6876</v>
      </c>
      <c r="AC327" t="s">
        <v>74</v>
      </c>
      <c r="AD327" t="s">
        <v>74</v>
      </c>
      <c r="AE327" t="s">
        <v>74</v>
      </c>
      <c r="AF327" t="s">
        <v>74</v>
      </c>
      <c r="AG327">
        <v>14</v>
      </c>
      <c r="AH327">
        <v>0</v>
      </c>
      <c r="AI327">
        <v>0</v>
      </c>
      <c r="AJ327">
        <v>0</v>
      </c>
      <c r="AK327">
        <v>1</v>
      </c>
      <c r="AL327" t="s">
        <v>6877</v>
      </c>
      <c r="AM327" t="s">
        <v>6878</v>
      </c>
      <c r="AN327" t="s">
        <v>6879</v>
      </c>
      <c r="AO327" t="s">
        <v>6880</v>
      </c>
      <c r="AP327" t="s">
        <v>6881</v>
      </c>
      <c r="AQ327" t="s">
        <v>74</v>
      </c>
      <c r="AR327" t="s">
        <v>6868</v>
      </c>
      <c r="AS327" t="s">
        <v>6882</v>
      </c>
      <c r="AT327" t="s">
        <v>6883</v>
      </c>
      <c r="AU327">
        <v>2025</v>
      </c>
      <c r="AV327">
        <v>39</v>
      </c>
      <c r="AW327">
        <v>6</v>
      </c>
      <c r="AX327" t="s">
        <v>74</v>
      </c>
      <c r="AY327" t="s">
        <v>74</v>
      </c>
      <c r="AZ327" t="s">
        <v>74</v>
      </c>
      <c r="BA327" t="s">
        <v>74</v>
      </c>
      <c r="BB327">
        <v>3516</v>
      </c>
      <c r="BC327">
        <v>3521</v>
      </c>
      <c r="BD327" t="s">
        <v>74</v>
      </c>
      <c r="BE327" t="s">
        <v>6884</v>
      </c>
      <c r="BF327" t="str">
        <f>HYPERLINK("http://dx.doi.org/10.21873/invivo.14149","http://dx.doi.org/10.21873/invivo.14149")</f>
        <v>http://dx.doi.org/10.21873/invivo.14149</v>
      </c>
      <c r="BG327" t="s">
        <v>74</v>
      </c>
      <c r="BH327" t="s">
        <v>74</v>
      </c>
      <c r="BI327">
        <v>6</v>
      </c>
      <c r="BJ327" t="s">
        <v>6885</v>
      </c>
      <c r="BK327" t="s">
        <v>902</v>
      </c>
      <c r="BL327" t="s">
        <v>6886</v>
      </c>
      <c r="BM327" t="s">
        <v>6887</v>
      </c>
      <c r="BN327">
        <v>41167698</v>
      </c>
      <c r="BO327" t="s">
        <v>6888</v>
      </c>
      <c r="BP327" t="s">
        <v>74</v>
      </c>
      <c r="BQ327" t="s">
        <v>74</v>
      </c>
      <c r="BR327" t="s">
        <v>106</v>
      </c>
      <c r="BS327" t="s">
        <v>6889</v>
      </c>
      <c r="BT327" t="str">
        <f>HYPERLINK("https%3A%2F%2Fwww.webofscience.com%2Fwos%2Fwoscc%2Ffull-record%2FWOS:001608235100040","View Full Record in Web of Science")</f>
        <v>View Full Record in Web of Science</v>
      </c>
    </row>
    <row r="328" spans="1:72" x14ac:dyDescent="0.25">
      <c r="A328" t="s">
        <v>2400</v>
      </c>
      <c r="B328" t="s">
        <v>74</v>
      </c>
      <c r="C328" t="s">
        <v>6890</v>
      </c>
      <c r="D328" t="s">
        <v>74</v>
      </c>
      <c r="E328" t="s">
        <v>74</v>
      </c>
      <c r="F328" t="s">
        <v>74</v>
      </c>
      <c r="G328" t="s">
        <v>6890</v>
      </c>
      <c r="H328" t="s">
        <v>74</v>
      </c>
      <c r="I328" t="s">
        <v>6891</v>
      </c>
      <c r="J328" t="s">
        <v>6892</v>
      </c>
      <c r="K328" t="s">
        <v>2406</v>
      </c>
      <c r="L328" t="s">
        <v>74</v>
      </c>
      <c r="M328" t="s">
        <v>78</v>
      </c>
      <c r="N328" t="s">
        <v>1113</v>
      </c>
      <c r="O328" t="s">
        <v>74</v>
      </c>
      <c r="P328" t="s">
        <v>74</v>
      </c>
      <c r="Q328" t="s">
        <v>74</v>
      </c>
      <c r="R328" t="s">
        <v>74</v>
      </c>
      <c r="S328" t="s">
        <v>74</v>
      </c>
      <c r="T328" t="s">
        <v>74</v>
      </c>
      <c r="U328" t="s">
        <v>74</v>
      </c>
      <c r="V328" t="s">
        <v>6893</v>
      </c>
      <c r="W328" t="s">
        <v>74</v>
      </c>
      <c r="X328" t="s">
        <v>74</v>
      </c>
      <c r="Y328" t="s">
        <v>74</v>
      </c>
      <c r="Z328" t="s">
        <v>74</v>
      </c>
      <c r="AA328" t="s">
        <v>74</v>
      </c>
      <c r="AB328" t="s">
        <v>74</v>
      </c>
      <c r="AC328" t="s">
        <v>74</v>
      </c>
      <c r="AD328" t="s">
        <v>74</v>
      </c>
      <c r="AE328" t="s">
        <v>74</v>
      </c>
      <c r="AF328" t="s">
        <v>74</v>
      </c>
      <c r="AG328">
        <v>31</v>
      </c>
      <c r="AH328">
        <v>0</v>
      </c>
      <c r="AI328">
        <v>0</v>
      </c>
      <c r="AJ328">
        <v>0</v>
      </c>
      <c r="AK328">
        <v>0</v>
      </c>
      <c r="AL328" t="s">
        <v>197</v>
      </c>
      <c r="AM328" t="s">
        <v>198</v>
      </c>
      <c r="AN328" t="s">
        <v>199</v>
      </c>
      <c r="AO328" t="s">
        <v>2415</v>
      </c>
      <c r="AP328" t="s">
        <v>2416</v>
      </c>
      <c r="AQ328" t="s">
        <v>6894</v>
      </c>
      <c r="AR328" t="s">
        <v>2418</v>
      </c>
      <c r="AS328" t="s">
        <v>74</v>
      </c>
      <c r="AT328" t="s">
        <v>74</v>
      </c>
      <c r="AU328">
        <v>2009</v>
      </c>
      <c r="AV328">
        <v>190</v>
      </c>
      <c r="AW328" t="s">
        <v>74</v>
      </c>
      <c r="AX328" t="s">
        <v>74</v>
      </c>
      <c r="AY328" t="s">
        <v>74</v>
      </c>
      <c r="AZ328" t="s">
        <v>74</v>
      </c>
      <c r="BA328" t="s">
        <v>74</v>
      </c>
      <c r="BB328">
        <v>81</v>
      </c>
      <c r="BC328">
        <v>118</v>
      </c>
      <c r="BD328" t="s">
        <v>74</v>
      </c>
      <c r="BE328" t="s">
        <v>74</v>
      </c>
      <c r="BF328" t="s">
        <v>74</v>
      </c>
      <c r="BG328" t="s">
        <v>74</v>
      </c>
      <c r="BH328" t="s">
        <v>74</v>
      </c>
      <c r="BI328">
        <v>38</v>
      </c>
      <c r="BJ328" t="s">
        <v>2837</v>
      </c>
      <c r="BK328" t="s">
        <v>2421</v>
      </c>
      <c r="BL328" t="s">
        <v>103</v>
      </c>
      <c r="BM328" t="s">
        <v>6895</v>
      </c>
      <c r="BN328" t="s">
        <v>74</v>
      </c>
      <c r="BO328" t="s">
        <v>74</v>
      </c>
      <c r="BP328" t="s">
        <v>74</v>
      </c>
      <c r="BQ328" t="s">
        <v>74</v>
      </c>
      <c r="BR328" t="s">
        <v>106</v>
      </c>
      <c r="BS328" t="s">
        <v>6896</v>
      </c>
      <c r="BT328" t="str">
        <f>HYPERLINK("https%3A%2F%2Fwww.webofscience.com%2Fwos%2Fwoscc%2Ffull-record%2FWOS:000266728800005","View Full Record in Web of Science")</f>
        <v>View Full Record in Web of Science</v>
      </c>
    </row>
    <row r="329" spans="1:72" x14ac:dyDescent="0.25">
      <c r="A329" t="s">
        <v>72</v>
      </c>
      <c r="B329" t="s">
        <v>6897</v>
      </c>
      <c r="C329" t="s">
        <v>74</v>
      </c>
      <c r="D329" t="s">
        <v>74</v>
      </c>
      <c r="E329" t="s">
        <v>74</v>
      </c>
      <c r="F329" t="s">
        <v>6898</v>
      </c>
      <c r="G329" t="s">
        <v>74</v>
      </c>
      <c r="H329" t="s">
        <v>74</v>
      </c>
      <c r="I329" t="s">
        <v>6899</v>
      </c>
      <c r="J329" t="s">
        <v>6900</v>
      </c>
      <c r="K329" t="s">
        <v>74</v>
      </c>
      <c r="L329" t="s">
        <v>74</v>
      </c>
      <c r="M329" t="s">
        <v>78</v>
      </c>
      <c r="N329" t="s">
        <v>79</v>
      </c>
      <c r="O329" t="s">
        <v>74</v>
      </c>
      <c r="P329" t="s">
        <v>74</v>
      </c>
      <c r="Q329" t="s">
        <v>74</v>
      </c>
      <c r="R329" t="s">
        <v>74</v>
      </c>
      <c r="S329" t="s">
        <v>74</v>
      </c>
      <c r="T329" t="s">
        <v>6901</v>
      </c>
      <c r="U329" t="s">
        <v>74</v>
      </c>
      <c r="V329" t="s">
        <v>6902</v>
      </c>
      <c r="W329" t="s">
        <v>6903</v>
      </c>
      <c r="X329" t="s">
        <v>6904</v>
      </c>
      <c r="Y329" t="s">
        <v>6905</v>
      </c>
      <c r="Z329" t="s">
        <v>6906</v>
      </c>
      <c r="AA329" t="s">
        <v>6907</v>
      </c>
      <c r="AB329" t="s">
        <v>6908</v>
      </c>
      <c r="AC329" t="s">
        <v>6909</v>
      </c>
      <c r="AD329" t="s">
        <v>6910</v>
      </c>
      <c r="AE329" t="s">
        <v>6911</v>
      </c>
      <c r="AF329" t="s">
        <v>74</v>
      </c>
      <c r="AG329">
        <v>14</v>
      </c>
      <c r="AH329">
        <v>15</v>
      </c>
      <c r="AI329">
        <v>20</v>
      </c>
      <c r="AJ329">
        <v>0</v>
      </c>
      <c r="AK329">
        <v>33</v>
      </c>
      <c r="AL329" t="s">
        <v>2465</v>
      </c>
      <c r="AM329" t="s">
        <v>311</v>
      </c>
      <c r="AN329" t="s">
        <v>2466</v>
      </c>
      <c r="AO329" t="s">
        <v>6912</v>
      </c>
      <c r="AP329" t="s">
        <v>6913</v>
      </c>
      <c r="AQ329" t="s">
        <v>74</v>
      </c>
      <c r="AR329" t="s">
        <v>6914</v>
      </c>
      <c r="AS329" t="s">
        <v>6915</v>
      </c>
      <c r="AT329" t="s">
        <v>6916</v>
      </c>
      <c r="AU329">
        <v>2016</v>
      </c>
      <c r="AV329">
        <v>28</v>
      </c>
      <c r="AW329" t="s">
        <v>1476</v>
      </c>
      <c r="AX329" t="s">
        <v>74</v>
      </c>
      <c r="AY329" t="s">
        <v>74</v>
      </c>
      <c r="AZ329" t="s">
        <v>247</v>
      </c>
      <c r="BA329" t="s">
        <v>74</v>
      </c>
      <c r="BB329">
        <v>313</v>
      </c>
      <c r="BC329">
        <v>329</v>
      </c>
      <c r="BD329" t="s">
        <v>74</v>
      </c>
      <c r="BE329" t="s">
        <v>6917</v>
      </c>
      <c r="BF329" t="str">
        <f>HYPERLINK("http://dx.doi.org/10.1080/0952813X.2015.1024492","http://dx.doi.org/10.1080/0952813X.2015.1024492")</f>
        <v>http://dx.doi.org/10.1080/0952813X.2015.1024492</v>
      </c>
      <c r="BG329" t="s">
        <v>74</v>
      </c>
      <c r="BH329" t="s">
        <v>74</v>
      </c>
      <c r="BI329">
        <v>17</v>
      </c>
      <c r="BJ329" t="s">
        <v>807</v>
      </c>
      <c r="BK329" t="s">
        <v>902</v>
      </c>
      <c r="BL329" t="s">
        <v>103</v>
      </c>
      <c r="BM329" t="s">
        <v>6918</v>
      </c>
      <c r="BN329" t="s">
        <v>74</v>
      </c>
      <c r="BO329" t="s">
        <v>2977</v>
      </c>
      <c r="BP329" t="s">
        <v>74</v>
      </c>
      <c r="BQ329" t="s">
        <v>74</v>
      </c>
      <c r="BR329" t="s">
        <v>106</v>
      </c>
      <c r="BS329" t="s">
        <v>6919</v>
      </c>
      <c r="BT329" t="str">
        <f>HYPERLINK("https%3A%2F%2Fwww.webofscience.com%2Fwos%2Fwoscc%2Ffull-record%2FWOS:000371700700001","View Full Record in Web of Science")</f>
        <v>View Full Record in Web of Science</v>
      </c>
    </row>
    <row r="330" spans="1:72" x14ac:dyDescent="0.25">
      <c r="A330" t="s">
        <v>72</v>
      </c>
      <c r="B330" t="s">
        <v>6920</v>
      </c>
      <c r="C330" t="s">
        <v>74</v>
      </c>
      <c r="D330" t="s">
        <v>74</v>
      </c>
      <c r="E330" t="s">
        <v>74</v>
      </c>
      <c r="F330" t="s">
        <v>6921</v>
      </c>
      <c r="G330" t="s">
        <v>74</v>
      </c>
      <c r="H330" t="s">
        <v>74</v>
      </c>
      <c r="I330" t="s">
        <v>6922</v>
      </c>
      <c r="J330" t="s">
        <v>3240</v>
      </c>
      <c r="K330" t="s">
        <v>74</v>
      </c>
      <c r="L330" t="s">
        <v>74</v>
      </c>
      <c r="M330" t="s">
        <v>78</v>
      </c>
      <c r="N330" t="s">
        <v>79</v>
      </c>
      <c r="O330" t="s">
        <v>74</v>
      </c>
      <c r="P330" t="s">
        <v>74</v>
      </c>
      <c r="Q330" t="s">
        <v>74</v>
      </c>
      <c r="R330" t="s">
        <v>74</v>
      </c>
      <c r="S330" t="s">
        <v>74</v>
      </c>
      <c r="T330" t="s">
        <v>6923</v>
      </c>
      <c r="U330" t="s">
        <v>74</v>
      </c>
      <c r="V330" t="s">
        <v>6924</v>
      </c>
      <c r="W330" t="s">
        <v>6925</v>
      </c>
      <c r="X330" t="s">
        <v>6926</v>
      </c>
      <c r="Y330" t="s">
        <v>6927</v>
      </c>
      <c r="Z330" t="s">
        <v>6928</v>
      </c>
      <c r="AA330" t="s">
        <v>4310</v>
      </c>
      <c r="AB330" t="s">
        <v>74</v>
      </c>
      <c r="AC330" t="s">
        <v>4311</v>
      </c>
      <c r="AD330" t="s">
        <v>4312</v>
      </c>
      <c r="AE330" t="s">
        <v>6929</v>
      </c>
      <c r="AF330" t="s">
        <v>74</v>
      </c>
      <c r="AG330">
        <v>28</v>
      </c>
      <c r="AH330">
        <v>6</v>
      </c>
      <c r="AI330">
        <v>6</v>
      </c>
      <c r="AJ330">
        <v>0</v>
      </c>
      <c r="AK330">
        <v>44</v>
      </c>
      <c r="AL330" t="s">
        <v>362</v>
      </c>
      <c r="AM330" t="s">
        <v>363</v>
      </c>
      <c r="AN330" t="s">
        <v>364</v>
      </c>
      <c r="AO330" t="s">
        <v>3252</v>
      </c>
      <c r="AP330" t="s">
        <v>3253</v>
      </c>
      <c r="AQ330" t="s">
        <v>74</v>
      </c>
      <c r="AR330" t="s">
        <v>3254</v>
      </c>
      <c r="AS330" t="s">
        <v>3255</v>
      </c>
      <c r="AT330" t="s">
        <v>2931</v>
      </c>
      <c r="AU330">
        <v>2022</v>
      </c>
      <c r="AV330">
        <v>250</v>
      </c>
      <c r="AW330" t="s">
        <v>74</v>
      </c>
      <c r="AX330" t="s">
        <v>74</v>
      </c>
      <c r="AY330" t="s">
        <v>74</v>
      </c>
      <c r="AZ330" t="s">
        <v>74</v>
      </c>
      <c r="BA330" t="s">
        <v>74</v>
      </c>
      <c r="BB330" t="s">
        <v>74</v>
      </c>
      <c r="BC330" t="s">
        <v>74</v>
      </c>
      <c r="BD330">
        <v>109135</v>
      </c>
      <c r="BE330" t="s">
        <v>6930</v>
      </c>
      <c r="BF330" t="str">
        <f>HYPERLINK("http://dx.doi.org/10.1016/j.knosys.2022.109135","http://dx.doi.org/10.1016/j.knosys.2022.109135")</f>
        <v>http://dx.doi.org/10.1016/j.knosys.2022.109135</v>
      </c>
      <c r="BG330" t="s">
        <v>74</v>
      </c>
      <c r="BH330" t="s">
        <v>6577</v>
      </c>
      <c r="BI330">
        <v>12</v>
      </c>
      <c r="BJ330" t="s">
        <v>807</v>
      </c>
      <c r="BK330" t="s">
        <v>902</v>
      </c>
      <c r="BL330" t="s">
        <v>103</v>
      </c>
      <c r="BM330" t="s">
        <v>6931</v>
      </c>
      <c r="BN330" t="s">
        <v>74</v>
      </c>
      <c r="BO330" t="s">
        <v>74</v>
      </c>
      <c r="BP330" t="s">
        <v>74</v>
      </c>
      <c r="BQ330" t="s">
        <v>74</v>
      </c>
      <c r="BR330" t="s">
        <v>106</v>
      </c>
      <c r="BS330" t="s">
        <v>6932</v>
      </c>
      <c r="BT330" t="str">
        <f>HYPERLINK("https%3A%2F%2Fwww.webofscience.com%2Fwos%2Fwoscc%2Ffull-record%2FWOS:000811313600016","View Full Record in Web of Science")</f>
        <v>View Full Record in Web of Science</v>
      </c>
    </row>
    <row r="331" spans="1:72" x14ac:dyDescent="0.25">
      <c r="A331" t="s">
        <v>72</v>
      </c>
      <c r="B331" t="s">
        <v>6933</v>
      </c>
      <c r="C331" t="s">
        <v>74</v>
      </c>
      <c r="D331" t="s">
        <v>74</v>
      </c>
      <c r="E331" t="s">
        <v>74</v>
      </c>
      <c r="F331" t="s">
        <v>6934</v>
      </c>
      <c r="G331" t="s">
        <v>74</v>
      </c>
      <c r="H331" t="s">
        <v>74</v>
      </c>
      <c r="I331" t="s">
        <v>6935</v>
      </c>
      <c r="J331" t="s">
        <v>2298</v>
      </c>
      <c r="K331" t="s">
        <v>74</v>
      </c>
      <c r="L331" t="s">
        <v>74</v>
      </c>
      <c r="M331" t="s">
        <v>78</v>
      </c>
      <c r="N331" t="s">
        <v>79</v>
      </c>
      <c r="O331" t="s">
        <v>74</v>
      </c>
      <c r="P331" t="s">
        <v>74</v>
      </c>
      <c r="Q331" t="s">
        <v>74</v>
      </c>
      <c r="R331" t="s">
        <v>74</v>
      </c>
      <c r="S331" t="s">
        <v>74</v>
      </c>
      <c r="T331" t="s">
        <v>6936</v>
      </c>
      <c r="U331" t="s">
        <v>6937</v>
      </c>
      <c r="V331" t="s">
        <v>6938</v>
      </c>
      <c r="W331" t="s">
        <v>6939</v>
      </c>
      <c r="X331" t="s">
        <v>214</v>
      </c>
      <c r="Y331" t="s">
        <v>6940</v>
      </c>
      <c r="Z331" t="s">
        <v>6941</v>
      </c>
      <c r="AA331" t="s">
        <v>217</v>
      </c>
      <c r="AB331" t="s">
        <v>982</v>
      </c>
      <c r="AC331" t="s">
        <v>74</v>
      </c>
      <c r="AD331" t="s">
        <v>74</v>
      </c>
      <c r="AE331" t="s">
        <v>74</v>
      </c>
      <c r="AF331" t="s">
        <v>74</v>
      </c>
      <c r="AG331">
        <v>86</v>
      </c>
      <c r="AH331">
        <v>36</v>
      </c>
      <c r="AI331">
        <v>64</v>
      </c>
      <c r="AJ331">
        <v>0</v>
      </c>
      <c r="AK331">
        <v>15</v>
      </c>
      <c r="AL331" t="s">
        <v>91</v>
      </c>
      <c r="AM331" t="s">
        <v>92</v>
      </c>
      <c r="AN331" t="s">
        <v>2307</v>
      </c>
      <c r="AO331" t="s">
        <v>2308</v>
      </c>
      <c r="AP331" t="s">
        <v>2309</v>
      </c>
      <c r="AQ331" t="s">
        <v>74</v>
      </c>
      <c r="AR331" t="s">
        <v>2310</v>
      </c>
      <c r="AS331" t="s">
        <v>2311</v>
      </c>
      <c r="AT331" t="s">
        <v>98</v>
      </c>
      <c r="AU331">
        <v>2015</v>
      </c>
      <c r="AV331">
        <v>40</v>
      </c>
      <c r="AW331" t="s">
        <v>74</v>
      </c>
      <c r="AX331" t="s">
        <v>1108</v>
      </c>
      <c r="AY331" t="s">
        <v>74</v>
      </c>
      <c r="AZ331" t="s">
        <v>74</v>
      </c>
      <c r="BA331" t="s">
        <v>74</v>
      </c>
      <c r="BB331">
        <v>171</v>
      </c>
      <c r="BC331">
        <v>191</v>
      </c>
      <c r="BD331" t="s">
        <v>74</v>
      </c>
      <c r="BE331" t="s">
        <v>6942</v>
      </c>
      <c r="BF331" t="str">
        <f>HYPERLINK("http://dx.doi.org/10.1016/j.jmathb.2015.08.001","http://dx.doi.org/10.1016/j.jmathb.2015.08.001")</f>
        <v>http://dx.doi.org/10.1016/j.jmathb.2015.08.001</v>
      </c>
      <c r="BG331" t="s">
        <v>74</v>
      </c>
      <c r="BH331" t="s">
        <v>74</v>
      </c>
      <c r="BI331">
        <v>21</v>
      </c>
      <c r="BJ331" t="s">
        <v>318</v>
      </c>
      <c r="BK331" t="s">
        <v>102</v>
      </c>
      <c r="BL331" t="s">
        <v>318</v>
      </c>
      <c r="BM331" t="s">
        <v>6943</v>
      </c>
      <c r="BN331" t="s">
        <v>74</v>
      </c>
      <c r="BO331" t="s">
        <v>74</v>
      </c>
      <c r="BP331" t="s">
        <v>74</v>
      </c>
      <c r="BQ331" t="s">
        <v>74</v>
      </c>
      <c r="BR331" t="s">
        <v>106</v>
      </c>
      <c r="BS331" t="s">
        <v>6944</v>
      </c>
      <c r="BT331" t="str">
        <f>HYPERLINK("https%3A%2F%2Fwww.webofscience.com%2Fwos%2Fwoscc%2Ffull-record%2FWOS:000375851800003","View Full Record in Web of Science")</f>
        <v>View Full Record in Web of Science</v>
      </c>
    </row>
    <row r="332" spans="1:72" x14ac:dyDescent="0.25">
      <c r="A332" t="s">
        <v>108</v>
      </c>
      <c r="B332" t="s">
        <v>6945</v>
      </c>
      <c r="C332" t="s">
        <v>74</v>
      </c>
      <c r="D332" t="s">
        <v>6946</v>
      </c>
      <c r="E332" t="s">
        <v>74</v>
      </c>
      <c r="F332" t="s">
        <v>6947</v>
      </c>
      <c r="G332" t="s">
        <v>74</v>
      </c>
      <c r="H332" t="s">
        <v>74</v>
      </c>
      <c r="I332" t="s">
        <v>6948</v>
      </c>
      <c r="J332" t="s">
        <v>6949</v>
      </c>
      <c r="K332" t="s">
        <v>6950</v>
      </c>
      <c r="L332" t="s">
        <v>74</v>
      </c>
      <c r="M332" t="s">
        <v>78</v>
      </c>
      <c r="N332" t="s">
        <v>115</v>
      </c>
      <c r="O332" t="s">
        <v>6951</v>
      </c>
      <c r="P332" t="s">
        <v>6952</v>
      </c>
      <c r="Q332" t="s">
        <v>6953</v>
      </c>
      <c r="R332" t="s">
        <v>74</v>
      </c>
      <c r="S332" t="s">
        <v>74</v>
      </c>
      <c r="T332" t="s">
        <v>6954</v>
      </c>
      <c r="U332" t="s">
        <v>74</v>
      </c>
      <c r="V332" t="s">
        <v>6955</v>
      </c>
      <c r="W332" t="s">
        <v>6956</v>
      </c>
      <c r="X332" t="s">
        <v>6957</v>
      </c>
      <c r="Y332" t="s">
        <v>6958</v>
      </c>
      <c r="Z332" t="s">
        <v>6959</v>
      </c>
      <c r="AA332" t="s">
        <v>74</v>
      </c>
      <c r="AB332" t="s">
        <v>74</v>
      </c>
      <c r="AC332" t="s">
        <v>74</v>
      </c>
      <c r="AD332" t="s">
        <v>74</v>
      </c>
      <c r="AE332" t="s">
        <v>74</v>
      </c>
      <c r="AF332" t="s">
        <v>74</v>
      </c>
      <c r="AG332">
        <v>16</v>
      </c>
      <c r="AH332">
        <v>0</v>
      </c>
      <c r="AI332">
        <v>0</v>
      </c>
      <c r="AJ332">
        <v>0</v>
      </c>
      <c r="AK332">
        <v>0</v>
      </c>
      <c r="AL332" t="s">
        <v>2605</v>
      </c>
      <c r="AM332" t="s">
        <v>2606</v>
      </c>
      <c r="AN332" t="s">
        <v>2607</v>
      </c>
      <c r="AO332" t="s">
        <v>6960</v>
      </c>
      <c r="AP332" t="s">
        <v>74</v>
      </c>
      <c r="AQ332" t="s">
        <v>6961</v>
      </c>
      <c r="AR332" t="s">
        <v>6962</v>
      </c>
      <c r="AS332" t="s">
        <v>74</v>
      </c>
      <c r="AT332" t="s">
        <v>74</v>
      </c>
      <c r="AU332">
        <v>2016</v>
      </c>
      <c r="AV332">
        <v>67</v>
      </c>
      <c r="AW332" t="s">
        <v>74</v>
      </c>
      <c r="AX332" t="s">
        <v>74</v>
      </c>
      <c r="AY332" t="s">
        <v>74</v>
      </c>
      <c r="AZ332" t="s">
        <v>74</v>
      </c>
      <c r="BA332" t="s">
        <v>74</v>
      </c>
      <c r="BB332">
        <v>259</v>
      </c>
      <c r="BC332">
        <v>264</v>
      </c>
      <c r="BD332" t="s">
        <v>74</v>
      </c>
      <c r="BE332" t="s">
        <v>74</v>
      </c>
      <c r="BF332" t="s">
        <v>74</v>
      </c>
      <c r="BG332" t="s">
        <v>74</v>
      </c>
      <c r="BH332" t="s">
        <v>74</v>
      </c>
      <c r="BI332">
        <v>6</v>
      </c>
      <c r="BJ332" t="s">
        <v>6963</v>
      </c>
      <c r="BK332" t="s">
        <v>203</v>
      </c>
      <c r="BL332" t="s">
        <v>953</v>
      </c>
      <c r="BM332" t="s">
        <v>6964</v>
      </c>
      <c r="BN332" t="s">
        <v>74</v>
      </c>
      <c r="BO332" t="s">
        <v>74</v>
      </c>
      <c r="BP332" t="s">
        <v>74</v>
      </c>
      <c r="BQ332" t="s">
        <v>74</v>
      </c>
      <c r="BR332" t="s">
        <v>106</v>
      </c>
      <c r="BS332" t="s">
        <v>6965</v>
      </c>
      <c r="BT332" t="str">
        <f>HYPERLINK("https%3A%2F%2Fwww.webofscience.com%2Fwos%2Fwoscc%2Ffull-record%2FWOS:000392723400055","View Full Record in Web of Science")</f>
        <v>View Full Record in Web of Science</v>
      </c>
    </row>
    <row r="333" spans="1:72" x14ac:dyDescent="0.25">
      <c r="A333" t="s">
        <v>108</v>
      </c>
      <c r="B333" t="s">
        <v>6966</v>
      </c>
      <c r="C333" t="s">
        <v>74</v>
      </c>
      <c r="D333" t="s">
        <v>74</v>
      </c>
      <c r="E333" t="s">
        <v>465</v>
      </c>
      <c r="F333" t="s">
        <v>6967</v>
      </c>
      <c r="G333" t="s">
        <v>74</v>
      </c>
      <c r="H333" t="s">
        <v>74</v>
      </c>
      <c r="I333" t="s">
        <v>6968</v>
      </c>
      <c r="J333" t="s">
        <v>6969</v>
      </c>
      <c r="K333" t="s">
        <v>74</v>
      </c>
      <c r="L333" t="s">
        <v>74</v>
      </c>
      <c r="M333" t="s">
        <v>78</v>
      </c>
      <c r="N333" t="s">
        <v>115</v>
      </c>
      <c r="O333" t="s">
        <v>6970</v>
      </c>
      <c r="P333" t="s">
        <v>6971</v>
      </c>
      <c r="Q333" t="s">
        <v>6972</v>
      </c>
      <c r="R333" t="s">
        <v>6973</v>
      </c>
      <c r="S333" t="s">
        <v>74</v>
      </c>
      <c r="T333" t="s">
        <v>6974</v>
      </c>
      <c r="U333" t="s">
        <v>74</v>
      </c>
      <c r="V333" t="s">
        <v>6975</v>
      </c>
      <c r="W333" t="s">
        <v>6976</v>
      </c>
      <c r="X333" t="s">
        <v>6977</v>
      </c>
      <c r="Y333" t="s">
        <v>6978</v>
      </c>
      <c r="Z333" t="s">
        <v>6979</v>
      </c>
      <c r="AA333" t="s">
        <v>6980</v>
      </c>
      <c r="AB333" t="s">
        <v>6981</v>
      </c>
      <c r="AC333" t="s">
        <v>74</v>
      </c>
      <c r="AD333" t="s">
        <v>74</v>
      </c>
      <c r="AE333" t="s">
        <v>74</v>
      </c>
      <c r="AF333" t="s">
        <v>74</v>
      </c>
      <c r="AG333">
        <v>16</v>
      </c>
      <c r="AH333">
        <v>12</v>
      </c>
      <c r="AI333">
        <v>16</v>
      </c>
      <c r="AJ333">
        <v>0</v>
      </c>
      <c r="AK333">
        <v>7</v>
      </c>
      <c r="AL333" t="s">
        <v>465</v>
      </c>
      <c r="AM333" t="s">
        <v>92</v>
      </c>
      <c r="AN333" t="s">
        <v>480</v>
      </c>
      <c r="AO333" t="s">
        <v>74</v>
      </c>
      <c r="AP333" t="s">
        <v>74</v>
      </c>
      <c r="AQ333" t="s">
        <v>6982</v>
      </c>
      <c r="AR333" t="s">
        <v>74</v>
      </c>
      <c r="AS333" t="s">
        <v>74</v>
      </c>
      <c r="AT333" t="s">
        <v>74</v>
      </c>
      <c r="AU333">
        <v>2012</v>
      </c>
      <c r="AV333" t="s">
        <v>74</v>
      </c>
      <c r="AW333" t="s">
        <v>74</v>
      </c>
      <c r="AX333" t="s">
        <v>74</v>
      </c>
      <c r="AY333" t="s">
        <v>74</v>
      </c>
      <c r="AZ333" t="s">
        <v>74</v>
      </c>
      <c r="BA333" t="s">
        <v>74</v>
      </c>
      <c r="BB333">
        <v>838</v>
      </c>
      <c r="BC333">
        <v>842</v>
      </c>
      <c r="BD333" t="s">
        <v>74</v>
      </c>
      <c r="BE333" t="s">
        <v>6983</v>
      </c>
      <c r="BF333" t="str">
        <f>HYPERLINK("http://dx.doi.org/10.1109/SocialCom-PASSAT.2012.16","http://dx.doi.org/10.1109/SocialCom-PASSAT.2012.16")</f>
        <v>http://dx.doi.org/10.1109/SocialCom-PASSAT.2012.16</v>
      </c>
      <c r="BG333" t="s">
        <v>74</v>
      </c>
      <c r="BH333" t="s">
        <v>74</v>
      </c>
      <c r="BI333">
        <v>5</v>
      </c>
      <c r="BJ333" t="s">
        <v>972</v>
      </c>
      <c r="BK333" t="s">
        <v>203</v>
      </c>
      <c r="BL333" t="s">
        <v>953</v>
      </c>
      <c r="BM333" t="s">
        <v>6984</v>
      </c>
      <c r="BN333" t="s">
        <v>74</v>
      </c>
      <c r="BO333" t="s">
        <v>74</v>
      </c>
      <c r="BP333" t="s">
        <v>74</v>
      </c>
      <c r="BQ333" t="s">
        <v>74</v>
      </c>
      <c r="BR333" t="s">
        <v>106</v>
      </c>
      <c r="BS333" t="s">
        <v>6985</v>
      </c>
      <c r="BT333" t="str">
        <f>HYPERLINK("https%3A%2F%2Fwww.webofscience.com%2Fwos%2Fwoscc%2Ffull-record%2FWOS:000392709700105","View Full Record in Web of Science")</f>
        <v>View Full Record in Web of Science</v>
      </c>
    </row>
    <row r="334" spans="1:72" x14ac:dyDescent="0.25">
      <c r="A334" t="s">
        <v>72</v>
      </c>
      <c r="B334" t="s">
        <v>6986</v>
      </c>
      <c r="C334" t="s">
        <v>74</v>
      </c>
      <c r="D334" t="s">
        <v>74</v>
      </c>
      <c r="E334" t="s">
        <v>74</v>
      </c>
      <c r="F334" t="s">
        <v>6987</v>
      </c>
      <c r="G334" t="s">
        <v>74</v>
      </c>
      <c r="H334" t="s">
        <v>74</v>
      </c>
      <c r="I334" t="s">
        <v>6988</v>
      </c>
      <c r="J334" t="s">
        <v>882</v>
      </c>
      <c r="K334" t="s">
        <v>74</v>
      </c>
      <c r="L334" t="s">
        <v>74</v>
      </c>
      <c r="M334" t="s">
        <v>78</v>
      </c>
      <c r="N334" t="s">
        <v>79</v>
      </c>
      <c r="O334" t="s">
        <v>74</v>
      </c>
      <c r="P334" t="s">
        <v>74</v>
      </c>
      <c r="Q334" t="s">
        <v>74</v>
      </c>
      <c r="R334" t="s">
        <v>74</v>
      </c>
      <c r="S334" t="s">
        <v>74</v>
      </c>
      <c r="T334" t="s">
        <v>6989</v>
      </c>
      <c r="U334" t="s">
        <v>74</v>
      </c>
      <c r="V334" t="s">
        <v>6990</v>
      </c>
      <c r="W334" t="s">
        <v>6991</v>
      </c>
      <c r="X334" t="s">
        <v>6992</v>
      </c>
      <c r="Y334" t="s">
        <v>6993</v>
      </c>
      <c r="Z334" t="s">
        <v>6994</v>
      </c>
      <c r="AA334" t="s">
        <v>6995</v>
      </c>
      <c r="AB334" t="s">
        <v>74</v>
      </c>
      <c r="AC334" t="s">
        <v>74</v>
      </c>
      <c r="AD334" t="s">
        <v>74</v>
      </c>
      <c r="AE334" t="s">
        <v>74</v>
      </c>
      <c r="AF334" t="s">
        <v>74</v>
      </c>
      <c r="AG334">
        <v>22</v>
      </c>
      <c r="AH334">
        <v>15</v>
      </c>
      <c r="AI334">
        <v>15</v>
      </c>
      <c r="AJ334">
        <v>0</v>
      </c>
      <c r="AK334">
        <v>23</v>
      </c>
      <c r="AL334" t="s">
        <v>895</v>
      </c>
      <c r="AM334" t="s">
        <v>896</v>
      </c>
      <c r="AN334" t="s">
        <v>897</v>
      </c>
      <c r="AO334" t="s">
        <v>898</v>
      </c>
      <c r="AP334" t="s">
        <v>74</v>
      </c>
      <c r="AQ334" t="s">
        <v>74</v>
      </c>
      <c r="AR334" t="s">
        <v>882</v>
      </c>
      <c r="AS334" t="s">
        <v>899</v>
      </c>
      <c r="AT334" t="s">
        <v>74</v>
      </c>
      <c r="AU334">
        <v>2019</v>
      </c>
      <c r="AV334">
        <v>7</v>
      </c>
      <c r="AW334" t="s">
        <v>74</v>
      </c>
      <c r="AX334" t="s">
        <v>74</v>
      </c>
      <c r="AY334" t="s">
        <v>74</v>
      </c>
      <c r="AZ334" t="s">
        <v>74</v>
      </c>
      <c r="BA334" t="s">
        <v>74</v>
      </c>
      <c r="BB334">
        <v>171105</v>
      </c>
      <c r="BC334">
        <v>171113</v>
      </c>
      <c r="BD334" t="s">
        <v>74</v>
      </c>
      <c r="BE334" t="s">
        <v>6996</v>
      </c>
      <c r="BF334" t="str">
        <f>HYPERLINK("http://dx.doi.org/10.1109/ACCESS.2019.2956138","http://dx.doi.org/10.1109/ACCESS.2019.2956138")</f>
        <v>http://dx.doi.org/10.1109/ACCESS.2019.2956138</v>
      </c>
      <c r="BG334" t="s">
        <v>74</v>
      </c>
      <c r="BH334" t="s">
        <v>74</v>
      </c>
      <c r="BI334">
        <v>9</v>
      </c>
      <c r="BJ334" t="s">
        <v>901</v>
      </c>
      <c r="BK334" t="s">
        <v>902</v>
      </c>
      <c r="BL334" t="s">
        <v>903</v>
      </c>
      <c r="BM334" t="s">
        <v>6997</v>
      </c>
      <c r="BN334" t="s">
        <v>74</v>
      </c>
      <c r="BO334" t="s">
        <v>398</v>
      </c>
      <c r="BP334" t="s">
        <v>74</v>
      </c>
      <c r="BQ334" t="s">
        <v>74</v>
      </c>
      <c r="BR334" t="s">
        <v>106</v>
      </c>
      <c r="BS334" t="s">
        <v>6998</v>
      </c>
      <c r="BT334" t="str">
        <f>HYPERLINK("https%3A%2F%2Fwww.webofscience.com%2Fwos%2Fwoscc%2Ffull-record%2FWOS:000509358000013","View Full Record in Web of Science")</f>
        <v>View Full Record in Web of Science</v>
      </c>
    </row>
    <row r="335" spans="1:72" x14ac:dyDescent="0.25">
      <c r="A335" t="s">
        <v>72</v>
      </c>
      <c r="B335" t="s">
        <v>6999</v>
      </c>
      <c r="C335" t="s">
        <v>74</v>
      </c>
      <c r="D335" t="s">
        <v>74</v>
      </c>
      <c r="E335" t="s">
        <v>74</v>
      </c>
      <c r="F335" t="s">
        <v>7000</v>
      </c>
      <c r="G335" t="s">
        <v>74</v>
      </c>
      <c r="H335" t="s">
        <v>74</v>
      </c>
      <c r="I335" t="s">
        <v>7001</v>
      </c>
      <c r="J335" t="s">
        <v>4685</v>
      </c>
      <c r="K335" t="s">
        <v>74</v>
      </c>
      <c r="L335" t="s">
        <v>74</v>
      </c>
      <c r="M335" t="s">
        <v>78</v>
      </c>
      <c r="N335" t="s">
        <v>79</v>
      </c>
      <c r="O335" t="s">
        <v>74</v>
      </c>
      <c r="P335" t="s">
        <v>74</v>
      </c>
      <c r="Q335" t="s">
        <v>74</v>
      </c>
      <c r="R335" t="s">
        <v>74</v>
      </c>
      <c r="S335" t="s">
        <v>74</v>
      </c>
      <c r="T335" t="s">
        <v>7002</v>
      </c>
      <c r="U335" t="s">
        <v>74</v>
      </c>
      <c r="V335" t="s">
        <v>7003</v>
      </c>
      <c r="W335" t="s">
        <v>7004</v>
      </c>
      <c r="X335" t="s">
        <v>5539</v>
      </c>
      <c r="Y335" t="s">
        <v>7005</v>
      </c>
      <c r="Z335" t="s">
        <v>7006</v>
      </c>
      <c r="AA335" t="s">
        <v>7007</v>
      </c>
      <c r="AB335" t="s">
        <v>7008</v>
      </c>
      <c r="AC335" t="s">
        <v>7009</v>
      </c>
      <c r="AD335" t="s">
        <v>7010</v>
      </c>
      <c r="AE335" t="s">
        <v>7011</v>
      </c>
      <c r="AF335" t="s">
        <v>74</v>
      </c>
      <c r="AG335">
        <v>48</v>
      </c>
      <c r="AH335">
        <v>18</v>
      </c>
      <c r="AI335">
        <v>19</v>
      </c>
      <c r="AJ335">
        <v>0</v>
      </c>
      <c r="AK335">
        <v>28</v>
      </c>
      <c r="AL335" t="s">
        <v>178</v>
      </c>
      <c r="AM335" t="s">
        <v>1005</v>
      </c>
      <c r="AN335" t="s">
        <v>1006</v>
      </c>
      <c r="AO335" t="s">
        <v>4692</v>
      </c>
      <c r="AP335" t="s">
        <v>4693</v>
      </c>
      <c r="AQ335" t="s">
        <v>74</v>
      </c>
      <c r="AR335" t="s">
        <v>4694</v>
      </c>
      <c r="AS335" t="s">
        <v>4695</v>
      </c>
      <c r="AT335" t="s">
        <v>1950</v>
      </c>
      <c r="AU335">
        <v>2019</v>
      </c>
      <c r="AV335">
        <v>52</v>
      </c>
      <c r="AW335">
        <v>1</v>
      </c>
      <c r="AX335" t="s">
        <v>74</v>
      </c>
      <c r="AY335" t="s">
        <v>74</v>
      </c>
      <c r="AZ335" t="s">
        <v>74</v>
      </c>
      <c r="BA335" t="s">
        <v>74</v>
      </c>
      <c r="BB335">
        <v>191</v>
      </c>
      <c r="BC335">
        <v>209</v>
      </c>
      <c r="BD335" t="s">
        <v>74</v>
      </c>
      <c r="BE335" t="s">
        <v>7012</v>
      </c>
      <c r="BF335" t="str">
        <f>HYPERLINK("http://dx.doi.org/10.1007/s10844-018-0534-3","http://dx.doi.org/10.1007/s10844-018-0534-3")</f>
        <v>http://dx.doi.org/10.1007/s10844-018-0534-3</v>
      </c>
      <c r="BG335" t="s">
        <v>74</v>
      </c>
      <c r="BH335" t="s">
        <v>74</v>
      </c>
      <c r="BI335">
        <v>19</v>
      </c>
      <c r="BJ335" t="s">
        <v>202</v>
      </c>
      <c r="BK335" t="s">
        <v>902</v>
      </c>
      <c r="BL335" t="s">
        <v>103</v>
      </c>
      <c r="BM335" t="s">
        <v>7013</v>
      </c>
      <c r="BN335" t="s">
        <v>74</v>
      </c>
      <c r="BO335" t="s">
        <v>74</v>
      </c>
      <c r="BP335" t="s">
        <v>74</v>
      </c>
      <c r="BQ335" t="s">
        <v>74</v>
      </c>
      <c r="BR335" t="s">
        <v>106</v>
      </c>
      <c r="BS335" t="s">
        <v>7014</v>
      </c>
      <c r="BT335" t="str">
        <f>HYPERLINK("https%3A%2F%2Fwww.webofscience.com%2Fwos%2Fwoscc%2Ffull-record%2FWOS:000456956900008","View Full Record in Web of Science")</f>
        <v>View Full Record in Web of Science</v>
      </c>
    </row>
    <row r="336" spans="1:72" x14ac:dyDescent="0.25">
      <c r="A336" t="s">
        <v>72</v>
      </c>
      <c r="B336" t="s">
        <v>7015</v>
      </c>
      <c r="C336" t="s">
        <v>74</v>
      </c>
      <c r="D336" t="s">
        <v>74</v>
      </c>
      <c r="E336" t="s">
        <v>74</v>
      </c>
      <c r="F336" t="s">
        <v>7016</v>
      </c>
      <c r="G336" t="s">
        <v>74</v>
      </c>
      <c r="H336" t="s">
        <v>74</v>
      </c>
      <c r="I336" t="s">
        <v>7017</v>
      </c>
      <c r="J336" t="s">
        <v>2016</v>
      </c>
      <c r="K336" t="s">
        <v>74</v>
      </c>
      <c r="L336" t="s">
        <v>74</v>
      </c>
      <c r="M336" t="s">
        <v>78</v>
      </c>
      <c r="N336" t="s">
        <v>79</v>
      </c>
      <c r="O336" t="s">
        <v>74</v>
      </c>
      <c r="P336" t="s">
        <v>74</v>
      </c>
      <c r="Q336" t="s">
        <v>74</v>
      </c>
      <c r="R336" t="s">
        <v>74</v>
      </c>
      <c r="S336" t="s">
        <v>74</v>
      </c>
      <c r="T336" t="s">
        <v>7018</v>
      </c>
      <c r="U336" t="s">
        <v>74</v>
      </c>
      <c r="V336" t="s">
        <v>7019</v>
      </c>
      <c r="W336" t="s">
        <v>7020</v>
      </c>
      <c r="X336" t="s">
        <v>7021</v>
      </c>
      <c r="Y336" t="s">
        <v>7022</v>
      </c>
      <c r="Z336" t="s">
        <v>7023</v>
      </c>
      <c r="AA336" t="s">
        <v>7024</v>
      </c>
      <c r="AB336" t="s">
        <v>7025</v>
      </c>
      <c r="AC336" t="s">
        <v>74</v>
      </c>
      <c r="AD336" t="s">
        <v>74</v>
      </c>
      <c r="AE336" t="s">
        <v>74</v>
      </c>
      <c r="AF336" t="s">
        <v>74</v>
      </c>
      <c r="AG336">
        <v>53</v>
      </c>
      <c r="AH336">
        <v>10</v>
      </c>
      <c r="AI336">
        <v>11</v>
      </c>
      <c r="AJ336">
        <v>0</v>
      </c>
      <c r="AK336">
        <v>10</v>
      </c>
      <c r="AL336" t="s">
        <v>362</v>
      </c>
      <c r="AM336" t="s">
        <v>363</v>
      </c>
      <c r="AN336" t="s">
        <v>364</v>
      </c>
      <c r="AO336" t="s">
        <v>2027</v>
      </c>
      <c r="AP336" t="s">
        <v>2028</v>
      </c>
      <c r="AQ336" t="s">
        <v>74</v>
      </c>
      <c r="AR336" t="s">
        <v>2016</v>
      </c>
      <c r="AS336" t="s">
        <v>2029</v>
      </c>
      <c r="AT336" t="s">
        <v>7026</v>
      </c>
      <c r="AU336">
        <v>2024</v>
      </c>
      <c r="AV336">
        <v>571</v>
      </c>
      <c r="AW336" t="s">
        <v>74</v>
      </c>
      <c r="AX336" t="s">
        <v>74</v>
      </c>
      <c r="AY336" t="s">
        <v>74</v>
      </c>
      <c r="AZ336" t="s">
        <v>74</v>
      </c>
      <c r="BA336" t="s">
        <v>74</v>
      </c>
      <c r="BB336" t="s">
        <v>74</v>
      </c>
      <c r="BC336" t="s">
        <v>74</v>
      </c>
      <c r="BD336">
        <v>127140</v>
      </c>
      <c r="BE336" t="s">
        <v>7027</v>
      </c>
      <c r="BF336" t="str">
        <f>HYPERLINK("http://dx.doi.org/10.1016/j.neucom.2023.127140","http://dx.doi.org/10.1016/j.neucom.2023.127140")</f>
        <v>http://dx.doi.org/10.1016/j.neucom.2023.127140</v>
      </c>
      <c r="BG336" t="s">
        <v>74</v>
      </c>
      <c r="BH336" t="s">
        <v>7028</v>
      </c>
      <c r="BI336">
        <v>18</v>
      </c>
      <c r="BJ336" t="s">
        <v>807</v>
      </c>
      <c r="BK336" t="s">
        <v>902</v>
      </c>
      <c r="BL336" t="s">
        <v>103</v>
      </c>
      <c r="BM336" t="s">
        <v>7029</v>
      </c>
      <c r="BN336" t="s">
        <v>74</v>
      </c>
      <c r="BO336" t="s">
        <v>205</v>
      </c>
      <c r="BP336" t="s">
        <v>74</v>
      </c>
      <c r="BQ336" t="s">
        <v>74</v>
      </c>
      <c r="BR336" t="s">
        <v>106</v>
      </c>
      <c r="BS336" t="s">
        <v>7030</v>
      </c>
      <c r="BT336" t="str">
        <f>HYPERLINK("https%3A%2F%2Fwww.webofscience.com%2Fwos%2Fwoscc%2Ffull-record%2FWOS:001152830100001","View Full Record in Web of Science")</f>
        <v>View Full Record in Web of Science</v>
      </c>
    </row>
    <row r="337" spans="1:72" x14ac:dyDescent="0.25">
      <c r="A337" t="s">
        <v>72</v>
      </c>
      <c r="B337" t="s">
        <v>7031</v>
      </c>
      <c r="C337" t="s">
        <v>74</v>
      </c>
      <c r="D337" t="s">
        <v>74</v>
      </c>
      <c r="E337" t="s">
        <v>74</v>
      </c>
      <c r="F337" t="s">
        <v>7032</v>
      </c>
      <c r="G337" t="s">
        <v>74</v>
      </c>
      <c r="H337" t="s">
        <v>74</v>
      </c>
      <c r="I337" t="s">
        <v>7033</v>
      </c>
      <c r="J337" t="s">
        <v>5225</v>
      </c>
      <c r="K337" t="s">
        <v>74</v>
      </c>
      <c r="L337" t="s">
        <v>74</v>
      </c>
      <c r="M337" t="s">
        <v>78</v>
      </c>
      <c r="N337" t="s">
        <v>79</v>
      </c>
      <c r="O337" t="s">
        <v>74</v>
      </c>
      <c r="P337" t="s">
        <v>74</v>
      </c>
      <c r="Q337" t="s">
        <v>74</v>
      </c>
      <c r="R337" t="s">
        <v>74</v>
      </c>
      <c r="S337" t="s">
        <v>74</v>
      </c>
      <c r="T337" t="s">
        <v>7034</v>
      </c>
      <c r="U337" t="s">
        <v>74</v>
      </c>
      <c r="V337" t="s">
        <v>7035</v>
      </c>
      <c r="W337" t="s">
        <v>7036</v>
      </c>
      <c r="X337" t="s">
        <v>7037</v>
      </c>
      <c r="Y337" t="s">
        <v>7038</v>
      </c>
      <c r="Z337" t="s">
        <v>7039</v>
      </c>
      <c r="AA337" t="s">
        <v>74</v>
      </c>
      <c r="AB337" t="s">
        <v>74</v>
      </c>
      <c r="AC337" t="s">
        <v>7040</v>
      </c>
      <c r="AD337" t="s">
        <v>7041</v>
      </c>
      <c r="AE337" t="s">
        <v>7042</v>
      </c>
      <c r="AF337" t="s">
        <v>74</v>
      </c>
      <c r="AG337">
        <v>42</v>
      </c>
      <c r="AH337">
        <v>17</v>
      </c>
      <c r="AI337">
        <v>23</v>
      </c>
      <c r="AJ337">
        <v>0</v>
      </c>
      <c r="AK337">
        <v>35</v>
      </c>
      <c r="AL337" t="s">
        <v>736</v>
      </c>
      <c r="AM337" t="s">
        <v>737</v>
      </c>
      <c r="AN337" t="s">
        <v>738</v>
      </c>
      <c r="AO337" t="s">
        <v>5232</v>
      </c>
      <c r="AP337" t="s">
        <v>5233</v>
      </c>
      <c r="AQ337" t="s">
        <v>74</v>
      </c>
      <c r="AR337" t="s">
        <v>5234</v>
      </c>
      <c r="AS337" t="s">
        <v>5235</v>
      </c>
      <c r="AT337" t="s">
        <v>7043</v>
      </c>
      <c r="AU337">
        <v>2024</v>
      </c>
      <c r="AV337">
        <v>255</v>
      </c>
      <c r="AW337" t="s">
        <v>74</v>
      </c>
      <c r="AX337" t="s">
        <v>7044</v>
      </c>
      <c r="AY337" t="s">
        <v>74</v>
      </c>
      <c r="AZ337" t="s">
        <v>74</v>
      </c>
      <c r="BA337" t="s">
        <v>74</v>
      </c>
      <c r="BB337" t="s">
        <v>74</v>
      </c>
      <c r="BC337" t="s">
        <v>74</v>
      </c>
      <c r="BD337">
        <v>124894</v>
      </c>
      <c r="BE337" t="s">
        <v>7045</v>
      </c>
      <c r="BF337" t="str">
        <f>HYPERLINK("http://dx.doi.org/10.1016/j.eswa.2024.124894","http://dx.doi.org/10.1016/j.eswa.2024.124894")</f>
        <v>http://dx.doi.org/10.1016/j.eswa.2024.124894</v>
      </c>
      <c r="BG337" t="s">
        <v>74</v>
      </c>
      <c r="BH337" t="s">
        <v>7046</v>
      </c>
      <c r="BI337">
        <v>13</v>
      </c>
      <c r="BJ337" t="s">
        <v>5237</v>
      </c>
      <c r="BK337" t="s">
        <v>902</v>
      </c>
      <c r="BL337" t="s">
        <v>5238</v>
      </c>
      <c r="BM337" t="s">
        <v>7047</v>
      </c>
      <c r="BN337" t="s">
        <v>74</v>
      </c>
      <c r="BO337" t="s">
        <v>74</v>
      </c>
      <c r="BP337" t="s">
        <v>74</v>
      </c>
      <c r="BQ337" t="s">
        <v>74</v>
      </c>
      <c r="BR337" t="s">
        <v>106</v>
      </c>
      <c r="BS337" t="s">
        <v>7048</v>
      </c>
      <c r="BT337" t="str">
        <f>HYPERLINK("https%3A%2F%2Fwww.webofscience.com%2Fwos%2Fwoscc%2Ffull-record%2FWOS:001286083400001","View Full Record in Web of Science")</f>
        <v>View Full Record in Web of Science</v>
      </c>
    </row>
    <row r="338" spans="1:72" x14ac:dyDescent="0.25">
      <c r="A338" t="s">
        <v>108</v>
      </c>
      <c r="B338" t="s">
        <v>7049</v>
      </c>
      <c r="C338" t="s">
        <v>74</v>
      </c>
      <c r="D338" t="s">
        <v>7050</v>
      </c>
      <c r="E338" t="s">
        <v>74</v>
      </c>
      <c r="F338" t="s">
        <v>7051</v>
      </c>
      <c r="G338" t="s">
        <v>74</v>
      </c>
      <c r="H338" t="s">
        <v>74</v>
      </c>
      <c r="I338" t="s">
        <v>7052</v>
      </c>
      <c r="J338" t="s">
        <v>7053</v>
      </c>
      <c r="K338" t="s">
        <v>147</v>
      </c>
      <c r="L338" t="s">
        <v>74</v>
      </c>
      <c r="M338" t="s">
        <v>78</v>
      </c>
      <c r="N338" t="s">
        <v>115</v>
      </c>
      <c r="O338" t="s">
        <v>7054</v>
      </c>
      <c r="P338" t="s">
        <v>7055</v>
      </c>
      <c r="Q338" t="s">
        <v>862</v>
      </c>
      <c r="R338" t="s">
        <v>7056</v>
      </c>
      <c r="S338" t="s">
        <v>74</v>
      </c>
      <c r="T338" t="s">
        <v>7057</v>
      </c>
      <c r="U338" t="s">
        <v>74</v>
      </c>
      <c r="V338" t="s">
        <v>7058</v>
      </c>
      <c r="W338" t="s">
        <v>7059</v>
      </c>
      <c r="X338" t="s">
        <v>7060</v>
      </c>
      <c r="Y338" t="s">
        <v>7061</v>
      </c>
      <c r="Z338" t="s">
        <v>7062</v>
      </c>
      <c r="AA338" t="s">
        <v>7063</v>
      </c>
      <c r="AB338" t="s">
        <v>7064</v>
      </c>
      <c r="AC338" t="s">
        <v>7065</v>
      </c>
      <c r="AD338" t="s">
        <v>7066</v>
      </c>
      <c r="AE338" t="s">
        <v>7067</v>
      </c>
      <c r="AF338" t="s">
        <v>74</v>
      </c>
      <c r="AG338">
        <v>21</v>
      </c>
      <c r="AH338">
        <v>1</v>
      </c>
      <c r="AI338">
        <v>2</v>
      </c>
      <c r="AJ338">
        <v>0</v>
      </c>
      <c r="AK338">
        <v>0</v>
      </c>
      <c r="AL338" t="s">
        <v>129</v>
      </c>
      <c r="AM338" t="s">
        <v>130</v>
      </c>
      <c r="AN338" t="s">
        <v>131</v>
      </c>
      <c r="AO338" t="s">
        <v>159</v>
      </c>
      <c r="AP338" t="s">
        <v>133</v>
      </c>
      <c r="AQ338" t="s">
        <v>7068</v>
      </c>
      <c r="AR338" t="s">
        <v>161</v>
      </c>
      <c r="AS338" t="s">
        <v>74</v>
      </c>
      <c r="AT338" t="s">
        <v>74</v>
      </c>
      <c r="AU338">
        <v>2017</v>
      </c>
      <c r="AV338">
        <v>10638</v>
      </c>
      <c r="AW338" t="s">
        <v>74</v>
      </c>
      <c r="AX338" t="s">
        <v>74</v>
      </c>
      <c r="AY338" t="s">
        <v>74</v>
      </c>
      <c r="AZ338" t="s">
        <v>74</v>
      </c>
      <c r="BA338" t="s">
        <v>74</v>
      </c>
      <c r="BB338">
        <v>657</v>
      </c>
      <c r="BC338">
        <v>666</v>
      </c>
      <c r="BD338" t="s">
        <v>74</v>
      </c>
      <c r="BE338" t="s">
        <v>7069</v>
      </c>
      <c r="BF338" t="str">
        <f>HYPERLINK("http://dx.doi.org/10.1007/978-3-319-70139-4_67","http://dx.doi.org/10.1007/978-3-319-70139-4_67")</f>
        <v>http://dx.doi.org/10.1007/978-3-319-70139-4_67</v>
      </c>
      <c r="BG338" t="s">
        <v>74</v>
      </c>
      <c r="BH338" t="s">
        <v>74</v>
      </c>
      <c r="BI338">
        <v>10</v>
      </c>
      <c r="BJ338" t="s">
        <v>1399</v>
      </c>
      <c r="BK338" t="s">
        <v>203</v>
      </c>
      <c r="BL338" t="s">
        <v>103</v>
      </c>
      <c r="BM338" t="s">
        <v>7070</v>
      </c>
      <c r="BN338" t="s">
        <v>74</v>
      </c>
      <c r="BO338" t="s">
        <v>74</v>
      </c>
      <c r="BP338" t="s">
        <v>74</v>
      </c>
      <c r="BQ338" t="s">
        <v>74</v>
      </c>
      <c r="BR338" t="s">
        <v>106</v>
      </c>
      <c r="BS338" t="s">
        <v>7071</v>
      </c>
      <c r="BT338" t="str">
        <f>HYPERLINK("https%3A%2F%2Fwww.webofscience.com%2Fwos%2Fwoscc%2Ffull-record%2FWOS:000578364700067","View Full Record in Web of Science")</f>
        <v>View Full Record in Web of Science</v>
      </c>
    </row>
    <row r="339" spans="1:72" x14ac:dyDescent="0.25">
      <c r="A339" t="s">
        <v>108</v>
      </c>
      <c r="B339" t="s">
        <v>7072</v>
      </c>
      <c r="C339" t="s">
        <v>74</v>
      </c>
      <c r="D339" t="s">
        <v>7073</v>
      </c>
      <c r="E339" t="s">
        <v>74</v>
      </c>
      <c r="F339" t="s">
        <v>7074</v>
      </c>
      <c r="G339" t="s">
        <v>74</v>
      </c>
      <c r="H339" t="s">
        <v>74</v>
      </c>
      <c r="I339" t="s">
        <v>7075</v>
      </c>
      <c r="J339" t="s">
        <v>7076</v>
      </c>
      <c r="K339" t="s">
        <v>74</v>
      </c>
      <c r="L339" t="s">
        <v>74</v>
      </c>
      <c r="M339" t="s">
        <v>78</v>
      </c>
      <c r="N339" t="s">
        <v>115</v>
      </c>
      <c r="O339" t="s">
        <v>7077</v>
      </c>
      <c r="P339" t="s">
        <v>7078</v>
      </c>
      <c r="Q339" t="s">
        <v>7079</v>
      </c>
      <c r="R339" t="s">
        <v>7080</v>
      </c>
      <c r="S339" t="s">
        <v>74</v>
      </c>
      <c r="T339" t="s">
        <v>74</v>
      </c>
      <c r="U339" t="s">
        <v>7081</v>
      </c>
      <c r="V339" t="s">
        <v>7082</v>
      </c>
      <c r="W339" t="s">
        <v>74</v>
      </c>
      <c r="X339" t="s">
        <v>74</v>
      </c>
      <c r="Y339" t="s">
        <v>74</v>
      </c>
      <c r="Z339" t="s">
        <v>7083</v>
      </c>
      <c r="AA339" t="s">
        <v>7084</v>
      </c>
      <c r="AB339" t="s">
        <v>74</v>
      </c>
      <c r="AC339" t="s">
        <v>74</v>
      </c>
      <c r="AD339" t="s">
        <v>74</v>
      </c>
      <c r="AE339" t="s">
        <v>74</v>
      </c>
      <c r="AF339" t="s">
        <v>74</v>
      </c>
      <c r="AG339">
        <v>18</v>
      </c>
      <c r="AH339">
        <v>2</v>
      </c>
      <c r="AI339">
        <v>2</v>
      </c>
      <c r="AJ339">
        <v>0</v>
      </c>
      <c r="AK339">
        <v>4</v>
      </c>
      <c r="AL339" t="s">
        <v>465</v>
      </c>
      <c r="AM339" t="s">
        <v>92</v>
      </c>
      <c r="AN339" t="s">
        <v>480</v>
      </c>
      <c r="AO339" t="s">
        <v>74</v>
      </c>
      <c r="AP339" t="s">
        <v>74</v>
      </c>
      <c r="AQ339" t="s">
        <v>7085</v>
      </c>
      <c r="AR339" t="s">
        <v>74</v>
      </c>
      <c r="AS339" t="s">
        <v>74</v>
      </c>
      <c r="AT339" t="s">
        <v>74</v>
      </c>
      <c r="AU339">
        <v>2022</v>
      </c>
      <c r="AV339" t="s">
        <v>74</v>
      </c>
      <c r="AW339" t="s">
        <v>74</v>
      </c>
      <c r="AX339" t="s">
        <v>74</v>
      </c>
      <c r="AY339" t="s">
        <v>74</v>
      </c>
      <c r="AZ339" t="s">
        <v>74</v>
      </c>
      <c r="BA339" t="s">
        <v>74</v>
      </c>
      <c r="BB339">
        <v>87</v>
      </c>
      <c r="BC339">
        <v>92</v>
      </c>
      <c r="BD339" t="s">
        <v>74</v>
      </c>
      <c r="BE339" t="s">
        <v>74</v>
      </c>
      <c r="BF339" t="s">
        <v>74</v>
      </c>
      <c r="BG339" t="s">
        <v>74</v>
      </c>
      <c r="BH339" t="s">
        <v>74</v>
      </c>
      <c r="BI339">
        <v>6</v>
      </c>
      <c r="BJ339" t="s">
        <v>2292</v>
      </c>
      <c r="BK339" t="s">
        <v>203</v>
      </c>
      <c r="BL339" t="s">
        <v>103</v>
      </c>
      <c r="BM339" t="s">
        <v>7086</v>
      </c>
      <c r="BN339" t="s">
        <v>74</v>
      </c>
      <c r="BO339" t="s">
        <v>346</v>
      </c>
      <c r="BP339" t="s">
        <v>74</v>
      </c>
      <c r="BQ339" t="s">
        <v>74</v>
      </c>
      <c r="BR339" t="s">
        <v>106</v>
      </c>
      <c r="BS339" t="s">
        <v>7087</v>
      </c>
      <c r="BT339" t="str">
        <f>HYPERLINK("https%3A%2F%2Fwww.webofscience.com%2Fwos%2Fwoscc%2Ffull-record%2FWOS:000895933800010","View Full Record in Web of Science")</f>
        <v>View Full Record in Web of Science</v>
      </c>
    </row>
    <row r="340" spans="1:72" x14ac:dyDescent="0.25">
      <c r="A340" t="s">
        <v>72</v>
      </c>
      <c r="B340" t="s">
        <v>7088</v>
      </c>
      <c r="C340" t="s">
        <v>74</v>
      </c>
      <c r="D340" t="s">
        <v>74</v>
      </c>
      <c r="E340" t="s">
        <v>74</v>
      </c>
      <c r="F340" t="s">
        <v>7089</v>
      </c>
      <c r="G340" t="s">
        <v>74</v>
      </c>
      <c r="H340" t="s">
        <v>74</v>
      </c>
      <c r="I340" t="s">
        <v>7090</v>
      </c>
      <c r="J340" t="s">
        <v>7091</v>
      </c>
      <c r="K340" t="s">
        <v>74</v>
      </c>
      <c r="L340" t="s">
        <v>74</v>
      </c>
      <c r="M340" t="s">
        <v>78</v>
      </c>
      <c r="N340" t="s">
        <v>79</v>
      </c>
      <c r="O340" t="s">
        <v>74</v>
      </c>
      <c r="P340" t="s">
        <v>74</v>
      </c>
      <c r="Q340" t="s">
        <v>74</v>
      </c>
      <c r="R340" t="s">
        <v>74</v>
      </c>
      <c r="S340" t="s">
        <v>74</v>
      </c>
      <c r="T340" t="s">
        <v>7092</v>
      </c>
      <c r="U340" t="s">
        <v>7093</v>
      </c>
      <c r="V340" t="s">
        <v>7094</v>
      </c>
      <c r="W340" t="s">
        <v>7095</v>
      </c>
      <c r="X340" t="s">
        <v>74</v>
      </c>
      <c r="Y340" t="s">
        <v>7096</v>
      </c>
      <c r="Z340" t="s">
        <v>7097</v>
      </c>
      <c r="AA340" t="s">
        <v>74</v>
      </c>
      <c r="AB340" t="s">
        <v>7098</v>
      </c>
      <c r="AC340" t="s">
        <v>74</v>
      </c>
      <c r="AD340" t="s">
        <v>74</v>
      </c>
      <c r="AE340" t="s">
        <v>74</v>
      </c>
      <c r="AF340" t="s">
        <v>74</v>
      </c>
      <c r="AG340">
        <v>11</v>
      </c>
      <c r="AH340">
        <v>1</v>
      </c>
      <c r="AI340">
        <v>1</v>
      </c>
      <c r="AJ340">
        <v>0</v>
      </c>
      <c r="AK340">
        <v>0</v>
      </c>
      <c r="AL340" t="s">
        <v>2465</v>
      </c>
      <c r="AM340" t="s">
        <v>311</v>
      </c>
      <c r="AN340" t="s">
        <v>2466</v>
      </c>
      <c r="AO340" t="s">
        <v>7099</v>
      </c>
      <c r="AP340" t="s">
        <v>7100</v>
      </c>
      <c r="AQ340" t="s">
        <v>74</v>
      </c>
      <c r="AR340" t="s">
        <v>7101</v>
      </c>
      <c r="AS340" t="s">
        <v>7102</v>
      </c>
      <c r="AT340" t="s">
        <v>7103</v>
      </c>
      <c r="AU340">
        <v>2021</v>
      </c>
      <c r="AV340">
        <v>24</v>
      </c>
      <c r="AW340">
        <v>8</v>
      </c>
      <c r="AX340" t="s">
        <v>74</v>
      </c>
      <c r="AY340" t="s">
        <v>74</v>
      </c>
      <c r="AZ340" t="s">
        <v>247</v>
      </c>
      <c r="BA340" t="s">
        <v>74</v>
      </c>
      <c r="BB340">
        <v>2403</v>
      </c>
      <c r="BC340">
        <v>2413</v>
      </c>
      <c r="BD340" t="s">
        <v>74</v>
      </c>
      <c r="BE340" t="s">
        <v>7104</v>
      </c>
      <c r="BF340" t="str">
        <f>HYPERLINK("http://dx.doi.org/10.1080/09720529.2021.2020420","http://dx.doi.org/10.1080/09720529.2021.2020420")</f>
        <v>http://dx.doi.org/10.1080/09720529.2021.2020420</v>
      </c>
      <c r="BG340" t="s">
        <v>74</v>
      </c>
      <c r="BH340" t="s">
        <v>74</v>
      </c>
      <c r="BI340">
        <v>11</v>
      </c>
      <c r="BJ340" t="s">
        <v>7105</v>
      </c>
      <c r="BK340" t="s">
        <v>102</v>
      </c>
      <c r="BL340" t="s">
        <v>5155</v>
      </c>
      <c r="BM340" t="s">
        <v>7106</v>
      </c>
      <c r="BN340" t="s">
        <v>74</v>
      </c>
      <c r="BO340" t="s">
        <v>74</v>
      </c>
      <c r="BP340" t="s">
        <v>74</v>
      </c>
      <c r="BQ340" t="s">
        <v>74</v>
      </c>
      <c r="BR340" t="s">
        <v>106</v>
      </c>
      <c r="BS340" t="s">
        <v>7107</v>
      </c>
      <c r="BT340" t="str">
        <f>HYPERLINK("https%3A%2F%2Fwww.webofscience.com%2Fwos%2Fwoscc%2Ffull-record%2FWOS:000734719600023","View Full Record in Web of Science")</f>
        <v>View Full Record in Web of Science</v>
      </c>
    </row>
    <row r="341" spans="1:72" x14ac:dyDescent="0.25">
      <c r="A341" t="s">
        <v>108</v>
      </c>
      <c r="B341" t="s">
        <v>7108</v>
      </c>
      <c r="C341" t="s">
        <v>74</v>
      </c>
      <c r="D341" t="s">
        <v>74</v>
      </c>
      <c r="E341" t="s">
        <v>947</v>
      </c>
      <c r="F341" t="s">
        <v>7109</v>
      </c>
      <c r="G341" t="s">
        <v>74</v>
      </c>
      <c r="H341" t="s">
        <v>74</v>
      </c>
      <c r="I341" t="s">
        <v>7110</v>
      </c>
      <c r="J341" t="s">
        <v>7111</v>
      </c>
      <c r="K341" t="s">
        <v>2500</v>
      </c>
      <c r="L341" t="s">
        <v>74</v>
      </c>
      <c r="M341" t="s">
        <v>78</v>
      </c>
      <c r="N341" t="s">
        <v>115</v>
      </c>
      <c r="O341" t="s">
        <v>7112</v>
      </c>
      <c r="P341" t="s">
        <v>7113</v>
      </c>
      <c r="Q341" t="s">
        <v>7114</v>
      </c>
      <c r="R341" t="s">
        <v>7115</v>
      </c>
      <c r="S341" t="s">
        <v>74</v>
      </c>
      <c r="T341" t="s">
        <v>7116</v>
      </c>
      <c r="U341" t="s">
        <v>74</v>
      </c>
      <c r="V341" t="s">
        <v>7117</v>
      </c>
      <c r="W341" t="s">
        <v>7118</v>
      </c>
      <c r="X341" t="s">
        <v>7119</v>
      </c>
      <c r="Y341" t="s">
        <v>7120</v>
      </c>
      <c r="Z341" t="s">
        <v>7121</v>
      </c>
      <c r="AA341" t="s">
        <v>74</v>
      </c>
      <c r="AB341" t="s">
        <v>74</v>
      </c>
      <c r="AC341" t="s">
        <v>74</v>
      </c>
      <c r="AD341" t="s">
        <v>74</v>
      </c>
      <c r="AE341" t="s">
        <v>74</v>
      </c>
      <c r="AF341" t="s">
        <v>74</v>
      </c>
      <c r="AG341">
        <v>18</v>
      </c>
      <c r="AH341">
        <v>0</v>
      </c>
      <c r="AI341">
        <v>0</v>
      </c>
      <c r="AJ341">
        <v>0</v>
      </c>
      <c r="AK341">
        <v>0</v>
      </c>
      <c r="AL341" t="s">
        <v>947</v>
      </c>
      <c r="AM341" t="s">
        <v>948</v>
      </c>
      <c r="AN341" t="s">
        <v>949</v>
      </c>
      <c r="AO341" t="s">
        <v>2514</v>
      </c>
      <c r="AP341" t="s">
        <v>74</v>
      </c>
      <c r="AQ341" t="s">
        <v>7122</v>
      </c>
      <c r="AR341" t="s">
        <v>2516</v>
      </c>
      <c r="AS341" t="s">
        <v>74</v>
      </c>
      <c r="AT341" t="s">
        <v>74</v>
      </c>
      <c r="AU341">
        <v>2025</v>
      </c>
      <c r="AV341" t="s">
        <v>74</v>
      </c>
      <c r="AW341" t="s">
        <v>74</v>
      </c>
      <c r="AX341" t="s">
        <v>74</v>
      </c>
      <c r="AY341" t="s">
        <v>74</v>
      </c>
      <c r="AZ341" t="s">
        <v>74</v>
      </c>
      <c r="BA341" t="s">
        <v>74</v>
      </c>
      <c r="BB341">
        <v>1460</v>
      </c>
      <c r="BC341">
        <v>1464</v>
      </c>
      <c r="BD341" t="s">
        <v>74</v>
      </c>
      <c r="BE341" t="s">
        <v>7123</v>
      </c>
      <c r="BF341" t="str">
        <f>HYPERLINK("http://dx.doi.org/10.1109/ICTAI66417.2025.00211","http://dx.doi.org/10.1109/ICTAI66417.2025.00211")</f>
        <v>http://dx.doi.org/10.1109/ICTAI66417.2025.00211</v>
      </c>
      <c r="BG341" t="s">
        <v>74</v>
      </c>
      <c r="BH341" t="s">
        <v>74</v>
      </c>
      <c r="BI341">
        <v>5</v>
      </c>
      <c r="BJ341" t="s">
        <v>7124</v>
      </c>
      <c r="BK341" t="s">
        <v>203</v>
      </c>
      <c r="BL341" t="s">
        <v>103</v>
      </c>
      <c r="BM341" t="s">
        <v>7125</v>
      </c>
      <c r="BN341" t="s">
        <v>74</v>
      </c>
      <c r="BO341" t="s">
        <v>74</v>
      </c>
      <c r="BP341" t="s">
        <v>74</v>
      </c>
      <c r="BQ341" t="s">
        <v>74</v>
      </c>
      <c r="BR341" t="s">
        <v>106</v>
      </c>
      <c r="BS341" t="s">
        <v>7126</v>
      </c>
      <c r="BT341" t="str">
        <f>HYPERLINK("https%3A%2F%2Fwww.webofscience.com%2Fwos%2Fwoscc%2Ffull-record%2FWOS:001813729300200","View Full Record in Web of Science")</f>
        <v>View Full Record in Web of Science</v>
      </c>
    </row>
    <row r="342" spans="1:72" x14ac:dyDescent="0.25">
      <c r="A342" t="s">
        <v>108</v>
      </c>
      <c r="B342" t="s">
        <v>7127</v>
      </c>
      <c r="C342" t="s">
        <v>74</v>
      </c>
      <c r="D342" t="s">
        <v>7128</v>
      </c>
      <c r="E342" t="s">
        <v>74</v>
      </c>
      <c r="F342" t="s">
        <v>7129</v>
      </c>
      <c r="G342" t="s">
        <v>74</v>
      </c>
      <c r="H342" t="s">
        <v>74</v>
      </c>
      <c r="I342" t="s">
        <v>7130</v>
      </c>
      <c r="J342" t="s">
        <v>7131</v>
      </c>
      <c r="K342" t="s">
        <v>147</v>
      </c>
      <c r="L342" t="s">
        <v>74</v>
      </c>
      <c r="M342" t="s">
        <v>78</v>
      </c>
      <c r="N342" t="s">
        <v>115</v>
      </c>
      <c r="O342" t="s">
        <v>7132</v>
      </c>
      <c r="P342" t="s">
        <v>7133</v>
      </c>
      <c r="Q342" t="s">
        <v>7134</v>
      </c>
      <c r="R342" t="s">
        <v>7135</v>
      </c>
      <c r="S342" t="s">
        <v>74</v>
      </c>
      <c r="T342" t="s">
        <v>7136</v>
      </c>
      <c r="U342" t="s">
        <v>74</v>
      </c>
      <c r="V342" t="s">
        <v>7137</v>
      </c>
      <c r="W342" t="s">
        <v>7138</v>
      </c>
      <c r="X342" t="s">
        <v>7139</v>
      </c>
      <c r="Y342" t="s">
        <v>7140</v>
      </c>
      <c r="Z342" t="s">
        <v>7141</v>
      </c>
      <c r="AA342" t="s">
        <v>7142</v>
      </c>
      <c r="AB342" t="s">
        <v>7143</v>
      </c>
      <c r="AC342" t="s">
        <v>74</v>
      </c>
      <c r="AD342" t="s">
        <v>74</v>
      </c>
      <c r="AE342" t="s">
        <v>74</v>
      </c>
      <c r="AF342" t="s">
        <v>74</v>
      </c>
      <c r="AG342">
        <v>14</v>
      </c>
      <c r="AH342">
        <v>0</v>
      </c>
      <c r="AI342">
        <v>0</v>
      </c>
      <c r="AJ342">
        <v>0</v>
      </c>
      <c r="AK342">
        <v>27</v>
      </c>
      <c r="AL342" t="s">
        <v>197</v>
      </c>
      <c r="AM342" t="s">
        <v>198</v>
      </c>
      <c r="AN342" t="s">
        <v>199</v>
      </c>
      <c r="AO342" t="s">
        <v>159</v>
      </c>
      <c r="AP342" t="s">
        <v>133</v>
      </c>
      <c r="AQ342" t="s">
        <v>7144</v>
      </c>
      <c r="AR342" t="s">
        <v>161</v>
      </c>
      <c r="AS342" t="s">
        <v>74</v>
      </c>
      <c r="AT342" t="s">
        <v>74</v>
      </c>
      <c r="AU342">
        <v>2015</v>
      </c>
      <c r="AV342">
        <v>9052</v>
      </c>
      <c r="AW342" t="s">
        <v>74</v>
      </c>
      <c r="AX342" t="s">
        <v>74</v>
      </c>
      <c r="AY342" t="s">
        <v>74</v>
      </c>
      <c r="AZ342" t="s">
        <v>74</v>
      </c>
      <c r="BA342" t="s">
        <v>74</v>
      </c>
      <c r="BB342">
        <v>227</v>
      </c>
      <c r="BC342">
        <v>233</v>
      </c>
      <c r="BD342" t="s">
        <v>74</v>
      </c>
      <c r="BE342" t="s">
        <v>7145</v>
      </c>
      <c r="BF342" t="str">
        <f>HYPERLINK("http://dx.doi.org/10.1007/978-3-319-22324-7_20","http://dx.doi.org/10.1007/978-3-319-22324-7_20")</f>
        <v>http://dx.doi.org/10.1007/978-3-319-22324-7_20</v>
      </c>
      <c r="BG342" t="s">
        <v>74</v>
      </c>
      <c r="BH342" t="s">
        <v>74</v>
      </c>
      <c r="BI342">
        <v>7</v>
      </c>
      <c r="BJ342" t="s">
        <v>696</v>
      </c>
      <c r="BK342" t="s">
        <v>203</v>
      </c>
      <c r="BL342" t="s">
        <v>103</v>
      </c>
      <c r="BM342" t="s">
        <v>7146</v>
      </c>
      <c r="BN342" t="s">
        <v>74</v>
      </c>
      <c r="BO342" t="s">
        <v>74</v>
      </c>
      <c r="BP342" t="s">
        <v>74</v>
      </c>
      <c r="BQ342" t="s">
        <v>74</v>
      </c>
      <c r="BR342" t="s">
        <v>106</v>
      </c>
      <c r="BS342" t="s">
        <v>7147</v>
      </c>
      <c r="BT342" t="str">
        <f>HYPERLINK("https%3A%2F%2Fwww.webofscience.com%2Fwos%2Fwoscc%2Ffull-record%2FWOS:000363771000020","View Full Record in Web of Science")</f>
        <v>View Full Record in Web of Science</v>
      </c>
    </row>
    <row r="343" spans="1:72" x14ac:dyDescent="0.25">
      <c r="A343" t="s">
        <v>72</v>
      </c>
      <c r="B343" t="s">
        <v>7148</v>
      </c>
      <c r="C343" t="s">
        <v>74</v>
      </c>
      <c r="D343" t="s">
        <v>74</v>
      </c>
      <c r="E343" t="s">
        <v>74</v>
      </c>
      <c r="F343" t="s">
        <v>7149</v>
      </c>
      <c r="G343" t="s">
        <v>74</v>
      </c>
      <c r="H343" t="s">
        <v>74</v>
      </c>
      <c r="I343" t="s">
        <v>7150</v>
      </c>
      <c r="J343" t="s">
        <v>3839</v>
      </c>
      <c r="K343" t="s">
        <v>74</v>
      </c>
      <c r="L343" t="s">
        <v>74</v>
      </c>
      <c r="M343" t="s">
        <v>78</v>
      </c>
      <c r="N343" t="s">
        <v>79</v>
      </c>
      <c r="O343" t="s">
        <v>74</v>
      </c>
      <c r="P343" t="s">
        <v>74</v>
      </c>
      <c r="Q343" t="s">
        <v>74</v>
      </c>
      <c r="R343" t="s">
        <v>74</v>
      </c>
      <c r="S343" t="s">
        <v>74</v>
      </c>
      <c r="T343" t="s">
        <v>7151</v>
      </c>
      <c r="U343" t="s">
        <v>7152</v>
      </c>
      <c r="V343" t="s">
        <v>7153</v>
      </c>
      <c r="W343" t="s">
        <v>7154</v>
      </c>
      <c r="X343" t="s">
        <v>4983</v>
      </c>
      <c r="Y343" t="s">
        <v>4512</v>
      </c>
      <c r="Z343" t="s">
        <v>7155</v>
      </c>
      <c r="AA343" t="s">
        <v>7156</v>
      </c>
      <c r="AB343" t="s">
        <v>74</v>
      </c>
      <c r="AC343" t="s">
        <v>74</v>
      </c>
      <c r="AD343" t="s">
        <v>74</v>
      </c>
      <c r="AE343" t="s">
        <v>74</v>
      </c>
      <c r="AF343" t="s">
        <v>74</v>
      </c>
      <c r="AG343">
        <v>37</v>
      </c>
      <c r="AH343">
        <v>5</v>
      </c>
      <c r="AI343">
        <v>6</v>
      </c>
      <c r="AJ343">
        <v>0</v>
      </c>
      <c r="AK343">
        <v>9</v>
      </c>
      <c r="AL343" t="s">
        <v>3157</v>
      </c>
      <c r="AM343" t="s">
        <v>3158</v>
      </c>
      <c r="AN343" t="s">
        <v>3159</v>
      </c>
      <c r="AO343" t="s">
        <v>3849</v>
      </c>
      <c r="AP343" t="s">
        <v>3850</v>
      </c>
      <c r="AQ343" t="s">
        <v>74</v>
      </c>
      <c r="AR343" t="s">
        <v>3851</v>
      </c>
      <c r="AS343" t="s">
        <v>3852</v>
      </c>
      <c r="AT343" t="s">
        <v>74</v>
      </c>
      <c r="AU343">
        <v>2018</v>
      </c>
      <c r="AV343">
        <v>16</v>
      </c>
      <c r="AW343">
        <v>3</v>
      </c>
      <c r="AX343" t="s">
        <v>74</v>
      </c>
      <c r="AY343" t="s">
        <v>74</v>
      </c>
      <c r="AZ343" t="s">
        <v>74</v>
      </c>
      <c r="BA343" t="s">
        <v>74</v>
      </c>
      <c r="BB343">
        <v>219</v>
      </c>
      <c r="BC343">
        <v>233</v>
      </c>
      <c r="BD343" t="s">
        <v>74</v>
      </c>
      <c r="BE343" t="s">
        <v>74</v>
      </c>
      <c r="BF343" t="s">
        <v>74</v>
      </c>
      <c r="BG343" t="s">
        <v>74</v>
      </c>
      <c r="BH343" t="s">
        <v>74</v>
      </c>
      <c r="BI343">
        <v>15</v>
      </c>
      <c r="BJ343" t="s">
        <v>101</v>
      </c>
      <c r="BK343" t="s">
        <v>102</v>
      </c>
      <c r="BL343" t="s">
        <v>103</v>
      </c>
      <c r="BM343" t="s">
        <v>4517</v>
      </c>
      <c r="BN343" t="s">
        <v>74</v>
      </c>
      <c r="BO343" t="s">
        <v>74</v>
      </c>
      <c r="BP343" t="s">
        <v>74</v>
      </c>
      <c r="BQ343" t="s">
        <v>74</v>
      </c>
      <c r="BR343" t="s">
        <v>106</v>
      </c>
      <c r="BS343" t="s">
        <v>7157</v>
      </c>
      <c r="BT343" t="str">
        <f>HYPERLINK("https%3A%2F%2Fwww.webofscience.com%2Fwos%2Fwoscc%2Ffull-record%2FWOS:000432812600002","View Full Record in Web of Science")</f>
        <v>View Full Record in Web of Science</v>
      </c>
    </row>
    <row r="344" spans="1:72" x14ac:dyDescent="0.25">
      <c r="A344" t="s">
        <v>108</v>
      </c>
      <c r="B344" t="s">
        <v>7158</v>
      </c>
      <c r="C344" t="s">
        <v>74</v>
      </c>
      <c r="D344" t="s">
        <v>74</v>
      </c>
      <c r="E344" t="s">
        <v>465</v>
      </c>
      <c r="F344" t="s">
        <v>7159</v>
      </c>
      <c r="G344" t="s">
        <v>74</v>
      </c>
      <c r="H344" t="s">
        <v>74</v>
      </c>
      <c r="I344" t="s">
        <v>7160</v>
      </c>
      <c r="J344" t="s">
        <v>7161</v>
      </c>
      <c r="K344" t="s">
        <v>2360</v>
      </c>
      <c r="L344" t="s">
        <v>74</v>
      </c>
      <c r="M344" t="s">
        <v>78</v>
      </c>
      <c r="N344" t="s">
        <v>115</v>
      </c>
      <c r="O344" t="s">
        <v>7162</v>
      </c>
      <c r="P344" t="s">
        <v>7163</v>
      </c>
      <c r="Q344" t="s">
        <v>5332</v>
      </c>
      <c r="R344" t="s">
        <v>74</v>
      </c>
      <c r="S344" t="s">
        <v>74</v>
      </c>
      <c r="T344" t="s">
        <v>7164</v>
      </c>
      <c r="U344" t="s">
        <v>74</v>
      </c>
      <c r="V344" t="s">
        <v>7165</v>
      </c>
      <c r="W344" t="s">
        <v>7166</v>
      </c>
      <c r="X344" t="s">
        <v>74</v>
      </c>
      <c r="Y344" t="s">
        <v>7167</v>
      </c>
      <c r="Z344" t="s">
        <v>7168</v>
      </c>
      <c r="AA344" t="s">
        <v>7169</v>
      </c>
      <c r="AB344" t="s">
        <v>74</v>
      </c>
      <c r="AC344" t="s">
        <v>74</v>
      </c>
      <c r="AD344" t="s">
        <v>74</v>
      </c>
      <c r="AE344" t="s">
        <v>74</v>
      </c>
      <c r="AF344" t="s">
        <v>74</v>
      </c>
      <c r="AG344">
        <v>19</v>
      </c>
      <c r="AH344">
        <v>0</v>
      </c>
      <c r="AI344">
        <v>0</v>
      </c>
      <c r="AJ344">
        <v>0</v>
      </c>
      <c r="AK344">
        <v>2</v>
      </c>
      <c r="AL344" t="s">
        <v>465</v>
      </c>
      <c r="AM344" t="s">
        <v>92</v>
      </c>
      <c r="AN344" t="s">
        <v>480</v>
      </c>
      <c r="AO344" t="s">
        <v>2372</v>
      </c>
      <c r="AP344" t="s">
        <v>74</v>
      </c>
      <c r="AQ344" t="s">
        <v>7170</v>
      </c>
      <c r="AR344" t="s">
        <v>2374</v>
      </c>
      <c r="AS344" t="s">
        <v>74</v>
      </c>
      <c r="AT344" t="s">
        <v>74</v>
      </c>
      <c r="AU344">
        <v>2015</v>
      </c>
      <c r="AV344" t="s">
        <v>74</v>
      </c>
      <c r="AW344" t="s">
        <v>74</v>
      </c>
      <c r="AX344" t="s">
        <v>74</v>
      </c>
      <c r="AY344" t="s">
        <v>74</v>
      </c>
      <c r="AZ344" t="s">
        <v>74</v>
      </c>
      <c r="BA344" t="s">
        <v>74</v>
      </c>
      <c r="BB344" t="s">
        <v>74</v>
      </c>
      <c r="BC344" t="s">
        <v>74</v>
      </c>
      <c r="BD344" t="s">
        <v>74</v>
      </c>
      <c r="BE344" t="s">
        <v>74</v>
      </c>
      <c r="BF344" t="s">
        <v>74</v>
      </c>
      <c r="BG344" t="s">
        <v>74</v>
      </c>
      <c r="BH344" t="s">
        <v>74</v>
      </c>
      <c r="BI344">
        <v>6</v>
      </c>
      <c r="BJ344" t="s">
        <v>7171</v>
      </c>
      <c r="BK344" t="s">
        <v>203</v>
      </c>
      <c r="BL344" t="s">
        <v>953</v>
      </c>
      <c r="BM344" t="s">
        <v>7172</v>
      </c>
      <c r="BN344" t="s">
        <v>74</v>
      </c>
      <c r="BO344" t="s">
        <v>74</v>
      </c>
      <c r="BP344" t="s">
        <v>74</v>
      </c>
      <c r="BQ344" t="s">
        <v>74</v>
      </c>
      <c r="BR344" t="s">
        <v>106</v>
      </c>
      <c r="BS344" t="s">
        <v>7173</v>
      </c>
      <c r="BT344" t="str">
        <f>HYPERLINK("https%3A%2F%2Fwww.webofscience.com%2Fwos%2Fwoscc%2Ffull-record%2FWOS:000380475300537","View Full Record in Web of Science")</f>
        <v>View Full Record in Web of Science</v>
      </c>
    </row>
    <row r="345" spans="1:72" x14ac:dyDescent="0.25">
      <c r="A345" t="s">
        <v>72</v>
      </c>
      <c r="B345" t="s">
        <v>7174</v>
      </c>
      <c r="C345" t="s">
        <v>74</v>
      </c>
      <c r="D345" t="s">
        <v>74</v>
      </c>
      <c r="E345" t="s">
        <v>74</v>
      </c>
      <c r="F345" t="s">
        <v>7175</v>
      </c>
      <c r="G345" t="s">
        <v>74</v>
      </c>
      <c r="H345" t="s">
        <v>74</v>
      </c>
      <c r="I345" t="s">
        <v>7176</v>
      </c>
      <c r="J345" t="s">
        <v>7177</v>
      </c>
      <c r="K345" t="s">
        <v>74</v>
      </c>
      <c r="L345" t="s">
        <v>74</v>
      </c>
      <c r="M345" t="s">
        <v>78</v>
      </c>
      <c r="N345" t="s">
        <v>79</v>
      </c>
      <c r="O345" t="s">
        <v>74</v>
      </c>
      <c r="P345" t="s">
        <v>74</v>
      </c>
      <c r="Q345" t="s">
        <v>74</v>
      </c>
      <c r="R345" t="s">
        <v>74</v>
      </c>
      <c r="S345" t="s">
        <v>74</v>
      </c>
      <c r="T345" t="s">
        <v>7178</v>
      </c>
      <c r="U345" t="s">
        <v>7179</v>
      </c>
      <c r="V345" t="s">
        <v>7180</v>
      </c>
      <c r="W345" t="s">
        <v>7181</v>
      </c>
      <c r="X345" t="s">
        <v>7182</v>
      </c>
      <c r="Y345" t="s">
        <v>7183</v>
      </c>
      <c r="Z345" t="s">
        <v>7184</v>
      </c>
      <c r="AA345" t="s">
        <v>74</v>
      </c>
      <c r="AB345" t="s">
        <v>7185</v>
      </c>
      <c r="AC345" t="s">
        <v>7186</v>
      </c>
      <c r="AD345" t="s">
        <v>7186</v>
      </c>
      <c r="AE345" t="s">
        <v>7187</v>
      </c>
      <c r="AF345" t="s">
        <v>74</v>
      </c>
      <c r="AG345">
        <v>49</v>
      </c>
      <c r="AH345">
        <v>24</v>
      </c>
      <c r="AI345">
        <v>25</v>
      </c>
      <c r="AJ345">
        <v>1</v>
      </c>
      <c r="AK345">
        <v>60</v>
      </c>
      <c r="AL345" t="s">
        <v>291</v>
      </c>
      <c r="AM345" t="s">
        <v>92</v>
      </c>
      <c r="AN345" t="s">
        <v>847</v>
      </c>
      <c r="AO345" t="s">
        <v>7188</v>
      </c>
      <c r="AP345" t="s">
        <v>7189</v>
      </c>
      <c r="AQ345" t="s">
        <v>74</v>
      </c>
      <c r="AR345" t="s">
        <v>7190</v>
      </c>
      <c r="AS345" t="s">
        <v>7191</v>
      </c>
      <c r="AT345" t="s">
        <v>246</v>
      </c>
      <c r="AU345">
        <v>2013</v>
      </c>
      <c r="AV345">
        <v>31</v>
      </c>
      <c r="AW345">
        <v>4</v>
      </c>
      <c r="AX345" t="s">
        <v>74</v>
      </c>
      <c r="AY345" t="s">
        <v>74</v>
      </c>
      <c r="AZ345" t="s">
        <v>74</v>
      </c>
      <c r="BA345" t="s">
        <v>74</v>
      </c>
      <c r="BB345" t="s">
        <v>74</v>
      </c>
      <c r="BC345" t="s">
        <v>74</v>
      </c>
      <c r="BD345">
        <v>20</v>
      </c>
      <c r="BE345" t="s">
        <v>7192</v>
      </c>
      <c r="BF345" t="str">
        <f>HYPERLINK("http://dx.doi.org/10.1145/2516891","http://dx.doi.org/10.1145/2516891")</f>
        <v>http://dx.doi.org/10.1145/2516891</v>
      </c>
      <c r="BG345" t="s">
        <v>74</v>
      </c>
      <c r="BH345" t="s">
        <v>74</v>
      </c>
      <c r="BI345">
        <v>27</v>
      </c>
      <c r="BJ345" t="s">
        <v>852</v>
      </c>
      <c r="BK345" t="s">
        <v>745</v>
      </c>
      <c r="BL345" t="s">
        <v>103</v>
      </c>
      <c r="BM345" t="s">
        <v>7193</v>
      </c>
      <c r="BN345" t="s">
        <v>74</v>
      </c>
      <c r="BO345" t="s">
        <v>74</v>
      </c>
      <c r="BP345" t="s">
        <v>74</v>
      </c>
      <c r="BQ345" t="s">
        <v>74</v>
      </c>
      <c r="BR345" t="s">
        <v>106</v>
      </c>
      <c r="BS345" t="s">
        <v>7194</v>
      </c>
      <c r="BT345" t="str">
        <f>HYPERLINK("https%3A%2F%2Fwww.webofscience.com%2Fwos%2Fwoscc%2Ffull-record%2FWOS:000329123900004","View Full Record in Web of Science")</f>
        <v>View Full Record in Web of Science</v>
      </c>
    </row>
    <row r="346" spans="1:72" x14ac:dyDescent="0.25">
      <c r="A346" t="s">
        <v>108</v>
      </c>
      <c r="B346" t="s">
        <v>7195</v>
      </c>
      <c r="C346" t="s">
        <v>74</v>
      </c>
      <c r="D346" t="s">
        <v>7196</v>
      </c>
      <c r="E346" t="s">
        <v>74</v>
      </c>
      <c r="F346" t="s">
        <v>7197</v>
      </c>
      <c r="G346" t="s">
        <v>74</v>
      </c>
      <c r="H346" t="s">
        <v>74</v>
      </c>
      <c r="I346" t="s">
        <v>7198</v>
      </c>
      <c r="J346" t="s">
        <v>7199</v>
      </c>
      <c r="K346" t="s">
        <v>4853</v>
      </c>
      <c r="L346" t="s">
        <v>74</v>
      </c>
      <c r="M346" t="s">
        <v>78</v>
      </c>
      <c r="N346" t="s">
        <v>115</v>
      </c>
      <c r="O346" t="s">
        <v>7200</v>
      </c>
      <c r="P346" t="s">
        <v>7201</v>
      </c>
      <c r="Q346" t="s">
        <v>424</v>
      </c>
      <c r="R346" t="s">
        <v>7202</v>
      </c>
      <c r="S346" t="s">
        <v>74</v>
      </c>
      <c r="T346" t="s">
        <v>7203</v>
      </c>
      <c r="U346" t="s">
        <v>7204</v>
      </c>
      <c r="V346" t="s">
        <v>7205</v>
      </c>
      <c r="W346" t="s">
        <v>7206</v>
      </c>
      <c r="X346" t="s">
        <v>7207</v>
      </c>
      <c r="Y346" t="s">
        <v>7208</v>
      </c>
      <c r="Z346" t="s">
        <v>7209</v>
      </c>
      <c r="AA346" t="s">
        <v>7210</v>
      </c>
      <c r="AB346" t="s">
        <v>7211</v>
      </c>
      <c r="AC346" t="s">
        <v>74</v>
      </c>
      <c r="AD346" t="s">
        <v>74</v>
      </c>
      <c r="AE346" t="s">
        <v>74</v>
      </c>
      <c r="AF346" t="s">
        <v>74</v>
      </c>
      <c r="AG346">
        <v>32</v>
      </c>
      <c r="AH346">
        <v>1</v>
      </c>
      <c r="AI346">
        <v>1</v>
      </c>
      <c r="AJ346">
        <v>0</v>
      </c>
      <c r="AK346">
        <v>0</v>
      </c>
      <c r="AL346" t="s">
        <v>197</v>
      </c>
      <c r="AM346" t="s">
        <v>198</v>
      </c>
      <c r="AN346" t="s">
        <v>199</v>
      </c>
      <c r="AO346" t="s">
        <v>4865</v>
      </c>
      <c r="AP346" t="s">
        <v>4866</v>
      </c>
      <c r="AQ346" t="s">
        <v>7212</v>
      </c>
      <c r="AR346" t="s">
        <v>4868</v>
      </c>
      <c r="AS346" t="s">
        <v>74</v>
      </c>
      <c r="AT346" t="s">
        <v>74</v>
      </c>
      <c r="AU346">
        <v>2018</v>
      </c>
      <c r="AV346">
        <v>845</v>
      </c>
      <c r="AW346" t="s">
        <v>74</v>
      </c>
      <c r="AX346" t="s">
        <v>74</v>
      </c>
      <c r="AY346" t="s">
        <v>74</v>
      </c>
      <c r="AZ346" t="s">
        <v>74</v>
      </c>
      <c r="BA346" t="s">
        <v>74</v>
      </c>
      <c r="BB346">
        <v>233</v>
      </c>
      <c r="BC346">
        <v>249</v>
      </c>
      <c r="BD346" t="s">
        <v>74</v>
      </c>
      <c r="BE346" t="s">
        <v>7213</v>
      </c>
      <c r="BF346" t="str">
        <f>HYPERLINK("http://dx.doi.org/10.1007/978-981-13-0292-3_15","http://dx.doi.org/10.1007/978-981-13-0292-3_15")</f>
        <v>http://dx.doi.org/10.1007/978-981-13-0292-3_15</v>
      </c>
      <c r="BG346" t="s">
        <v>74</v>
      </c>
      <c r="BH346" t="s">
        <v>74</v>
      </c>
      <c r="BI346">
        <v>17</v>
      </c>
      <c r="BJ346" t="s">
        <v>1399</v>
      </c>
      <c r="BK346" t="s">
        <v>203</v>
      </c>
      <c r="BL346" t="s">
        <v>103</v>
      </c>
      <c r="BM346" t="s">
        <v>7214</v>
      </c>
      <c r="BN346" t="s">
        <v>74</v>
      </c>
      <c r="BO346" t="s">
        <v>74</v>
      </c>
      <c r="BP346" t="s">
        <v>74</v>
      </c>
      <c r="BQ346" t="s">
        <v>74</v>
      </c>
      <c r="BR346" t="s">
        <v>106</v>
      </c>
      <c r="BS346" t="s">
        <v>7215</v>
      </c>
      <c r="BT346" t="str">
        <f>HYPERLINK("https%3A%2F%2Fwww.webofscience.com%2Fwos%2Fwoscc%2Ffull-record%2FWOS:000922750100015","View Full Record in Web of Science")</f>
        <v>View Full Record in Web of Science</v>
      </c>
    </row>
    <row r="347" spans="1:72" x14ac:dyDescent="0.25">
      <c r="A347" t="s">
        <v>108</v>
      </c>
      <c r="B347" t="s">
        <v>7216</v>
      </c>
      <c r="C347" t="s">
        <v>74</v>
      </c>
      <c r="D347" t="s">
        <v>74</v>
      </c>
      <c r="E347" t="s">
        <v>322</v>
      </c>
      <c r="F347" t="s">
        <v>7217</v>
      </c>
      <c r="G347" t="s">
        <v>74</v>
      </c>
      <c r="H347" t="s">
        <v>74</v>
      </c>
      <c r="I347" t="s">
        <v>7218</v>
      </c>
      <c r="J347" t="s">
        <v>7219</v>
      </c>
      <c r="K347" t="s">
        <v>74</v>
      </c>
      <c r="L347" t="s">
        <v>74</v>
      </c>
      <c r="M347" t="s">
        <v>78</v>
      </c>
      <c r="N347" t="s">
        <v>115</v>
      </c>
      <c r="O347" t="s">
        <v>7220</v>
      </c>
      <c r="P347" t="s">
        <v>7221</v>
      </c>
      <c r="Q347" t="s">
        <v>2214</v>
      </c>
      <c r="R347" t="s">
        <v>74</v>
      </c>
      <c r="S347" t="s">
        <v>74</v>
      </c>
      <c r="T347" t="s">
        <v>7222</v>
      </c>
      <c r="U347" t="s">
        <v>74</v>
      </c>
      <c r="V347" t="s">
        <v>7223</v>
      </c>
      <c r="W347" t="s">
        <v>7224</v>
      </c>
      <c r="X347" t="s">
        <v>7225</v>
      </c>
      <c r="Y347" t="s">
        <v>7226</v>
      </c>
      <c r="Z347" t="s">
        <v>7227</v>
      </c>
      <c r="AA347" t="s">
        <v>74</v>
      </c>
      <c r="AB347" t="s">
        <v>74</v>
      </c>
      <c r="AC347" t="s">
        <v>74</v>
      </c>
      <c r="AD347" t="s">
        <v>74</v>
      </c>
      <c r="AE347" t="s">
        <v>74</v>
      </c>
      <c r="AF347" t="s">
        <v>74</v>
      </c>
      <c r="AG347">
        <v>15</v>
      </c>
      <c r="AH347">
        <v>2</v>
      </c>
      <c r="AI347">
        <v>2</v>
      </c>
      <c r="AJ347">
        <v>1</v>
      </c>
      <c r="AK347">
        <v>17</v>
      </c>
      <c r="AL347" t="s">
        <v>291</v>
      </c>
      <c r="AM347" t="s">
        <v>92</v>
      </c>
      <c r="AN347" t="s">
        <v>341</v>
      </c>
      <c r="AO347" t="s">
        <v>74</v>
      </c>
      <c r="AP347" t="s">
        <v>74</v>
      </c>
      <c r="AQ347" t="s">
        <v>7228</v>
      </c>
      <c r="AR347" t="s">
        <v>74</v>
      </c>
      <c r="AS347" t="s">
        <v>74</v>
      </c>
      <c r="AT347" t="s">
        <v>74</v>
      </c>
      <c r="AU347">
        <v>2024</v>
      </c>
      <c r="AV347" t="s">
        <v>74</v>
      </c>
      <c r="AW347" t="s">
        <v>74</v>
      </c>
      <c r="AX347" t="s">
        <v>74</v>
      </c>
      <c r="AY347" t="s">
        <v>74</v>
      </c>
      <c r="AZ347" t="s">
        <v>74</v>
      </c>
      <c r="BA347" t="s">
        <v>74</v>
      </c>
      <c r="BB347">
        <v>33</v>
      </c>
      <c r="BC347">
        <v>38</v>
      </c>
      <c r="BD347" t="s">
        <v>74</v>
      </c>
      <c r="BE347" t="s">
        <v>7229</v>
      </c>
      <c r="BF347" t="str">
        <f>HYPERLINK("http://dx.doi.org/10.1145/3677779.3677785","http://dx.doi.org/10.1145/3677779.3677785")</f>
        <v>http://dx.doi.org/10.1145/3677779.3677785</v>
      </c>
      <c r="BG347" t="s">
        <v>74</v>
      </c>
      <c r="BH347" t="s">
        <v>74</v>
      </c>
      <c r="BI347">
        <v>6</v>
      </c>
      <c r="BJ347" t="s">
        <v>2837</v>
      </c>
      <c r="BK347" t="s">
        <v>203</v>
      </c>
      <c r="BL347" t="s">
        <v>103</v>
      </c>
      <c r="BM347" t="s">
        <v>7230</v>
      </c>
      <c r="BN347" t="s">
        <v>74</v>
      </c>
      <c r="BO347" t="s">
        <v>74</v>
      </c>
      <c r="BP347" t="s">
        <v>74</v>
      </c>
      <c r="BQ347" t="s">
        <v>74</v>
      </c>
      <c r="BR347" t="s">
        <v>106</v>
      </c>
      <c r="BS347" t="s">
        <v>7231</v>
      </c>
      <c r="BT347" t="str">
        <f>HYPERLINK("https%3A%2F%2Fwww.webofscience.com%2Fwos%2Fwoscc%2Ffull-record%2FWOS:001324813500006","View Full Record in Web of Science")</f>
        <v>View Full Record in Web of Science</v>
      </c>
    </row>
    <row r="348" spans="1:72" x14ac:dyDescent="0.25">
      <c r="A348" t="s">
        <v>108</v>
      </c>
      <c r="B348" t="s">
        <v>7232</v>
      </c>
      <c r="C348" t="s">
        <v>74</v>
      </c>
      <c r="D348" t="s">
        <v>74</v>
      </c>
      <c r="E348" t="s">
        <v>322</v>
      </c>
      <c r="F348" t="s">
        <v>7233</v>
      </c>
      <c r="G348" t="s">
        <v>74</v>
      </c>
      <c r="H348" t="s">
        <v>74</v>
      </c>
      <c r="I348" t="s">
        <v>7234</v>
      </c>
      <c r="J348" t="s">
        <v>7235</v>
      </c>
      <c r="K348" t="s">
        <v>74</v>
      </c>
      <c r="L348" t="s">
        <v>74</v>
      </c>
      <c r="M348" t="s">
        <v>78</v>
      </c>
      <c r="N348" t="s">
        <v>115</v>
      </c>
      <c r="O348" t="s">
        <v>7236</v>
      </c>
      <c r="P348" t="s">
        <v>7237</v>
      </c>
      <c r="Q348" t="s">
        <v>4669</v>
      </c>
      <c r="R348" t="s">
        <v>7238</v>
      </c>
      <c r="S348" t="s">
        <v>74</v>
      </c>
      <c r="T348" t="s">
        <v>7239</v>
      </c>
      <c r="U348" t="s">
        <v>74</v>
      </c>
      <c r="V348" t="s">
        <v>7240</v>
      </c>
      <c r="W348" t="s">
        <v>7241</v>
      </c>
      <c r="X348" t="s">
        <v>7242</v>
      </c>
      <c r="Y348" t="s">
        <v>7243</v>
      </c>
      <c r="Z348" t="s">
        <v>7244</v>
      </c>
      <c r="AA348" t="s">
        <v>74</v>
      </c>
      <c r="AB348" t="s">
        <v>74</v>
      </c>
      <c r="AC348" t="s">
        <v>7245</v>
      </c>
      <c r="AD348" t="s">
        <v>7246</v>
      </c>
      <c r="AE348" t="s">
        <v>7247</v>
      </c>
      <c r="AF348" t="s">
        <v>74</v>
      </c>
      <c r="AG348">
        <v>7</v>
      </c>
      <c r="AH348">
        <v>4</v>
      </c>
      <c r="AI348">
        <v>4</v>
      </c>
      <c r="AJ348">
        <v>0</v>
      </c>
      <c r="AK348">
        <v>5</v>
      </c>
      <c r="AL348" t="s">
        <v>291</v>
      </c>
      <c r="AM348" t="s">
        <v>92</v>
      </c>
      <c r="AN348" t="s">
        <v>341</v>
      </c>
      <c r="AO348" t="s">
        <v>74</v>
      </c>
      <c r="AP348" t="s">
        <v>74</v>
      </c>
      <c r="AQ348" t="s">
        <v>7248</v>
      </c>
      <c r="AR348" t="s">
        <v>74</v>
      </c>
      <c r="AS348" t="s">
        <v>74</v>
      </c>
      <c r="AT348" t="s">
        <v>74</v>
      </c>
      <c r="AU348">
        <v>2022</v>
      </c>
      <c r="AV348" t="s">
        <v>74</v>
      </c>
      <c r="AW348" t="s">
        <v>74</v>
      </c>
      <c r="AX348" t="s">
        <v>74</v>
      </c>
      <c r="AY348" t="s">
        <v>74</v>
      </c>
      <c r="AZ348" t="s">
        <v>74</v>
      </c>
      <c r="BA348" t="s">
        <v>74</v>
      </c>
      <c r="BB348">
        <v>1211</v>
      </c>
      <c r="BC348">
        <v>1215</v>
      </c>
      <c r="BD348" t="s">
        <v>74</v>
      </c>
      <c r="BE348" t="s">
        <v>7249</v>
      </c>
      <c r="BF348" t="str">
        <f>HYPERLINK("http://dx.doi.org/10.1145/3487553.3524936","http://dx.doi.org/10.1145/3487553.3524936")</f>
        <v>http://dx.doi.org/10.1145/3487553.3524936</v>
      </c>
      <c r="BG348" t="s">
        <v>74</v>
      </c>
      <c r="BH348" t="s">
        <v>74</v>
      </c>
      <c r="BI348">
        <v>5</v>
      </c>
      <c r="BJ348" t="s">
        <v>3345</v>
      </c>
      <c r="BK348" t="s">
        <v>203</v>
      </c>
      <c r="BL348" t="s">
        <v>103</v>
      </c>
      <c r="BM348" t="s">
        <v>7250</v>
      </c>
      <c r="BN348" t="s">
        <v>74</v>
      </c>
      <c r="BO348" t="s">
        <v>74</v>
      </c>
      <c r="BP348" t="s">
        <v>74</v>
      </c>
      <c r="BQ348" t="s">
        <v>74</v>
      </c>
      <c r="BR348" t="s">
        <v>106</v>
      </c>
      <c r="BS348" t="s">
        <v>7251</v>
      </c>
      <c r="BT348" t="str">
        <f>HYPERLINK("https%3A%2F%2Fwww.webofscience.com%2Fwos%2Fwoscc%2Ffull-record%2FWOS:001147592700207","View Full Record in Web of Science")</f>
        <v>View Full Record in Web of Science</v>
      </c>
    </row>
    <row r="349" spans="1:72" x14ac:dyDescent="0.25">
      <c r="A349" t="s">
        <v>108</v>
      </c>
      <c r="B349" t="s">
        <v>7252</v>
      </c>
      <c r="C349" t="s">
        <v>74</v>
      </c>
      <c r="D349" t="s">
        <v>7253</v>
      </c>
      <c r="E349" t="s">
        <v>74</v>
      </c>
      <c r="F349" t="s">
        <v>7254</v>
      </c>
      <c r="G349" t="s">
        <v>74</v>
      </c>
      <c r="H349" t="s">
        <v>74</v>
      </c>
      <c r="I349" t="s">
        <v>7255</v>
      </c>
      <c r="J349" t="s">
        <v>7256</v>
      </c>
      <c r="K349" t="s">
        <v>790</v>
      </c>
      <c r="L349" t="s">
        <v>74</v>
      </c>
      <c r="M349" t="s">
        <v>78</v>
      </c>
      <c r="N349" t="s">
        <v>115</v>
      </c>
      <c r="O349" t="s">
        <v>7257</v>
      </c>
      <c r="P349" t="s">
        <v>7258</v>
      </c>
      <c r="Q349" t="s">
        <v>7259</v>
      </c>
      <c r="R349" t="s">
        <v>7260</v>
      </c>
      <c r="S349" t="s">
        <v>7261</v>
      </c>
      <c r="T349" t="s">
        <v>7262</v>
      </c>
      <c r="U349" t="s">
        <v>7263</v>
      </c>
      <c r="V349" t="s">
        <v>7264</v>
      </c>
      <c r="W349" t="s">
        <v>7265</v>
      </c>
      <c r="X349" t="s">
        <v>7266</v>
      </c>
      <c r="Y349" t="s">
        <v>7267</v>
      </c>
      <c r="Z349" t="s">
        <v>7268</v>
      </c>
      <c r="AA349" t="s">
        <v>7269</v>
      </c>
      <c r="AB349" t="s">
        <v>7270</v>
      </c>
      <c r="AC349" t="s">
        <v>74</v>
      </c>
      <c r="AD349" t="s">
        <v>74</v>
      </c>
      <c r="AE349" t="s">
        <v>74</v>
      </c>
      <c r="AF349" t="s">
        <v>74</v>
      </c>
      <c r="AG349">
        <v>28</v>
      </c>
      <c r="AH349">
        <v>0</v>
      </c>
      <c r="AI349">
        <v>0</v>
      </c>
      <c r="AJ349">
        <v>0</v>
      </c>
      <c r="AK349">
        <v>4</v>
      </c>
      <c r="AL349" t="s">
        <v>129</v>
      </c>
      <c r="AM349" t="s">
        <v>130</v>
      </c>
      <c r="AN349" t="s">
        <v>131</v>
      </c>
      <c r="AO349" t="s">
        <v>803</v>
      </c>
      <c r="AP349" t="s">
        <v>1233</v>
      </c>
      <c r="AQ349" t="s">
        <v>7271</v>
      </c>
      <c r="AR349" t="s">
        <v>805</v>
      </c>
      <c r="AS349" t="s">
        <v>74</v>
      </c>
      <c r="AT349" t="s">
        <v>74</v>
      </c>
      <c r="AU349">
        <v>2018</v>
      </c>
      <c r="AV349">
        <v>614</v>
      </c>
      <c r="AW349" t="s">
        <v>74</v>
      </c>
      <c r="AX349" t="s">
        <v>74</v>
      </c>
      <c r="AY349" t="s">
        <v>74</v>
      </c>
      <c r="AZ349" t="s">
        <v>74</v>
      </c>
      <c r="BA349" t="s">
        <v>74</v>
      </c>
      <c r="BB349">
        <v>719</v>
      </c>
      <c r="BC349">
        <v>729</v>
      </c>
      <c r="BD349" t="s">
        <v>74</v>
      </c>
      <c r="BE349" t="s">
        <v>7272</v>
      </c>
      <c r="BF349" t="str">
        <f>HYPERLINK("http://dx.doi.org/10.1007/978-3-319-60618-7_70","http://dx.doi.org/10.1007/978-3-319-60618-7_70")</f>
        <v>http://dx.doi.org/10.1007/978-3-319-60618-7_70</v>
      </c>
      <c r="BG349" t="s">
        <v>74</v>
      </c>
      <c r="BH349" t="s">
        <v>74</v>
      </c>
      <c r="BI349">
        <v>11</v>
      </c>
      <c r="BJ349" t="s">
        <v>807</v>
      </c>
      <c r="BK349" t="s">
        <v>203</v>
      </c>
      <c r="BL349" t="s">
        <v>103</v>
      </c>
      <c r="BM349" t="s">
        <v>7273</v>
      </c>
      <c r="BN349" t="s">
        <v>74</v>
      </c>
      <c r="BO349" t="s">
        <v>74</v>
      </c>
      <c r="BP349" t="s">
        <v>74</v>
      </c>
      <c r="BQ349" t="s">
        <v>74</v>
      </c>
      <c r="BR349" t="s">
        <v>106</v>
      </c>
      <c r="BS349" t="s">
        <v>7274</v>
      </c>
      <c r="BT349" t="str">
        <f>HYPERLINK("https%3A%2F%2Fwww.webofscience.com%2Fwos%2Fwoscc%2Ffull-record%2FWOS:000454700100070","View Full Record in Web of Science")</f>
        <v>View Full Record in Web of Science</v>
      </c>
    </row>
    <row r="350" spans="1:72" x14ac:dyDescent="0.25">
      <c r="A350" t="s">
        <v>72</v>
      </c>
      <c r="B350" t="s">
        <v>7275</v>
      </c>
      <c r="C350" t="s">
        <v>74</v>
      </c>
      <c r="D350" t="s">
        <v>74</v>
      </c>
      <c r="E350" t="s">
        <v>74</v>
      </c>
      <c r="F350" t="s">
        <v>7276</v>
      </c>
      <c r="G350" t="s">
        <v>74</v>
      </c>
      <c r="H350" t="s">
        <v>74</v>
      </c>
      <c r="I350" t="s">
        <v>7277</v>
      </c>
      <c r="J350" t="s">
        <v>7278</v>
      </c>
      <c r="K350" t="s">
        <v>74</v>
      </c>
      <c r="L350" t="s">
        <v>74</v>
      </c>
      <c r="M350" t="s">
        <v>78</v>
      </c>
      <c r="N350" t="s">
        <v>79</v>
      </c>
      <c r="O350" t="s">
        <v>74</v>
      </c>
      <c r="P350" t="s">
        <v>74</v>
      </c>
      <c r="Q350" t="s">
        <v>74</v>
      </c>
      <c r="R350" t="s">
        <v>74</v>
      </c>
      <c r="S350" t="s">
        <v>74</v>
      </c>
      <c r="T350" t="s">
        <v>7279</v>
      </c>
      <c r="U350" t="s">
        <v>7280</v>
      </c>
      <c r="V350" t="s">
        <v>7281</v>
      </c>
      <c r="W350" t="s">
        <v>7282</v>
      </c>
      <c r="X350" t="s">
        <v>7283</v>
      </c>
      <c r="Y350" t="s">
        <v>7284</v>
      </c>
      <c r="Z350" t="s">
        <v>7285</v>
      </c>
      <c r="AA350" t="s">
        <v>7286</v>
      </c>
      <c r="AB350" t="s">
        <v>7287</v>
      </c>
      <c r="AC350" t="s">
        <v>7288</v>
      </c>
      <c r="AD350" t="s">
        <v>7289</v>
      </c>
      <c r="AE350" t="s">
        <v>7290</v>
      </c>
      <c r="AF350" t="s">
        <v>74</v>
      </c>
      <c r="AG350">
        <v>61</v>
      </c>
      <c r="AH350">
        <v>101</v>
      </c>
      <c r="AI350">
        <v>106</v>
      </c>
      <c r="AJ350">
        <v>1</v>
      </c>
      <c r="AK350">
        <v>67</v>
      </c>
      <c r="AL350" t="s">
        <v>895</v>
      </c>
      <c r="AM350" t="s">
        <v>896</v>
      </c>
      <c r="AN350" t="s">
        <v>897</v>
      </c>
      <c r="AO350" t="s">
        <v>7291</v>
      </c>
      <c r="AP350" t="s">
        <v>7292</v>
      </c>
      <c r="AQ350" t="s">
        <v>74</v>
      </c>
      <c r="AR350" t="s">
        <v>7293</v>
      </c>
      <c r="AS350" t="s">
        <v>7294</v>
      </c>
      <c r="AT350" t="s">
        <v>223</v>
      </c>
      <c r="AU350">
        <v>2016</v>
      </c>
      <c r="AV350">
        <v>18</v>
      </c>
      <c r="AW350">
        <v>3</v>
      </c>
      <c r="AX350" t="s">
        <v>74</v>
      </c>
      <c r="AY350" t="s">
        <v>74</v>
      </c>
      <c r="AZ350" t="s">
        <v>74</v>
      </c>
      <c r="BA350" t="s">
        <v>74</v>
      </c>
      <c r="BB350">
        <v>496</v>
      </c>
      <c r="BC350">
        <v>506</v>
      </c>
      <c r="BD350" t="s">
        <v>74</v>
      </c>
      <c r="BE350" t="s">
        <v>7295</v>
      </c>
      <c r="BF350" t="str">
        <f>HYPERLINK("http://dx.doi.org/10.1109/TMM.2016.2515362","http://dx.doi.org/10.1109/TMM.2016.2515362")</f>
        <v>http://dx.doi.org/10.1109/TMM.2016.2515362</v>
      </c>
      <c r="BG350" t="s">
        <v>74</v>
      </c>
      <c r="BH350" t="s">
        <v>74</v>
      </c>
      <c r="BI350">
        <v>11</v>
      </c>
      <c r="BJ350" t="s">
        <v>7296</v>
      </c>
      <c r="BK350" t="s">
        <v>902</v>
      </c>
      <c r="BL350" t="s">
        <v>2422</v>
      </c>
      <c r="BM350" t="s">
        <v>7297</v>
      </c>
      <c r="BN350" t="s">
        <v>74</v>
      </c>
      <c r="BO350" t="s">
        <v>74</v>
      </c>
      <c r="BP350" t="s">
        <v>74</v>
      </c>
      <c r="BQ350" t="s">
        <v>74</v>
      </c>
      <c r="BR350" t="s">
        <v>106</v>
      </c>
      <c r="BS350" t="s">
        <v>7298</v>
      </c>
      <c r="BT350" t="str">
        <f>HYPERLINK("https%3A%2F%2Fwww.webofscience.com%2Fwos%2Fwoscc%2Ffull-record%2FWOS:000371931600015","View Full Record in Web of Science")</f>
        <v>View Full Record in Web of Science</v>
      </c>
    </row>
    <row r="351" spans="1:72" x14ac:dyDescent="0.25">
      <c r="A351" t="s">
        <v>72</v>
      </c>
      <c r="B351" t="s">
        <v>7299</v>
      </c>
      <c r="C351" t="s">
        <v>74</v>
      </c>
      <c r="D351" t="s">
        <v>74</v>
      </c>
      <c r="E351" t="s">
        <v>74</v>
      </c>
      <c r="F351" t="s">
        <v>7300</v>
      </c>
      <c r="G351" t="s">
        <v>74</v>
      </c>
      <c r="H351" t="s">
        <v>74</v>
      </c>
      <c r="I351" t="s">
        <v>7301</v>
      </c>
      <c r="J351" t="s">
        <v>2058</v>
      </c>
      <c r="K351" t="s">
        <v>74</v>
      </c>
      <c r="L351" t="s">
        <v>74</v>
      </c>
      <c r="M351" t="s">
        <v>78</v>
      </c>
      <c r="N351" t="s">
        <v>79</v>
      </c>
      <c r="O351" t="s">
        <v>74</v>
      </c>
      <c r="P351" t="s">
        <v>74</v>
      </c>
      <c r="Q351" t="s">
        <v>74</v>
      </c>
      <c r="R351" t="s">
        <v>74</v>
      </c>
      <c r="S351" t="s">
        <v>74</v>
      </c>
      <c r="T351" t="s">
        <v>7302</v>
      </c>
      <c r="U351" t="s">
        <v>2889</v>
      </c>
      <c r="V351" t="s">
        <v>7303</v>
      </c>
      <c r="W351" t="s">
        <v>7304</v>
      </c>
      <c r="X351" t="s">
        <v>7305</v>
      </c>
      <c r="Y351" t="s">
        <v>7306</v>
      </c>
      <c r="Z351" t="s">
        <v>7307</v>
      </c>
      <c r="AA351" t="s">
        <v>74</v>
      </c>
      <c r="AB351" t="s">
        <v>7308</v>
      </c>
      <c r="AC351" t="s">
        <v>7309</v>
      </c>
      <c r="AD351" t="s">
        <v>7310</v>
      </c>
      <c r="AE351" t="s">
        <v>7311</v>
      </c>
      <c r="AF351" t="s">
        <v>74</v>
      </c>
      <c r="AG351">
        <v>41</v>
      </c>
      <c r="AH351">
        <v>0</v>
      </c>
      <c r="AI351">
        <v>1</v>
      </c>
      <c r="AJ351">
        <v>6</v>
      </c>
      <c r="AK351">
        <v>19</v>
      </c>
      <c r="AL351" t="s">
        <v>1272</v>
      </c>
      <c r="AM351" t="s">
        <v>1273</v>
      </c>
      <c r="AN351" t="s">
        <v>1274</v>
      </c>
      <c r="AO351" t="s">
        <v>74</v>
      </c>
      <c r="AP351" t="s">
        <v>2070</v>
      </c>
      <c r="AQ351" t="s">
        <v>74</v>
      </c>
      <c r="AR351" t="s">
        <v>2071</v>
      </c>
      <c r="AS351" t="s">
        <v>2072</v>
      </c>
      <c r="AT351" t="s">
        <v>1950</v>
      </c>
      <c r="AU351">
        <v>2025</v>
      </c>
      <c r="AV351">
        <v>15</v>
      </c>
      <c r="AW351">
        <v>3</v>
      </c>
      <c r="AX351" t="s">
        <v>74</v>
      </c>
      <c r="AY351" t="s">
        <v>74</v>
      </c>
      <c r="AZ351" t="s">
        <v>74</v>
      </c>
      <c r="BA351" t="s">
        <v>74</v>
      </c>
      <c r="BB351" t="s">
        <v>74</v>
      </c>
      <c r="BC351" t="s">
        <v>74</v>
      </c>
      <c r="BD351">
        <v>1224</v>
      </c>
      <c r="BE351" t="s">
        <v>7312</v>
      </c>
      <c r="BF351" t="str">
        <f>HYPERLINK("http://dx.doi.org/10.3390/app15031224","http://dx.doi.org/10.3390/app15031224")</f>
        <v>http://dx.doi.org/10.3390/app15031224</v>
      </c>
      <c r="BG351" t="s">
        <v>74</v>
      </c>
      <c r="BH351" t="s">
        <v>74</v>
      </c>
      <c r="BI351">
        <v>18</v>
      </c>
      <c r="BJ351" t="s">
        <v>2075</v>
      </c>
      <c r="BK351" t="s">
        <v>902</v>
      </c>
      <c r="BL351" t="s">
        <v>2076</v>
      </c>
      <c r="BM351" t="s">
        <v>7313</v>
      </c>
      <c r="BN351" t="s">
        <v>74</v>
      </c>
      <c r="BO351" t="s">
        <v>398</v>
      </c>
      <c r="BP351" t="s">
        <v>74</v>
      </c>
      <c r="BQ351" t="s">
        <v>74</v>
      </c>
      <c r="BR351" t="s">
        <v>106</v>
      </c>
      <c r="BS351" t="s">
        <v>7314</v>
      </c>
      <c r="BT351" t="str">
        <f>HYPERLINK("https%3A%2F%2Fwww.webofscience.com%2Fwos%2Fwoscc%2Ffull-record%2FWOS:001418457600001","View Full Record in Web of Science")</f>
        <v>View Full Record in Web of Science</v>
      </c>
    </row>
    <row r="352" spans="1:72" x14ac:dyDescent="0.25">
      <c r="A352" t="s">
        <v>108</v>
      </c>
      <c r="B352" t="s">
        <v>7315</v>
      </c>
      <c r="C352" t="s">
        <v>74</v>
      </c>
      <c r="D352" t="s">
        <v>7316</v>
      </c>
      <c r="E352" t="s">
        <v>74</v>
      </c>
      <c r="F352" t="s">
        <v>7317</v>
      </c>
      <c r="G352" t="s">
        <v>74</v>
      </c>
      <c r="H352" t="s">
        <v>74</v>
      </c>
      <c r="I352" t="s">
        <v>7318</v>
      </c>
      <c r="J352" t="s">
        <v>7319</v>
      </c>
      <c r="K352" t="s">
        <v>147</v>
      </c>
      <c r="L352" t="s">
        <v>74</v>
      </c>
      <c r="M352" t="s">
        <v>78</v>
      </c>
      <c r="N352" t="s">
        <v>115</v>
      </c>
      <c r="O352" t="s">
        <v>7320</v>
      </c>
      <c r="P352" t="s">
        <v>7321</v>
      </c>
      <c r="Q352" t="s">
        <v>2194</v>
      </c>
      <c r="R352" t="s">
        <v>7322</v>
      </c>
      <c r="S352" t="s">
        <v>74</v>
      </c>
      <c r="T352" t="s">
        <v>74</v>
      </c>
      <c r="U352" t="s">
        <v>7323</v>
      </c>
      <c r="V352" t="s">
        <v>7324</v>
      </c>
      <c r="W352" t="s">
        <v>7325</v>
      </c>
      <c r="X352" t="s">
        <v>7326</v>
      </c>
      <c r="Y352" t="s">
        <v>7327</v>
      </c>
      <c r="Z352" t="s">
        <v>74</v>
      </c>
      <c r="AA352" t="s">
        <v>7328</v>
      </c>
      <c r="AB352" t="s">
        <v>7329</v>
      </c>
      <c r="AC352" t="s">
        <v>7330</v>
      </c>
      <c r="AD352" t="s">
        <v>7331</v>
      </c>
      <c r="AE352" t="s">
        <v>7332</v>
      </c>
      <c r="AF352" t="s">
        <v>74</v>
      </c>
      <c r="AG352">
        <v>34</v>
      </c>
      <c r="AH352">
        <v>23</v>
      </c>
      <c r="AI352">
        <v>26</v>
      </c>
      <c r="AJ352">
        <v>0</v>
      </c>
      <c r="AK352">
        <v>4</v>
      </c>
      <c r="AL352" t="s">
        <v>197</v>
      </c>
      <c r="AM352" t="s">
        <v>198</v>
      </c>
      <c r="AN352" t="s">
        <v>199</v>
      </c>
      <c r="AO352" t="s">
        <v>159</v>
      </c>
      <c r="AP352" t="s">
        <v>133</v>
      </c>
      <c r="AQ352" t="s">
        <v>7333</v>
      </c>
      <c r="AR352" t="s">
        <v>161</v>
      </c>
      <c r="AS352" t="s">
        <v>74</v>
      </c>
      <c r="AT352" t="s">
        <v>74</v>
      </c>
      <c r="AU352">
        <v>2010</v>
      </c>
      <c r="AV352">
        <v>6452</v>
      </c>
      <c r="AW352" t="s">
        <v>74</v>
      </c>
      <c r="AX352" t="s">
        <v>74</v>
      </c>
      <c r="AY352" t="s">
        <v>74</v>
      </c>
      <c r="AZ352" t="s">
        <v>74</v>
      </c>
      <c r="BA352" t="s">
        <v>74</v>
      </c>
      <c r="BB352">
        <v>191</v>
      </c>
      <c r="BC352" t="s">
        <v>5459</v>
      </c>
      <c r="BD352" t="s">
        <v>74</v>
      </c>
      <c r="BE352" t="s">
        <v>74</v>
      </c>
      <c r="BF352" t="s">
        <v>74</v>
      </c>
      <c r="BG352" t="s">
        <v>74</v>
      </c>
      <c r="BH352" t="s">
        <v>74</v>
      </c>
      <c r="BI352">
        <v>3</v>
      </c>
      <c r="BJ352" t="s">
        <v>1190</v>
      </c>
      <c r="BK352" t="s">
        <v>203</v>
      </c>
      <c r="BL352" t="s">
        <v>103</v>
      </c>
      <c r="BM352" t="s">
        <v>7334</v>
      </c>
      <c r="BN352" t="s">
        <v>74</v>
      </c>
      <c r="BO352" t="s">
        <v>346</v>
      </c>
      <c r="BP352" t="s">
        <v>74</v>
      </c>
      <c r="BQ352" t="s">
        <v>74</v>
      </c>
      <c r="BR352" t="s">
        <v>106</v>
      </c>
      <c r="BS352" t="s">
        <v>7335</v>
      </c>
      <c r="BT352" t="str">
        <f>HYPERLINK("https%3A%2F%2Fwww.webofscience.com%2Fwos%2Fwoscc%2Ffull-record%2FWOS:000290547600010","View Full Record in Web of Science")</f>
        <v>View Full Record in Web of Science</v>
      </c>
    </row>
    <row r="353" spans="1:72" x14ac:dyDescent="0.25">
      <c r="A353" t="s">
        <v>108</v>
      </c>
      <c r="B353" t="s">
        <v>7336</v>
      </c>
      <c r="C353" t="s">
        <v>74</v>
      </c>
      <c r="D353" t="s">
        <v>74</v>
      </c>
      <c r="E353" t="s">
        <v>7337</v>
      </c>
      <c r="F353" t="s">
        <v>7338</v>
      </c>
      <c r="G353" t="s">
        <v>74</v>
      </c>
      <c r="H353" t="s">
        <v>74</v>
      </c>
      <c r="I353" t="s">
        <v>7339</v>
      </c>
      <c r="J353" t="s">
        <v>7340</v>
      </c>
      <c r="K353" t="s">
        <v>7341</v>
      </c>
      <c r="L353" t="s">
        <v>74</v>
      </c>
      <c r="M353" t="s">
        <v>78</v>
      </c>
      <c r="N353" t="s">
        <v>115</v>
      </c>
      <c r="O353" t="s">
        <v>7342</v>
      </c>
      <c r="P353" t="s">
        <v>7343</v>
      </c>
      <c r="Q353" t="s">
        <v>7344</v>
      </c>
      <c r="R353" t="s">
        <v>7345</v>
      </c>
      <c r="S353" t="s">
        <v>74</v>
      </c>
      <c r="T353" t="s">
        <v>7346</v>
      </c>
      <c r="U353" t="s">
        <v>74</v>
      </c>
      <c r="V353" t="s">
        <v>7347</v>
      </c>
      <c r="W353" t="s">
        <v>7348</v>
      </c>
      <c r="X353" t="s">
        <v>7349</v>
      </c>
      <c r="Y353" t="s">
        <v>7350</v>
      </c>
      <c r="Z353" t="s">
        <v>74</v>
      </c>
      <c r="AA353" t="s">
        <v>7351</v>
      </c>
      <c r="AB353" t="s">
        <v>74</v>
      </c>
      <c r="AC353" t="s">
        <v>74</v>
      </c>
      <c r="AD353" t="s">
        <v>74</v>
      </c>
      <c r="AE353" t="s">
        <v>74</v>
      </c>
      <c r="AF353" t="s">
        <v>74</v>
      </c>
      <c r="AG353">
        <v>25</v>
      </c>
      <c r="AH353">
        <v>5</v>
      </c>
      <c r="AI353">
        <v>6</v>
      </c>
      <c r="AJ353">
        <v>0</v>
      </c>
      <c r="AK353">
        <v>4</v>
      </c>
      <c r="AL353" t="s">
        <v>947</v>
      </c>
      <c r="AM353" t="s">
        <v>948</v>
      </c>
      <c r="AN353" t="s">
        <v>949</v>
      </c>
      <c r="AO353" t="s">
        <v>7352</v>
      </c>
      <c r="AP353" t="s">
        <v>74</v>
      </c>
      <c r="AQ353" t="s">
        <v>7353</v>
      </c>
      <c r="AR353" t="s">
        <v>7354</v>
      </c>
      <c r="AS353" t="s">
        <v>74</v>
      </c>
      <c r="AT353" t="s">
        <v>74</v>
      </c>
      <c r="AU353">
        <v>2019</v>
      </c>
      <c r="AV353" t="s">
        <v>74</v>
      </c>
      <c r="AW353" t="s">
        <v>74</v>
      </c>
      <c r="AX353" t="s">
        <v>74</v>
      </c>
      <c r="AY353" t="s">
        <v>74</v>
      </c>
      <c r="AZ353" t="s">
        <v>74</v>
      </c>
      <c r="BA353" t="s">
        <v>74</v>
      </c>
      <c r="BB353">
        <v>1572</v>
      </c>
      <c r="BC353">
        <v>1579</v>
      </c>
      <c r="BD353" t="s">
        <v>74</v>
      </c>
      <c r="BE353" t="s">
        <v>7355</v>
      </c>
      <c r="BF353" t="str">
        <f>HYPERLINK("http://dx.doi.org/10.1109/ISPA-BDCloud-SustainCom-SocialCom48970.2019.00231","http://dx.doi.org/10.1109/ISPA-BDCloud-SustainCom-SocialCom48970.2019.00231")</f>
        <v>http://dx.doi.org/10.1109/ISPA-BDCloud-SustainCom-SocialCom48970.2019.00231</v>
      </c>
      <c r="BG353" t="s">
        <v>74</v>
      </c>
      <c r="BH353" t="s">
        <v>74</v>
      </c>
      <c r="BI353">
        <v>8</v>
      </c>
      <c r="BJ353" t="s">
        <v>1209</v>
      </c>
      <c r="BK353" t="s">
        <v>203</v>
      </c>
      <c r="BL353" t="s">
        <v>103</v>
      </c>
      <c r="BM353" t="s">
        <v>7356</v>
      </c>
      <c r="BN353" t="s">
        <v>74</v>
      </c>
      <c r="BO353" t="s">
        <v>74</v>
      </c>
      <c r="BP353" t="s">
        <v>74</v>
      </c>
      <c r="BQ353" t="s">
        <v>74</v>
      </c>
      <c r="BR353" t="s">
        <v>106</v>
      </c>
      <c r="BS353" t="s">
        <v>7357</v>
      </c>
      <c r="BT353" t="str">
        <f>HYPERLINK("https%3A%2F%2Fwww.webofscience.com%2Fwos%2Fwoscc%2Ffull-record%2FWOS:000684104700219","View Full Record in Web of Science")</f>
        <v>View Full Record in Web of Science</v>
      </c>
    </row>
    <row r="354" spans="1:72" x14ac:dyDescent="0.25">
      <c r="A354" t="s">
        <v>108</v>
      </c>
      <c r="B354" t="s">
        <v>7358</v>
      </c>
      <c r="C354" t="s">
        <v>74</v>
      </c>
      <c r="D354" t="s">
        <v>7359</v>
      </c>
      <c r="E354" t="s">
        <v>74</v>
      </c>
      <c r="F354" t="s">
        <v>7360</v>
      </c>
      <c r="G354" t="s">
        <v>74</v>
      </c>
      <c r="H354" t="s">
        <v>74</v>
      </c>
      <c r="I354" t="s">
        <v>7361</v>
      </c>
      <c r="J354" t="s">
        <v>7362</v>
      </c>
      <c r="K354" t="s">
        <v>7363</v>
      </c>
      <c r="L354" t="s">
        <v>74</v>
      </c>
      <c r="M354" t="s">
        <v>78</v>
      </c>
      <c r="N354" t="s">
        <v>115</v>
      </c>
      <c r="O354" t="s">
        <v>7364</v>
      </c>
      <c r="P354" t="s">
        <v>7365</v>
      </c>
      <c r="Q354" t="s">
        <v>7366</v>
      </c>
      <c r="R354" t="s">
        <v>74</v>
      </c>
      <c r="S354" t="s">
        <v>7367</v>
      </c>
      <c r="T354" t="s">
        <v>7368</v>
      </c>
      <c r="U354" t="s">
        <v>74</v>
      </c>
      <c r="V354" t="s">
        <v>7369</v>
      </c>
      <c r="W354" t="s">
        <v>7370</v>
      </c>
      <c r="X354" t="s">
        <v>7371</v>
      </c>
      <c r="Y354" t="s">
        <v>7372</v>
      </c>
      <c r="Z354" t="s">
        <v>7373</v>
      </c>
      <c r="AA354" t="s">
        <v>74</v>
      </c>
      <c r="AB354" t="s">
        <v>7374</v>
      </c>
      <c r="AC354" t="s">
        <v>74</v>
      </c>
      <c r="AD354" t="s">
        <v>74</v>
      </c>
      <c r="AE354" t="s">
        <v>74</v>
      </c>
      <c r="AF354" t="s">
        <v>74</v>
      </c>
      <c r="AG354">
        <v>19</v>
      </c>
      <c r="AH354">
        <v>1</v>
      </c>
      <c r="AI354">
        <v>1</v>
      </c>
      <c r="AJ354">
        <v>0</v>
      </c>
      <c r="AK354">
        <v>11</v>
      </c>
      <c r="AL354" t="s">
        <v>7375</v>
      </c>
      <c r="AM354" t="s">
        <v>7376</v>
      </c>
      <c r="AN354" t="s">
        <v>7377</v>
      </c>
      <c r="AO354" t="s">
        <v>7378</v>
      </c>
      <c r="AP354" t="s">
        <v>74</v>
      </c>
      <c r="AQ354" t="s">
        <v>7379</v>
      </c>
      <c r="AR354" t="s">
        <v>7380</v>
      </c>
      <c r="AS354" t="s">
        <v>74</v>
      </c>
      <c r="AT354" t="s">
        <v>74</v>
      </c>
      <c r="AU354">
        <v>2019</v>
      </c>
      <c r="AV354" t="s">
        <v>74</v>
      </c>
      <c r="AW354" t="s">
        <v>74</v>
      </c>
      <c r="AX354" t="s">
        <v>74</v>
      </c>
      <c r="AY354" t="s">
        <v>74</v>
      </c>
      <c r="AZ354" t="s">
        <v>74</v>
      </c>
      <c r="BA354" t="s">
        <v>74</v>
      </c>
      <c r="BB354">
        <v>137</v>
      </c>
      <c r="BC354">
        <v>144</v>
      </c>
      <c r="BD354" t="s">
        <v>74</v>
      </c>
      <c r="BE354" t="s">
        <v>7381</v>
      </c>
      <c r="BF354" t="str">
        <f>HYPERLINK("http://dx.doi.org/10.34190/EEL.19.096","http://dx.doi.org/10.34190/EEL.19.096")</f>
        <v>http://dx.doi.org/10.34190/EEL.19.096</v>
      </c>
      <c r="BG354" t="s">
        <v>74</v>
      </c>
      <c r="BH354" t="s">
        <v>74</v>
      </c>
      <c r="BI354">
        <v>8</v>
      </c>
      <c r="BJ354" t="s">
        <v>318</v>
      </c>
      <c r="BK354" t="s">
        <v>1042</v>
      </c>
      <c r="BL354" t="s">
        <v>318</v>
      </c>
      <c r="BM354" t="s">
        <v>7382</v>
      </c>
      <c r="BN354" t="s">
        <v>74</v>
      </c>
      <c r="BO354" t="s">
        <v>74</v>
      </c>
      <c r="BP354" t="s">
        <v>74</v>
      </c>
      <c r="BQ354" t="s">
        <v>74</v>
      </c>
      <c r="BR354" t="s">
        <v>106</v>
      </c>
      <c r="BS354" t="s">
        <v>7383</v>
      </c>
      <c r="BT354" t="str">
        <f>HYPERLINK("https%3A%2F%2Fwww.webofscience.com%2Fwos%2Fwoscc%2Ffull-record%2FWOS:000539626900018","View Full Record in Web of Science")</f>
        <v>View Full Record in Web of Science</v>
      </c>
    </row>
    <row r="355" spans="1:72" x14ac:dyDescent="0.25">
      <c r="A355" t="s">
        <v>108</v>
      </c>
      <c r="B355" t="s">
        <v>7384</v>
      </c>
      <c r="C355" t="s">
        <v>74</v>
      </c>
      <c r="D355" t="s">
        <v>7385</v>
      </c>
      <c r="E355" t="s">
        <v>74</v>
      </c>
      <c r="F355" t="s">
        <v>7386</v>
      </c>
      <c r="G355" t="s">
        <v>74</v>
      </c>
      <c r="H355" t="s">
        <v>74</v>
      </c>
      <c r="I355" t="s">
        <v>7387</v>
      </c>
      <c r="J355" t="s">
        <v>7388</v>
      </c>
      <c r="K355" t="s">
        <v>147</v>
      </c>
      <c r="L355" t="s">
        <v>74</v>
      </c>
      <c r="M355" t="s">
        <v>78</v>
      </c>
      <c r="N355" t="s">
        <v>115</v>
      </c>
      <c r="O355" t="s">
        <v>7389</v>
      </c>
      <c r="P355" t="s">
        <v>7390</v>
      </c>
      <c r="Q355" t="s">
        <v>817</v>
      </c>
      <c r="R355" t="s">
        <v>7391</v>
      </c>
      <c r="S355" t="s">
        <v>74</v>
      </c>
      <c r="T355" t="s">
        <v>7392</v>
      </c>
      <c r="U355" t="s">
        <v>74</v>
      </c>
      <c r="V355" t="s">
        <v>7393</v>
      </c>
      <c r="W355" t="s">
        <v>7394</v>
      </c>
      <c r="X355" t="s">
        <v>7395</v>
      </c>
      <c r="Y355" t="s">
        <v>7396</v>
      </c>
      <c r="Z355" t="s">
        <v>7397</v>
      </c>
      <c r="AA355" t="s">
        <v>7398</v>
      </c>
      <c r="AB355" t="s">
        <v>7399</v>
      </c>
      <c r="AC355" t="s">
        <v>7400</v>
      </c>
      <c r="AD355" t="s">
        <v>7401</v>
      </c>
      <c r="AE355" t="s">
        <v>7402</v>
      </c>
      <c r="AF355" t="s">
        <v>74</v>
      </c>
      <c r="AG355">
        <v>25</v>
      </c>
      <c r="AH355">
        <v>7</v>
      </c>
      <c r="AI355">
        <v>7</v>
      </c>
      <c r="AJ355">
        <v>0</v>
      </c>
      <c r="AK355">
        <v>17</v>
      </c>
      <c r="AL355" t="s">
        <v>129</v>
      </c>
      <c r="AM355" t="s">
        <v>130</v>
      </c>
      <c r="AN355" t="s">
        <v>131</v>
      </c>
      <c r="AO355" t="s">
        <v>159</v>
      </c>
      <c r="AP355" t="s">
        <v>133</v>
      </c>
      <c r="AQ355" t="s">
        <v>7403</v>
      </c>
      <c r="AR355" t="s">
        <v>161</v>
      </c>
      <c r="AS355" t="s">
        <v>74</v>
      </c>
      <c r="AT355" t="s">
        <v>74</v>
      </c>
      <c r="AU355">
        <v>2017</v>
      </c>
      <c r="AV355">
        <v>10178</v>
      </c>
      <c r="AW355" t="s">
        <v>74</v>
      </c>
      <c r="AX355" t="s">
        <v>74</v>
      </c>
      <c r="AY355" t="s">
        <v>74</v>
      </c>
      <c r="AZ355" t="s">
        <v>74</v>
      </c>
      <c r="BA355" t="s">
        <v>74</v>
      </c>
      <c r="BB355">
        <v>610</v>
      </c>
      <c r="BC355">
        <v>622</v>
      </c>
      <c r="BD355" t="s">
        <v>74</v>
      </c>
      <c r="BE355" t="s">
        <v>7404</v>
      </c>
      <c r="BF355" t="str">
        <f>HYPERLINK("http://dx.doi.org/10.1007/978-3-319-55699-4_38","http://dx.doi.org/10.1007/978-3-319-55699-4_38")</f>
        <v>http://dx.doi.org/10.1007/978-3-319-55699-4_38</v>
      </c>
      <c r="BG355" t="s">
        <v>74</v>
      </c>
      <c r="BH355" t="s">
        <v>74</v>
      </c>
      <c r="BI355">
        <v>13</v>
      </c>
      <c r="BJ355" t="s">
        <v>696</v>
      </c>
      <c r="BK355" t="s">
        <v>203</v>
      </c>
      <c r="BL355" t="s">
        <v>103</v>
      </c>
      <c r="BM355" t="s">
        <v>7405</v>
      </c>
      <c r="BN355" t="s">
        <v>74</v>
      </c>
      <c r="BO355" t="s">
        <v>74</v>
      </c>
      <c r="BP355" t="s">
        <v>74</v>
      </c>
      <c r="BQ355" t="s">
        <v>74</v>
      </c>
      <c r="BR355" t="s">
        <v>106</v>
      </c>
      <c r="BS355" t="s">
        <v>7406</v>
      </c>
      <c r="BT355" t="str">
        <f>HYPERLINK("https%3A%2F%2Fwww.webofscience.com%2Fwos%2Fwoscc%2Ffull-record%2FWOS:000412832600038","View Full Record in Web of Science")</f>
        <v>View Full Record in Web of Science</v>
      </c>
    </row>
    <row r="356" spans="1:72" x14ac:dyDescent="0.25">
      <c r="A356" t="s">
        <v>72</v>
      </c>
      <c r="B356" t="s">
        <v>7407</v>
      </c>
      <c r="C356" t="s">
        <v>74</v>
      </c>
      <c r="D356" t="s">
        <v>74</v>
      </c>
      <c r="E356" t="s">
        <v>74</v>
      </c>
      <c r="F356" t="s">
        <v>7408</v>
      </c>
      <c r="G356" t="s">
        <v>74</v>
      </c>
      <c r="H356" t="s">
        <v>74</v>
      </c>
      <c r="I356" t="s">
        <v>7409</v>
      </c>
      <c r="J356" t="s">
        <v>2016</v>
      </c>
      <c r="K356" t="s">
        <v>74</v>
      </c>
      <c r="L356" t="s">
        <v>74</v>
      </c>
      <c r="M356" t="s">
        <v>78</v>
      </c>
      <c r="N356" t="s">
        <v>79</v>
      </c>
      <c r="O356" t="s">
        <v>74</v>
      </c>
      <c r="P356" t="s">
        <v>74</v>
      </c>
      <c r="Q356" t="s">
        <v>74</v>
      </c>
      <c r="R356" t="s">
        <v>74</v>
      </c>
      <c r="S356" t="s">
        <v>74</v>
      </c>
      <c r="T356" t="s">
        <v>7410</v>
      </c>
      <c r="U356" t="s">
        <v>74</v>
      </c>
      <c r="V356" t="s">
        <v>7411</v>
      </c>
      <c r="W356" t="s">
        <v>7412</v>
      </c>
      <c r="X356" t="s">
        <v>7413</v>
      </c>
      <c r="Y356" t="s">
        <v>7414</v>
      </c>
      <c r="Z356" t="s">
        <v>74</v>
      </c>
      <c r="AA356" t="s">
        <v>7415</v>
      </c>
      <c r="AB356" t="s">
        <v>74</v>
      </c>
      <c r="AC356" t="s">
        <v>7416</v>
      </c>
      <c r="AD356" t="s">
        <v>7417</v>
      </c>
      <c r="AE356" t="s">
        <v>7418</v>
      </c>
      <c r="AF356" t="s">
        <v>74</v>
      </c>
      <c r="AG356">
        <v>38</v>
      </c>
      <c r="AH356">
        <v>19</v>
      </c>
      <c r="AI356">
        <v>21</v>
      </c>
      <c r="AJ356">
        <v>0</v>
      </c>
      <c r="AK356">
        <v>65</v>
      </c>
      <c r="AL356" t="s">
        <v>362</v>
      </c>
      <c r="AM356" t="s">
        <v>363</v>
      </c>
      <c r="AN356" t="s">
        <v>364</v>
      </c>
      <c r="AO356" t="s">
        <v>2027</v>
      </c>
      <c r="AP356" t="s">
        <v>2028</v>
      </c>
      <c r="AQ356" t="s">
        <v>74</v>
      </c>
      <c r="AR356" t="s">
        <v>2016</v>
      </c>
      <c r="AS356" t="s">
        <v>2029</v>
      </c>
      <c r="AT356" t="s">
        <v>3434</v>
      </c>
      <c r="AU356">
        <v>2016</v>
      </c>
      <c r="AV356">
        <v>218</v>
      </c>
      <c r="AW356" t="s">
        <v>74</v>
      </c>
      <c r="AX356" t="s">
        <v>74</v>
      </c>
      <c r="AY356" t="s">
        <v>74</v>
      </c>
      <c r="AZ356" t="s">
        <v>74</v>
      </c>
      <c r="BA356" t="s">
        <v>74</v>
      </c>
      <c r="BB356">
        <v>1</v>
      </c>
      <c r="BC356">
        <v>12</v>
      </c>
      <c r="BD356" t="s">
        <v>74</v>
      </c>
      <c r="BE356" t="s">
        <v>7419</v>
      </c>
      <c r="BF356" t="str">
        <f>HYPERLINK("http://dx.doi.org/10.1016/j.neucom.2016.03.070","http://dx.doi.org/10.1016/j.neucom.2016.03.070")</f>
        <v>http://dx.doi.org/10.1016/j.neucom.2016.03.070</v>
      </c>
      <c r="BG356" t="s">
        <v>74</v>
      </c>
      <c r="BH356" t="s">
        <v>74</v>
      </c>
      <c r="BI356">
        <v>12</v>
      </c>
      <c r="BJ356" t="s">
        <v>807</v>
      </c>
      <c r="BK356" t="s">
        <v>902</v>
      </c>
      <c r="BL356" t="s">
        <v>103</v>
      </c>
      <c r="BM356" t="s">
        <v>7420</v>
      </c>
      <c r="BN356" t="s">
        <v>74</v>
      </c>
      <c r="BO356" t="s">
        <v>74</v>
      </c>
      <c r="BP356" t="s">
        <v>74</v>
      </c>
      <c r="BQ356" t="s">
        <v>74</v>
      </c>
      <c r="BR356" t="s">
        <v>106</v>
      </c>
      <c r="BS356" t="s">
        <v>7421</v>
      </c>
      <c r="BT356" t="str">
        <f>HYPERLINK("https%3A%2F%2Fwww.webofscience.com%2Fwos%2Fwoscc%2Ffull-record%2FWOS:000388053700001","View Full Record in Web of Science")</f>
        <v>View Full Record in Web of Science</v>
      </c>
    </row>
    <row r="357" spans="1:72" x14ac:dyDescent="0.25">
      <c r="A357" t="s">
        <v>72</v>
      </c>
      <c r="B357" t="s">
        <v>7422</v>
      </c>
      <c r="C357" t="s">
        <v>74</v>
      </c>
      <c r="D357" t="s">
        <v>74</v>
      </c>
      <c r="E357" t="s">
        <v>74</v>
      </c>
      <c r="F357" t="s">
        <v>7423</v>
      </c>
      <c r="G357" t="s">
        <v>74</v>
      </c>
      <c r="H357" t="s">
        <v>74</v>
      </c>
      <c r="I357" t="s">
        <v>7424</v>
      </c>
      <c r="J357" t="s">
        <v>7425</v>
      </c>
      <c r="K357" t="s">
        <v>74</v>
      </c>
      <c r="L357" t="s">
        <v>74</v>
      </c>
      <c r="M357" t="s">
        <v>78</v>
      </c>
      <c r="N357" t="s">
        <v>79</v>
      </c>
      <c r="O357" t="s">
        <v>74</v>
      </c>
      <c r="P357" t="s">
        <v>74</v>
      </c>
      <c r="Q357" t="s">
        <v>74</v>
      </c>
      <c r="R357" t="s">
        <v>74</v>
      </c>
      <c r="S357" t="s">
        <v>74</v>
      </c>
      <c r="T357" t="s">
        <v>7426</v>
      </c>
      <c r="U357" t="s">
        <v>7427</v>
      </c>
      <c r="V357" t="s">
        <v>7428</v>
      </c>
      <c r="W357" t="s">
        <v>7429</v>
      </c>
      <c r="X357" t="s">
        <v>7430</v>
      </c>
      <c r="Y357" t="s">
        <v>7431</v>
      </c>
      <c r="Z357" t="s">
        <v>7432</v>
      </c>
      <c r="AA357" t="s">
        <v>7433</v>
      </c>
      <c r="AB357" t="s">
        <v>7434</v>
      </c>
      <c r="AC357" t="s">
        <v>7435</v>
      </c>
      <c r="AD357" t="s">
        <v>7436</v>
      </c>
      <c r="AE357" t="s">
        <v>7437</v>
      </c>
      <c r="AF357" t="s">
        <v>74</v>
      </c>
      <c r="AG357">
        <v>38</v>
      </c>
      <c r="AH357">
        <v>3</v>
      </c>
      <c r="AI357">
        <v>3</v>
      </c>
      <c r="AJ357">
        <v>0</v>
      </c>
      <c r="AK357">
        <v>22</v>
      </c>
      <c r="AL357" t="s">
        <v>895</v>
      </c>
      <c r="AM357" t="s">
        <v>896</v>
      </c>
      <c r="AN357" t="s">
        <v>897</v>
      </c>
      <c r="AO357" t="s">
        <v>7438</v>
      </c>
      <c r="AP357" t="s">
        <v>7439</v>
      </c>
      <c r="AQ357" t="s">
        <v>74</v>
      </c>
      <c r="AR357" t="s">
        <v>7440</v>
      </c>
      <c r="AS357" t="s">
        <v>7441</v>
      </c>
      <c r="AT357" t="s">
        <v>4318</v>
      </c>
      <c r="AU357">
        <v>2024</v>
      </c>
      <c r="AV357">
        <v>32</v>
      </c>
      <c r="AW357">
        <v>5</v>
      </c>
      <c r="AX357" t="s">
        <v>74</v>
      </c>
      <c r="AY357" t="s">
        <v>74</v>
      </c>
      <c r="AZ357" t="s">
        <v>74</v>
      </c>
      <c r="BA357" t="s">
        <v>74</v>
      </c>
      <c r="BB357">
        <v>3977</v>
      </c>
      <c r="BC357">
        <v>3992</v>
      </c>
      <c r="BD357" t="s">
        <v>74</v>
      </c>
      <c r="BE357" t="s">
        <v>7442</v>
      </c>
      <c r="BF357" t="str">
        <f>HYPERLINK("http://dx.doi.org/10.1109/TNET.2024.3410976","http://dx.doi.org/10.1109/TNET.2024.3410976")</f>
        <v>http://dx.doi.org/10.1109/TNET.2024.3410976</v>
      </c>
      <c r="BG357" t="s">
        <v>74</v>
      </c>
      <c r="BH357" t="s">
        <v>4374</v>
      </c>
      <c r="BI357">
        <v>16</v>
      </c>
      <c r="BJ357" t="s">
        <v>7443</v>
      </c>
      <c r="BK357" t="s">
        <v>902</v>
      </c>
      <c r="BL357" t="s">
        <v>903</v>
      </c>
      <c r="BM357" t="s">
        <v>7444</v>
      </c>
      <c r="BN357" t="s">
        <v>74</v>
      </c>
      <c r="BO357" t="s">
        <v>7445</v>
      </c>
      <c r="BP357" t="s">
        <v>74</v>
      </c>
      <c r="BQ357" t="s">
        <v>74</v>
      </c>
      <c r="BR357" t="s">
        <v>106</v>
      </c>
      <c r="BS357" t="s">
        <v>7446</v>
      </c>
      <c r="BT357" t="str">
        <f>HYPERLINK("https%3A%2F%2Fwww.webofscience.com%2Fwos%2Fwoscc%2Ffull-record%2FWOS:001258787000001","View Full Record in Web of Science")</f>
        <v>View Full Record in Web of Science</v>
      </c>
    </row>
    <row r="358" spans="1:72" x14ac:dyDescent="0.25">
      <c r="A358" t="s">
        <v>108</v>
      </c>
      <c r="B358" t="s">
        <v>7447</v>
      </c>
      <c r="C358" t="s">
        <v>74</v>
      </c>
      <c r="D358" t="s">
        <v>7448</v>
      </c>
      <c r="E358" t="s">
        <v>74</v>
      </c>
      <c r="F358" t="s">
        <v>7449</v>
      </c>
      <c r="G358" t="s">
        <v>74</v>
      </c>
      <c r="H358" t="s">
        <v>74</v>
      </c>
      <c r="I358" t="s">
        <v>7450</v>
      </c>
      <c r="J358" t="s">
        <v>7451</v>
      </c>
      <c r="K358" t="s">
        <v>5674</v>
      </c>
      <c r="L358" t="s">
        <v>74</v>
      </c>
      <c r="M358" t="s">
        <v>78</v>
      </c>
      <c r="N358" t="s">
        <v>115</v>
      </c>
      <c r="O358" t="s">
        <v>7452</v>
      </c>
      <c r="P358" t="s">
        <v>7453</v>
      </c>
      <c r="Q358" t="s">
        <v>1767</v>
      </c>
      <c r="R358" t="s">
        <v>74</v>
      </c>
      <c r="S358" t="s">
        <v>74</v>
      </c>
      <c r="T358" t="s">
        <v>7454</v>
      </c>
      <c r="U358" t="s">
        <v>74</v>
      </c>
      <c r="V358" t="s">
        <v>7455</v>
      </c>
      <c r="W358" t="s">
        <v>7456</v>
      </c>
      <c r="X358" t="s">
        <v>74</v>
      </c>
      <c r="Y358" t="s">
        <v>74</v>
      </c>
      <c r="Z358" t="s">
        <v>7457</v>
      </c>
      <c r="AA358" t="s">
        <v>74</v>
      </c>
      <c r="AB358" t="s">
        <v>7458</v>
      </c>
      <c r="AC358" t="s">
        <v>74</v>
      </c>
      <c r="AD358" t="s">
        <v>74</v>
      </c>
      <c r="AE358" t="s">
        <v>74</v>
      </c>
      <c r="AF358" t="s">
        <v>74</v>
      </c>
      <c r="AG358">
        <v>6</v>
      </c>
      <c r="AH358">
        <v>8</v>
      </c>
      <c r="AI358">
        <v>10</v>
      </c>
      <c r="AJ358">
        <v>0</v>
      </c>
      <c r="AK358">
        <v>25</v>
      </c>
      <c r="AL358" t="s">
        <v>2695</v>
      </c>
      <c r="AM358" t="s">
        <v>363</v>
      </c>
      <c r="AN358" t="s">
        <v>2696</v>
      </c>
      <c r="AO358" t="s">
        <v>5684</v>
      </c>
      <c r="AP358" t="s">
        <v>74</v>
      </c>
      <c r="AQ358" t="s">
        <v>74</v>
      </c>
      <c r="AR358" t="s">
        <v>5685</v>
      </c>
      <c r="AS358" t="s">
        <v>74</v>
      </c>
      <c r="AT358" t="s">
        <v>74</v>
      </c>
      <c r="AU358">
        <v>2014</v>
      </c>
      <c r="AV358">
        <v>148</v>
      </c>
      <c r="AW358" t="s">
        <v>74</v>
      </c>
      <c r="AX358" t="s">
        <v>74</v>
      </c>
      <c r="AY358" t="s">
        <v>74</v>
      </c>
      <c r="AZ358" t="s">
        <v>74</v>
      </c>
      <c r="BA358" t="s">
        <v>74</v>
      </c>
      <c r="BB358">
        <v>58</v>
      </c>
      <c r="BC358">
        <v>66</v>
      </c>
      <c r="BD358" t="s">
        <v>74</v>
      </c>
      <c r="BE358" t="s">
        <v>7459</v>
      </c>
      <c r="BF358" t="str">
        <f>HYPERLINK("http://dx.doi.org/10.1016/j.sbspro.2014.07.017","http://dx.doi.org/10.1016/j.sbspro.2014.07.017")</f>
        <v>http://dx.doi.org/10.1016/j.sbspro.2014.07.017</v>
      </c>
      <c r="BG358" t="s">
        <v>74</v>
      </c>
      <c r="BH358" t="s">
        <v>74</v>
      </c>
      <c r="BI358">
        <v>9</v>
      </c>
      <c r="BJ358" t="s">
        <v>7460</v>
      </c>
      <c r="BK358" t="s">
        <v>1042</v>
      </c>
      <c r="BL358" t="s">
        <v>7461</v>
      </c>
      <c r="BM358" t="s">
        <v>7462</v>
      </c>
      <c r="BN358" t="s">
        <v>74</v>
      </c>
      <c r="BO358" t="s">
        <v>398</v>
      </c>
      <c r="BP358" t="s">
        <v>74</v>
      </c>
      <c r="BQ358" t="s">
        <v>74</v>
      </c>
      <c r="BR358" t="s">
        <v>106</v>
      </c>
      <c r="BS358" t="s">
        <v>7463</v>
      </c>
      <c r="BT358" t="str">
        <f>HYPERLINK("https%3A%2F%2Fwww.webofscience.com%2Fwos%2Fwoscc%2Ffull-record%2FWOS:000346116000007","View Full Record in Web of Science")</f>
        <v>View Full Record in Web of Science</v>
      </c>
    </row>
    <row r="359" spans="1:72" x14ac:dyDescent="0.25">
      <c r="A359" t="s">
        <v>108</v>
      </c>
      <c r="B359" t="s">
        <v>7464</v>
      </c>
      <c r="C359" t="s">
        <v>74</v>
      </c>
      <c r="D359" t="s">
        <v>74</v>
      </c>
      <c r="E359" t="s">
        <v>465</v>
      </c>
      <c r="F359" t="s">
        <v>7465</v>
      </c>
      <c r="G359" t="s">
        <v>74</v>
      </c>
      <c r="H359" t="s">
        <v>74</v>
      </c>
      <c r="I359" t="s">
        <v>7466</v>
      </c>
      <c r="J359" t="s">
        <v>7467</v>
      </c>
      <c r="K359" t="s">
        <v>74</v>
      </c>
      <c r="L359" t="s">
        <v>74</v>
      </c>
      <c r="M359" t="s">
        <v>78</v>
      </c>
      <c r="N359" t="s">
        <v>115</v>
      </c>
      <c r="O359" t="s">
        <v>7468</v>
      </c>
      <c r="P359" t="s">
        <v>7469</v>
      </c>
      <c r="Q359" t="s">
        <v>7470</v>
      </c>
      <c r="R359" t="s">
        <v>7471</v>
      </c>
      <c r="S359" t="s">
        <v>74</v>
      </c>
      <c r="T359" t="s">
        <v>74</v>
      </c>
      <c r="U359" t="s">
        <v>74</v>
      </c>
      <c r="V359" t="s">
        <v>7472</v>
      </c>
      <c r="W359" t="s">
        <v>7473</v>
      </c>
      <c r="X359" t="s">
        <v>7474</v>
      </c>
      <c r="Y359" t="s">
        <v>7475</v>
      </c>
      <c r="Z359" t="s">
        <v>7476</v>
      </c>
      <c r="AA359" t="s">
        <v>74</v>
      </c>
      <c r="AB359" t="s">
        <v>74</v>
      </c>
      <c r="AC359" t="s">
        <v>74</v>
      </c>
      <c r="AD359" t="s">
        <v>74</v>
      </c>
      <c r="AE359" t="s">
        <v>74</v>
      </c>
      <c r="AF359" t="s">
        <v>74</v>
      </c>
      <c r="AG359">
        <v>60</v>
      </c>
      <c r="AH359">
        <v>15</v>
      </c>
      <c r="AI359">
        <v>18</v>
      </c>
      <c r="AJ359">
        <v>0</v>
      </c>
      <c r="AK359">
        <v>4</v>
      </c>
      <c r="AL359" t="s">
        <v>465</v>
      </c>
      <c r="AM359" t="s">
        <v>92</v>
      </c>
      <c r="AN359" t="s">
        <v>480</v>
      </c>
      <c r="AO359" t="s">
        <v>74</v>
      </c>
      <c r="AP359" t="s">
        <v>74</v>
      </c>
      <c r="AQ359" t="s">
        <v>7477</v>
      </c>
      <c r="AR359" t="s">
        <v>74</v>
      </c>
      <c r="AS359" t="s">
        <v>74</v>
      </c>
      <c r="AT359" t="s">
        <v>74</v>
      </c>
      <c r="AU359">
        <v>2016</v>
      </c>
      <c r="AV359" t="s">
        <v>74</v>
      </c>
      <c r="AW359" t="s">
        <v>74</v>
      </c>
      <c r="AX359" t="s">
        <v>74</v>
      </c>
      <c r="AY359" t="s">
        <v>74</v>
      </c>
      <c r="AZ359" t="s">
        <v>74</v>
      </c>
      <c r="BA359" t="s">
        <v>74</v>
      </c>
      <c r="BB359">
        <v>36</v>
      </c>
      <c r="BC359">
        <v>43</v>
      </c>
      <c r="BD359" t="s">
        <v>74</v>
      </c>
      <c r="BE359" t="s">
        <v>7478</v>
      </c>
      <c r="BF359" t="str">
        <f>HYPERLINK("http://dx.doi.org/10.1109/BigDataService.2016.28","http://dx.doi.org/10.1109/BigDataService.2016.28")</f>
        <v>http://dx.doi.org/10.1109/BigDataService.2016.28</v>
      </c>
      <c r="BG359" t="s">
        <v>74</v>
      </c>
      <c r="BH359" t="s">
        <v>74</v>
      </c>
      <c r="BI359">
        <v>8</v>
      </c>
      <c r="BJ359" t="s">
        <v>6862</v>
      </c>
      <c r="BK359" t="s">
        <v>203</v>
      </c>
      <c r="BL359" t="s">
        <v>953</v>
      </c>
      <c r="BM359" t="s">
        <v>7479</v>
      </c>
      <c r="BN359" t="s">
        <v>74</v>
      </c>
      <c r="BO359" t="s">
        <v>74</v>
      </c>
      <c r="BP359" t="s">
        <v>74</v>
      </c>
      <c r="BQ359" t="s">
        <v>74</v>
      </c>
      <c r="BR359" t="s">
        <v>106</v>
      </c>
      <c r="BS359" t="s">
        <v>7480</v>
      </c>
      <c r="BT359" t="str">
        <f>HYPERLINK("https%3A%2F%2Fwww.webofscience.com%2Fwos%2Fwoscc%2Ffull-record%2FWOS:000381731800006","View Full Record in Web of Science")</f>
        <v>View Full Record in Web of Science</v>
      </c>
    </row>
    <row r="360" spans="1:72" x14ac:dyDescent="0.25">
      <c r="A360" t="s">
        <v>72</v>
      </c>
      <c r="B360" t="s">
        <v>7481</v>
      </c>
      <c r="C360" t="s">
        <v>74</v>
      </c>
      <c r="D360" t="s">
        <v>74</v>
      </c>
      <c r="E360" t="s">
        <v>74</v>
      </c>
      <c r="F360" t="s">
        <v>7482</v>
      </c>
      <c r="G360" t="s">
        <v>74</v>
      </c>
      <c r="H360" t="s">
        <v>74</v>
      </c>
      <c r="I360" t="s">
        <v>7483</v>
      </c>
      <c r="J360" t="s">
        <v>1442</v>
      </c>
      <c r="K360" t="s">
        <v>74</v>
      </c>
      <c r="L360" t="s">
        <v>74</v>
      </c>
      <c r="M360" t="s">
        <v>78</v>
      </c>
      <c r="N360" t="s">
        <v>79</v>
      </c>
      <c r="O360" t="s">
        <v>74</v>
      </c>
      <c r="P360" t="s">
        <v>74</v>
      </c>
      <c r="Q360" t="s">
        <v>74</v>
      </c>
      <c r="R360" t="s">
        <v>74</v>
      </c>
      <c r="S360" t="s">
        <v>74</v>
      </c>
      <c r="T360" t="s">
        <v>7484</v>
      </c>
      <c r="U360" t="s">
        <v>1308</v>
      </c>
      <c r="V360" t="s">
        <v>7485</v>
      </c>
      <c r="W360" t="s">
        <v>7486</v>
      </c>
      <c r="X360" t="s">
        <v>7487</v>
      </c>
      <c r="Y360" t="s">
        <v>7488</v>
      </c>
      <c r="Z360" t="s">
        <v>7489</v>
      </c>
      <c r="AA360" t="s">
        <v>7490</v>
      </c>
      <c r="AB360" t="s">
        <v>7491</v>
      </c>
      <c r="AC360" t="s">
        <v>74</v>
      </c>
      <c r="AD360" t="s">
        <v>74</v>
      </c>
      <c r="AE360" t="s">
        <v>74</v>
      </c>
      <c r="AF360" t="s">
        <v>74</v>
      </c>
      <c r="AG360">
        <v>40</v>
      </c>
      <c r="AH360">
        <v>11</v>
      </c>
      <c r="AI360">
        <v>13</v>
      </c>
      <c r="AJ360">
        <v>1</v>
      </c>
      <c r="AK360">
        <v>52</v>
      </c>
      <c r="AL360" t="s">
        <v>631</v>
      </c>
      <c r="AM360" t="s">
        <v>632</v>
      </c>
      <c r="AN360" t="s">
        <v>633</v>
      </c>
      <c r="AO360" t="s">
        <v>1453</v>
      </c>
      <c r="AP360" t="s">
        <v>1454</v>
      </c>
      <c r="AQ360" t="s">
        <v>74</v>
      </c>
      <c r="AR360" t="s">
        <v>1455</v>
      </c>
      <c r="AS360" t="s">
        <v>1456</v>
      </c>
      <c r="AT360" t="s">
        <v>7492</v>
      </c>
      <c r="AU360">
        <v>2019</v>
      </c>
      <c r="AV360">
        <v>31</v>
      </c>
      <c r="AW360">
        <v>20</v>
      </c>
      <c r="AX360" t="s">
        <v>74</v>
      </c>
      <c r="AY360" t="s">
        <v>74</v>
      </c>
      <c r="AZ360" t="s">
        <v>74</v>
      </c>
      <c r="BA360" t="s">
        <v>74</v>
      </c>
      <c r="BB360" t="s">
        <v>74</v>
      </c>
      <c r="BC360" t="s">
        <v>74</v>
      </c>
      <c r="BD360" t="s">
        <v>7493</v>
      </c>
      <c r="BE360" t="s">
        <v>7494</v>
      </c>
      <c r="BF360" t="str">
        <f>HYPERLINK("http://dx.doi.org/10.1002/cpe.5330","http://dx.doi.org/10.1002/cpe.5330")</f>
        <v>http://dx.doi.org/10.1002/cpe.5330</v>
      </c>
      <c r="BG360" t="s">
        <v>74</v>
      </c>
      <c r="BH360" t="s">
        <v>74</v>
      </c>
      <c r="BI360">
        <v>11</v>
      </c>
      <c r="BJ360" t="s">
        <v>1190</v>
      </c>
      <c r="BK360" t="s">
        <v>902</v>
      </c>
      <c r="BL360" t="s">
        <v>103</v>
      </c>
      <c r="BM360" t="s">
        <v>7495</v>
      </c>
      <c r="BN360" t="s">
        <v>74</v>
      </c>
      <c r="BO360" t="s">
        <v>74</v>
      </c>
      <c r="BP360" t="s">
        <v>74</v>
      </c>
      <c r="BQ360" t="s">
        <v>74</v>
      </c>
      <c r="BR360" t="s">
        <v>106</v>
      </c>
      <c r="BS360" t="s">
        <v>7496</v>
      </c>
      <c r="BT360" t="str">
        <f>HYPERLINK("https%3A%2F%2Fwww.webofscience.com%2Fwos%2Fwoscc%2Ffull-record%2FWOS:000489324000008","View Full Record in Web of Science")</f>
        <v>View Full Record in Web of Science</v>
      </c>
    </row>
    <row r="361" spans="1:72" x14ac:dyDescent="0.25">
      <c r="A361" t="s">
        <v>108</v>
      </c>
      <c r="B361" t="s">
        <v>7497</v>
      </c>
      <c r="C361" t="s">
        <v>74</v>
      </c>
      <c r="D361" t="s">
        <v>7498</v>
      </c>
      <c r="E361" t="s">
        <v>74</v>
      </c>
      <c r="F361" t="s">
        <v>7499</v>
      </c>
      <c r="G361" t="s">
        <v>74</v>
      </c>
      <c r="H361" t="s">
        <v>74</v>
      </c>
      <c r="I361" t="s">
        <v>7500</v>
      </c>
      <c r="J361" t="s">
        <v>7501</v>
      </c>
      <c r="K361" t="s">
        <v>74</v>
      </c>
      <c r="L361" t="s">
        <v>74</v>
      </c>
      <c r="M361" t="s">
        <v>78</v>
      </c>
      <c r="N361" t="s">
        <v>115</v>
      </c>
      <c r="O361" t="s">
        <v>7502</v>
      </c>
      <c r="P361" t="s">
        <v>7503</v>
      </c>
      <c r="Q361" t="s">
        <v>7504</v>
      </c>
      <c r="R361" t="s">
        <v>7505</v>
      </c>
      <c r="S361" t="s">
        <v>74</v>
      </c>
      <c r="T361" t="s">
        <v>7506</v>
      </c>
      <c r="U361" t="s">
        <v>7507</v>
      </c>
      <c r="V361" t="s">
        <v>7508</v>
      </c>
      <c r="W361" t="s">
        <v>7509</v>
      </c>
      <c r="X361" t="s">
        <v>7510</v>
      </c>
      <c r="Y361" t="s">
        <v>7511</v>
      </c>
      <c r="Z361" t="s">
        <v>7512</v>
      </c>
      <c r="AA361" t="s">
        <v>7513</v>
      </c>
      <c r="AB361" t="s">
        <v>74</v>
      </c>
      <c r="AC361" t="s">
        <v>74</v>
      </c>
      <c r="AD361" t="s">
        <v>74</v>
      </c>
      <c r="AE361" t="s">
        <v>74</v>
      </c>
      <c r="AF361" t="s">
        <v>74</v>
      </c>
      <c r="AG361">
        <v>34</v>
      </c>
      <c r="AH361">
        <v>0</v>
      </c>
      <c r="AI361">
        <v>0</v>
      </c>
      <c r="AJ361">
        <v>0</v>
      </c>
      <c r="AK361">
        <v>2</v>
      </c>
      <c r="AL361" t="s">
        <v>7514</v>
      </c>
      <c r="AM361" t="s">
        <v>7515</v>
      </c>
      <c r="AN361" t="s">
        <v>7516</v>
      </c>
      <c r="AO361" t="s">
        <v>74</v>
      </c>
      <c r="AP361" t="s">
        <v>74</v>
      </c>
      <c r="AQ361" t="s">
        <v>7517</v>
      </c>
      <c r="AR361" t="s">
        <v>74</v>
      </c>
      <c r="AS361" t="s">
        <v>74</v>
      </c>
      <c r="AT361" t="s">
        <v>74</v>
      </c>
      <c r="AU361">
        <v>2017</v>
      </c>
      <c r="AV361" t="s">
        <v>74</v>
      </c>
      <c r="AW361" t="s">
        <v>74</v>
      </c>
      <c r="AX361" t="s">
        <v>74</v>
      </c>
      <c r="AY361" t="s">
        <v>74</v>
      </c>
      <c r="AZ361" t="s">
        <v>74</v>
      </c>
      <c r="BA361" t="s">
        <v>74</v>
      </c>
      <c r="BB361">
        <v>33</v>
      </c>
      <c r="BC361">
        <v>40</v>
      </c>
      <c r="BD361" t="s">
        <v>74</v>
      </c>
      <c r="BE361" t="s">
        <v>74</v>
      </c>
      <c r="BF361" t="s">
        <v>74</v>
      </c>
      <c r="BG361" t="s">
        <v>74</v>
      </c>
      <c r="BH361" t="s">
        <v>74</v>
      </c>
      <c r="BI361">
        <v>8</v>
      </c>
      <c r="BJ361" t="s">
        <v>696</v>
      </c>
      <c r="BK361" t="s">
        <v>203</v>
      </c>
      <c r="BL361" t="s">
        <v>103</v>
      </c>
      <c r="BM361" t="s">
        <v>7518</v>
      </c>
      <c r="BN361" t="s">
        <v>74</v>
      </c>
      <c r="BO361" t="s">
        <v>74</v>
      </c>
      <c r="BP361" t="s">
        <v>74</v>
      </c>
      <c r="BQ361" t="s">
        <v>74</v>
      </c>
      <c r="BR361" t="s">
        <v>106</v>
      </c>
      <c r="BS361" t="s">
        <v>7519</v>
      </c>
      <c r="BT361" t="str">
        <f>HYPERLINK("https%3A%2F%2Fwww.webofscience.com%2Fwos%2Fwoscc%2Ffull-record%2FWOS:000430361200006","View Full Record in Web of Science")</f>
        <v>View Full Record in Web of Science</v>
      </c>
    </row>
    <row r="362" spans="1:72" x14ac:dyDescent="0.25">
      <c r="A362" t="s">
        <v>72</v>
      </c>
      <c r="B362" t="s">
        <v>7520</v>
      </c>
      <c r="C362" t="s">
        <v>74</v>
      </c>
      <c r="D362" t="s">
        <v>74</v>
      </c>
      <c r="E362" t="s">
        <v>74</v>
      </c>
      <c r="F362" t="s">
        <v>7521</v>
      </c>
      <c r="G362" t="s">
        <v>74</v>
      </c>
      <c r="H362" t="s">
        <v>74</v>
      </c>
      <c r="I362" t="s">
        <v>7522</v>
      </c>
      <c r="J362" t="s">
        <v>7523</v>
      </c>
      <c r="K362" t="s">
        <v>74</v>
      </c>
      <c r="L362" t="s">
        <v>74</v>
      </c>
      <c r="M362" t="s">
        <v>78</v>
      </c>
      <c r="N362" t="s">
        <v>79</v>
      </c>
      <c r="O362" t="s">
        <v>74</v>
      </c>
      <c r="P362" t="s">
        <v>74</v>
      </c>
      <c r="Q362" t="s">
        <v>74</v>
      </c>
      <c r="R362" t="s">
        <v>74</v>
      </c>
      <c r="S362" t="s">
        <v>74</v>
      </c>
      <c r="T362" t="s">
        <v>7524</v>
      </c>
      <c r="U362" t="s">
        <v>7525</v>
      </c>
      <c r="V362" t="s">
        <v>7526</v>
      </c>
      <c r="W362" t="s">
        <v>7527</v>
      </c>
      <c r="X362" t="s">
        <v>7528</v>
      </c>
      <c r="Y362" t="s">
        <v>7529</v>
      </c>
      <c r="Z362" t="s">
        <v>7530</v>
      </c>
      <c r="AA362" t="s">
        <v>7531</v>
      </c>
      <c r="AB362" t="s">
        <v>7532</v>
      </c>
      <c r="AC362" t="s">
        <v>74</v>
      </c>
      <c r="AD362" t="s">
        <v>74</v>
      </c>
      <c r="AE362" t="s">
        <v>74</v>
      </c>
      <c r="AF362" t="s">
        <v>74</v>
      </c>
      <c r="AG362">
        <v>48</v>
      </c>
      <c r="AH362">
        <v>0</v>
      </c>
      <c r="AI362">
        <v>0</v>
      </c>
      <c r="AJ362">
        <v>1</v>
      </c>
      <c r="AK362">
        <v>26</v>
      </c>
      <c r="AL362" t="s">
        <v>2179</v>
      </c>
      <c r="AM362" t="s">
        <v>363</v>
      </c>
      <c r="AN362" t="s">
        <v>2180</v>
      </c>
      <c r="AO362" t="s">
        <v>7533</v>
      </c>
      <c r="AP362" t="s">
        <v>7534</v>
      </c>
      <c r="AQ362" t="s">
        <v>74</v>
      </c>
      <c r="AR362" t="s">
        <v>7535</v>
      </c>
      <c r="AS362" t="s">
        <v>7536</v>
      </c>
      <c r="AT362" t="s">
        <v>74</v>
      </c>
      <c r="AU362">
        <v>2021</v>
      </c>
      <c r="AV362">
        <v>40</v>
      </c>
      <c r="AW362">
        <v>3</v>
      </c>
      <c r="AX362" t="s">
        <v>74</v>
      </c>
      <c r="AY362" t="s">
        <v>74</v>
      </c>
      <c r="AZ362" t="s">
        <v>74</v>
      </c>
      <c r="BA362" t="s">
        <v>74</v>
      </c>
      <c r="BB362">
        <v>4115</v>
      </c>
      <c r="BC362">
        <v>4133</v>
      </c>
      <c r="BD362" t="s">
        <v>74</v>
      </c>
      <c r="BE362" t="s">
        <v>7537</v>
      </c>
      <c r="BF362" t="str">
        <f>HYPERLINK("http://dx.doi.org/10.3233/JIFS-200682","http://dx.doi.org/10.3233/JIFS-200682")</f>
        <v>http://dx.doi.org/10.3233/JIFS-200682</v>
      </c>
      <c r="BG362" t="s">
        <v>74</v>
      </c>
      <c r="BH362" t="s">
        <v>74</v>
      </c>
      <c r="BI362">
        <v>19</v>
      </c>
      <c r="BJ362" t="s">
        <v>807</v>
      </c>
      <c r="BK362" t="s">
        <v>902</v>
      </c>
      <c r="BL362" t="s">
        <v>103</v>
      </c>
      <c r="BM362" t="s">
        <v>7538</v>
      </c>
      <c r="BN362" t="s">
        <v>74</v>
      </c>
      <c r="BO362" t="s">
        <v>74</v>
      </c>
      <c r="BP362" t="s">
        <v>74</v>
      </c>
      <c r="BQ362" t="s">
        <v>74</v>
      </c>
      <c r="BR362" t="s">
        <v>106</v>
      </c>
      <c r="BS362" t="s">
        <v>7539</v>
      </c>
      <c r="BT362" t="str">
        <f>HYPERLINK("https%3A%2F%2Fwww.webofscience.com%2Fwos%2Fwoscc%2Ffull-record%2FWOS:000626775000023","View Full Record in Web of Science")</f>
        <v>View Full Record in Web of Science</v>
      </c>
    </row>
    <row r="363" spans="1:72" x14ac:dyDescent="0.25">
      <c r="A363" t="s">
        <v>108</v>
      </c>
      <c r="B363" t="s">
        <v>7540</v>
      </c>
      <c r="C363" t="s">
        <v>74</v>
      </c>
      <c r="D363" t="s">
        <v>74</v>
      </c>
      <c r="E363" t="s">
        <v>465</v>
      </c>
      <c r="F363" t="s">
        <v>7541</v>
      </c>
      <c r="G363" t="s">
        <v>74</v>
      </c>
      <c r="H363" t="s">
        <v>74</v>
      </c>
      <c r="I363" t="s">
        <v>7542</v>
      </c>
      <c r="J363" t="s">
        <v>7543</v>
      </c>
      <c r="K363" t="s">
        <v>74</v>
      </c>
      <c r="L363" t="s">
        <v>74</v>
      </c>
      <c r="M363" t="s">
        <v>78</v>
      </c>
      <c r="N363" t="s">
        <v>115</v>
      </c>
      <c r="O363" t="s">
        <v>7544</v>
      </c>
      <c r="P363" t="s">
        <v>7545</v>
      </c>
      <c r="Q363" t="s">
        <v>7546</v>
      </c>
      <c r="R363" t="s">
        <v>7547</v>
      </c>
      <c r="S363" t="s">
        <v>74</v>
      </c>
      <c r="T363" t="s">
        <v>7548</v>
      </c>
      <c r="U363" t="s">
        <v>74</v>
      </c>
      <c r="V363" t="s">
        <v>7549</v>
      </c>
      <c r="W363" t="s">
        <v>7550</v>
      </c>
      <c r="X363" t="s">
        <v>7551</v>
      </c>
      <c r="Y363" t="s">
        <v>7552</v>
      </c>
      <c r="Z363" t="s">
        <v>7553</v>
      </c>
      <c r="AA363" t="s">
        <v>7554</v>
      </c>
      <c r="AB363" t="s">
        <v>74</v>
      </c>
      <c r="AC363" t="s">
        <v>74</v>
      </c>
      <c r="AD363" t="s">
        <v>74</v>
      </c>
      <c r="AE363" t="s">
        <v>74</v>
      </c>
      <c r="AF363" t="s">
        <v>74</v>
      </c>
      <c r="AG363">
        <v>14</v>
      </c>
      <c r="AH363">
        <v>0</v>
      </c>
      <c r="AI363">
        <v>0</v>
      </c>
      <c r="AJ363">
        <v>0</v>
      </c>
      <c r="AK363">
        <v>1</v>
      </c>
      <c r="AL363" t="s">
        <v>465</v>
      </c>
      <c r="AM363" t="s">
        <v>92</v>
      </c>
      <c r="AN363" t="s">
        <v>480</v>
      </c>
      <c r="AO363" t="s">
        <v>74</v>
      </c>
      <c r="AP363" t="s">
        <v>74</v>
      </c>
      <c r="AQ363" t="s">
        <v>7555</v>
      </c>
      <c r="AR363" t="s">
        <v>74</v>
      </c>
      <c r="AS363" t="s">
        <v>74</v>
      </c>
      <c r="AT363" t="s">
        <v>74</v>
      </c>
      <c r="AU363">
        <v>2015</v>
      </c>
      <c r="AV363" t="s">
        <v>74</v>
      </c>
      <c r="AW363" t="s">
        <v>74</v>
      </c>
      <c r="AX363" t="s">
        <v>74</v>
      </c>
      <c r="AY363" t="s">
        <v>74</v>
      </c>
      <c r="AZ363" t="s">
        <v>74</v>
      </c>
      <c r="BA363" t="s">
        <v>74</v>
      </c>
      <c r="BB363" t="s">
        <v>74</v>
      </c>
      <c r="BC363" t="s">
        <v>74</v>
      </c>
      <c r="BD363" t="s">
        <v>74</v>
      </c>
      <c r="BE363" t="s">
        <v>74</v>
      </c>
      <c r="BF363" t="s">
        <v>74</v>
      </c>
      <c r="BG363" t="s">
        <v>74</v>
      </c>
      <c r="BH363" t="s">
        <v>74</v>
      </c>
      <c r="BI363">
        <v>5</v>
      </c>
      <c r="BJ363" t="s">
        <v>2902</v>
      </c>
      <c r="BK363" t="s">
        <v>203</v>
      </c>
      <c r="BL363" t="s">
        <v>103</v>
      </c>
      <c r="BM363" t="s">
        <v>7556</v>
      </c>
      <c r="BN363" t="s">
        <v>74</v>
      </c>
      <c r="BO363" t="s">
        <v>74</v>
      </c>
      <c r="BP363" t="s">
        <v>74</v>
      </c>
      <c r="BQ363" t="s">
        <v>74</v>
      </c>
      <c r="BR363" t="s">
        <v>106</v>
      </c>
      <c r="BS363" t="s">
        <v>7557</v>
      </c>
      <c r="BT363" t="str">
        <f>HYPERLINK("https%3A%2F%2Fwww.webofscience.com%2Fwos%2Fwoscc%2Ffull-record%2FWOS:000380459100063","View Full Record in Web of Science")</f>
        <v>View Full Record in Web of Science</v>
      </c>
    </row>
    <row r="364" spans="1:72" x14ac:dyDescent="0.25">
      <c r="A364" t="s">
        <v>108</v>
      </c>
      <c r="B364" t="s">
        <v>7558</v>
      </c>
      <c r="C364" t="s">
        <v>74</v>
      </c>
      <c r="D364" t="s">
        <v>7559</v>
      </c>
      <c r="E364" t="s">
        <v>74</v>
      </c>
      <c r="F364" t="s">
        <v>7560</v>
      </c>
      <c r="G364" t="s">
        <v>74</v>
      </c>
      <c r="H364" t="s">
        <v>74</v>
      </c>
      <c r="I364" t="s">
        <v>7561</v>
      </c>
      <c r="J364" t="s">
        <v>7562</v>
      </c>
      <c r="K364" t="s">
        <v>147</v>
      </c>
      <c r="L364" t="s">
        <v>74</v>
      </c>
      <c r="M364" t="s">
        <v>78</v>
      </c>
      <c r="N364" t="s">
        <v>115</v>
      </c>
      <c r="O364" t="s">
        <v>7563</v>
      </c>
      <c r="P364" t="s">
        <v>7564</v>
      </c>
      <c r="Q364" t="s">
        <v>7565</v>
      </c>
      <c r="R364" t="s">
        <v>74</v>
      </c>
      <c r="S364" t="s">
        <v>74</v>
      </c>
      <c r="T364" t="s">
        <v>7566</v>
      </c>
      <c r="U364" t="s">
        <v>74</v>
      </c>
      <c r="V364" t="s">
        <v>7567</v>
      </c>
      <c r="W364" t="s">
        <v>7568</v>
      </c>
      <c r="X364" t="s">
        <v>7569</v>
      </c>
      <c r="Y364" t="s">
        <v>7570</v>
      </c>
      <c r="Z364" t="s">
        <v>7571</v>
      </c>
      <c r="AA364" t="s">
        <v>7572</v>
      </c>
      <c r="AB364" t="s">
        <v>74</v>
      </c>
      <c r="AC364" t="s">
        <v>7573</v>
      </c>
      <c r="AD364" t="s">
        <v>7574</v>
      </c>
      <c r="AE364" t="s">
        <v>7575</v>
      </c>
      <c r="AF364" t="s">
        <v>74</v>
      </c>
      <c r="AG364">
        <v>39</v>
      </c>
      <c r="AH364">
        <v>0</v>
      </c>
      <c r="AI364">
        <v>0</v>
      </c>
      <c r="AJ364">
        <v>1</v>
      </c>
      <c r="AK364">
        <v>1</v>
      </c>
      <c r="AL364" t="s">
        <v>2996</v>
      </c>
      <c r="AM364" t="s">
        <v>1814</v>
      </c>
      <c r="AN364" t="s">
        <v>2997</v>
      </c>
      <c r="AO364" t="s">
        <v>159</v>
      </c>
      <c r="AP364" t="s">
        <v>133</v>
      </c>
      <c r="AQ364" t="s">
        <v>7576</v>
      </c>
      <c r="AR364" t="s">
        <v>161</v>
      </c>
      <c r="AS364" t="s">
        <v>74</v>
      </c>
      <c r="AT364" t="s">
        <v>74</v>
      </c>
      <c r="AU364">
        <v>2026</v>
      </c>
      <c r="AV364">
        <v>16536</v>
      </c>
      <c r="AW364" t="s">
        <v>74</v>
      </c>
      <c r="AX364" t="s">
        <v>74</v>
      </c>
      <c r="AY364" t="s">
        <v>74</v>
      </c>
      <c r="AZ364" t="s">
        <v>74</v>
      </c>
      <c r="BA364" t="s">
        <v>74</v>
      </c>
      <c r="BB364">
        <v>266</v>
      </c>
      <c r="BC364">
        <v>282</v>
      </c>
      <c r="BD364" t="s">
        <v>74</v>
      </c>
      <c r="BE364" t="s">
        <v>7577</v>
      </c>
      <c r="BF364" t="str">
        <f>HYPERLINK("http://dx.doi.org/10.1007/978-981-92-0366-6_17","http://dx.doi.org/10.1007/978-981-92-0366-6_17")</f>
        <v>http://dx.doi.org/10.1007/978-981-92-0366-6_17</v>
      </c>
      <c r="BG364" t="s">
        <v>74</v>
      </c>
      <c r="BH364" t="s">
        <v>74</v>
      </c>
      <c r="BI364">
        <v>17</v>
      </c>
      <c r="BJ364" t="s">
        <v>1236</v>
      </c>
      <c r="BK364" t="s">
        <v>203</v>
      </c>
      <c r="BL364" t="s">
        <v>103</v>
      </c>
      <c r="BM364" t="s">
        <v>7578</v>
      </c>
      <c r="BN364" t="s">
        <v>74</v>
      </c>
      <c r="BO364" t="s">
        <v>74</v>
      </c>
      <c r="BP364" t="s">
        <v>74</v>
      </c>
      <c r="BQ364" t="s">
        <v>74</v>
      </c>
      <c r="BR364" t="s">
        <v>106</v>
      </c>
      <c r="BS364" t="s">
        <v>7579</v>
      </c>
      <c r="BT364" t="str">
        <f>HYPERLINK("https%3A%2F%2Fwww.webofscience.com%2Fwos%2Fwoscc%2Ffull-record%2FWOS:001794581400017","View Full Record in Web of Science")</f>
        <v>View Full Record in Web of Science</v>
      </c>
    </row>
    <row r="365" spans="1:72" x14ac:dyDescent="0.25">
      <c r="A365" t="s">
        <v>72</v>
      </c>
      <c r="B365" t="s">
        <v>7580</v>
      </c>
      <c r="C365" t="s">
        <v>74</v>
      </c>
      <c r="D365" t="s">
        <v>74</v>
      </c>
      <c r="E365" t="s">
        <v>74</v>
      </c>
      <c r="F365" t="s">
        <v>7581</v>
      </c>
      <c r="G365" t="s">
        <v>74</v>
      </c>
      <c r="H365" t="s">
        <v>74</v>
      </c>
      <c r="I365" t="s">
        <v>7582</v>
      </c>
      <c r="J365" t="s">
        <v>7583</v>
      </c>
      <c r="K365" t="s">
        <v>74</v>
      </c>
      <c r="L365" t="s">
        <v>74</v>
      </c>
      <c r="M365" t="s">
        <v>78</v>
      </c>
      <c r="N365" t="s">
        <v>7584</v>
      </c>
      <c r="O365" t="s">
        <v>7585</v>
      </c>
      <c r="P365" t="s">
        <v>7586</v>
      </c>
      <c r="Q365" t="s">
        <v>7587</v>
      </c>
      <c r="R365" t="s">
        <v>7588</v>
      </c>
      <c r="S365" t="s">
        <v>74</v>
      </c>
      <c r="T365" t="s">
        <v>7589</v>
      </c>
      <c r="U365" t="s">
        <v>7590</v>
      </c>
      <c r="V365" t="s">
        <v>7591</v>
      </c>
      <c r="W365" t="s">
        <v>7592</v>
      </c>
      <c r="X365" t="s">
        <v>7593</v>
      </c>
      <c r="Y365" t="s">
        <v>7594</v>
      </c>
      <c r="Z365" t="s">
        <v>7595</v>
      </c>
      <c r="AA365" t="s">
        <v>7596</v>
      </c>
      <c r="AB365" t="s">
        <v>7597</v>
      </c>
      <c r="AC365" t="s">
        <v>74</v>
      </c>
      <c r="AD365" t="s">
        <v>74</v>
      </c>
      <c r="AE365" t="s">
        <v>74</v>
      </c>
      <c r="AF365" t="s">
        <v>74</v>
      </c>
      <c r="AG365">
        <v>32</v>
      </c>
      <c r="AH365">
        <v>18</v>
      </c>
      <c r="AI365">
        <v>22</v>
      </c>
      <c r="AJ365">
        <v>0</v>
      </c>
      <c r="AK365">
        <v>20</v>
      </c>
      <c r="AL365" t="s">
        <v>178</v>
      </c>
      <c r="AM365" t="s">
        <v>92</v>
      </c>
      <c r="AN365" t="s">
        <v>179</v>
      </c>
      <c r="AO365" t="s">
        <v>7598</v>
      </c>
      <c r="AP365" t="s">
        <v>7599</v>
      </c>
      <c r="AQ365" t="s">
        <v>74</v>
      </c>
      <c r="AR365" t="s">
        <v>7600</v>
      </c>
      <c r="AS365" t="s">
        <v>7601</v>
      </c>
      <c r="AT365" t="s">
        <v>98</v>
      </c>
      <c r="AU365">
        <v>2018</v>
      </c>
      <c r="AV365">
        <v>23</v>
      </c>
      <c r="AW365">
        <v>6</v>
      </c>
      <c r="AX365" t="s">
        <v>74</v>
      </c>
      <c r="AY365" t="s">
        <v>74</v>
      </c>
      <c r="AZ365" t="s">
        <v>247</v>
      </c>
      <c r="BA365" t="s">
        <v>74</v>
      </c>
      <c r="BB365">
        <v>1715</v>
      </c>
      <c r="BC365">
        <v>1726</v>
      </c>
      <c r="BD365" t="s">
        <v>74</v>
      </c>
      <c r="BE365" t="s">
        <v>7602</v>
      </c>
      <c r="BF365" t="str">
        <f>HYPERLINK("http://dx.doi.org/10.1007/s11036-018-1067-2","http://dx.doi.org/10.1007/s11036-018-1067-2")</f>
        <v>http://dx.doi.org/10.1007/s11036-018-1067-2</v>
      </c>
      <c r="BG365" t="s">
        <v>74</v>
      </c>
      <c r="BH365" t="s">
        <v>74</v>
      </c>
      <c r="BI365">
        <v>12</v>
      </c>
      <c r="BJ365" t="s">
        <v>7603</v>
      </c>
      <c r="BK365" t="s">
        <v>7604</v>
      </c>
      <c r="BL365" t="s">
        <v>2422</v>
      </c>
      <c r="BM365" t="s">
        <v>7605</v>
      </c>
      <c r="BN365" t="s">
        <v>74</v>
      </c>
      <c r="BO365" t="s">
        <v>346</v>
      </c>
      <c r="BP365" t="s">
        <v>74</v>
      </c>
      <c r="BQ365" t="s">
        <v>74</v>
      </c>
      <c r="BR365" t="s">
        <v>106</v>
      </c>
      <c r="BS365" t="s">
        <v>7606</v>
      </c>
      <c r="BT365" t="str">
        <f>HYPERLINK("https%3A%2F%2Fwww.webofscience.com%2Fwos%2Fwoscc%2Ffull-record%2FWOS:000452319900027","View Full Record in Web of Science")</f>
        <v>View Full Record in Web of Science</v>
      </c>
    </row>
    <row r="366" spans="1:72" x14ac:dyDescent="0.25">
      <c r="A366" t="s">
        <v>108</v>
      </c>
      <c r="B366" t="s">
        <v>7607</v>
      </c>
      <c r="C366" t="s">
        <v>74</v>
      </c>
      <c r="D366" t="s">
        <v>7608</v>
      </c>
      <c r="E366" t="s">
        <v>74</v>
      </c>
      <c r="F366" t="s">
        <v>7609</v>
      </c>
      <c r="G366" t="s">
        <v>74</v>
      </c>
      <c r="H366" t="s">
        <v>74</v>
      </c>
      <c r="I366" t="s">
        <v>7610</v>
      </c>
      <c r="J366" t="s">
        <v>7611</v>
      </c>
      <c r="K366" t="s">
        <v>7612</v>
      </c>
      <c r="L366" t="s">
        <v>74</v>
      </c>
      <c r="M366" t="s">
        <v>78</v>
      </c>
      <c r="N366" t="s">
        <v>115</v>
      </c>
      <c r="O366" t="s">
        <v>7613</v>
      </c>
      <c r="P366" t="s">
        <v>7614</v>
      </c>
      <c r="Q366" t="s">
        <v>7615</v>
      </c>
      <c r="R366" t="s">
        <v>74</v>
      </c>
      <c r="S366" t="s">
        <v>74</v>
      </c>
      <c r="T366" t="s">
        <v>7616</v>
      </c>
      <c r="U366" t="s">
        <v>74</v>
      </c>
      <c r="V366" t="s">
        <v>7617</v>
      </c>
      <c r="W366" t="s">
        <v>7618</v>
      </c>
      <c r="X366" t="s">
        <v>6957</v>
      </c>
      <c r="Y366" t="s">
        <v>7619</v>
      </c>
      <c r="Z366" t="s">
        <v>74</v>
      </c>
      <c r="AA366" t="s">
        <v>74</v>
      </c>
      <c r="AB366" t="s">
        <v>74</v>
      </c>
      <c r="AC366" t="s">
        <v>7620</v>
      </c>
      <c r="AD366" t="s">
        <v>7621</v>
      </c>
      <c r="AE366" t="s">
        <v>7622</v>
      </c>
      <c r="AF366" t="s">
        <v>74</v>
      </c>
      <c r="AG366">
        <v>10</v>
      </c>
      <c r="AH366">
        <v>1</v>
      </c>
      <c r="AI366">
        <v>1</v>
      </c>
      <c r="AJ366">
        <v>0</v>
      </c>
      <c r="AK366">
        <v>1</v>
      </c>
      <c r="AL366" t="s">
        <v>2047</v>
      </c>
      <c r="AM366" t="s">
        <v>2048</v>
      </c>
      <c r="AN366" t="s">
        <v>2049</v>
      </c>
      <c r="AO366" t="s">
        <v>7623</v>
      </c>
      <c r="AP366" t="s">
        <v>74</v>
      </c>
      <c r="AQ366" t="s">
        <v>7624</v>
      </c>
      <c r="AR366" t="s">
        <v>7625</v>
      </c>
      <c r="AS366" t="s">
        <v>74</v>
      </c>
      <c r="AT366" t="s">
        <v>74</v>
      </c>
      <c r="AU366">
        <v>2017</v>
      </c>
      <c r="AV366" t="s">
        <v>74</v>
      </c>
      <c r="AW366" t="s">
        <v>74</v>
      </c>
      <c r="AX366" t="s">
        <v>74</v>
      </c>
      <c r="AY366" t="s">
        <v>74</v>
      </c>
      <c r="AZ366" t="s">
        <v>74</v>
      </c>
      <c r="BA366" t="s">
        <v>74</v>
      </c>
      <c r="BB366">
        <v>213</v>
      </c>
      <c r="BC366">
        <v>216</v>
      </c>
      <c r="BD366" t="s">
        <v>74</v>
      </c>
      <c r="BE366" t="s">
        <v>74</v>
      </c>
      <c r="BF366" t="s">
        <v>74</v>
      </c>
      <c r="BG366" t="s">
        <v>74</v>
      </c>
      <c r="BH366" t="s">
        <v>74</v>
      </c>
      <c r="BI366">
        <v>4</v>
      </c>
      <c r="BJ366" t="s">
        <v>7626</v>
      </c>
      <c r="BK366" t="s">
        <v>203</v>
      </c>
      <c r="BL366" t="s">
        <v>953</v>
      </c>
      <c r="BM366" t="s">
        <v>7627</v>
      </c>
      <c r="BN366" t="s">
        <v>74</v>
      </c>
      <c r="BO366" t="s">
        <v>74</v>
      </c>
      <c r="BP366" t="s">
        <v>74</v>
      </c>
      <c r="BQ366" t="s">
        <v>74</v>
      </c>
      <c r="BR366" t="s">
        <v>106</v>
      </c>
      <c r="BS366" t="s">
        <v>7628</v>
      </c>
      <c r="BT366" t="str">
        <f>HYPERLINK("https%3A%2F%2Fwww.webofscience.com%2Fwos%2Fwoscc%2Ffull-record%2FWOS:000426985800031","View Full Record in Web of Science")</f>
        <v>View Full Record in Web of Science</v>
      </c>
    </row>
    <row r="367" spans="1:72" x14ac:dyDescent="0.25">
      <c r="A367" t="s">
        <v>72</v>
      </c>
      <c r="B367" t="s">
        <v>7629</v>
      </c>
      <c r="C367" t="s">
        <v>74</v>
      </c>
      <c r="D367" t="s">
        <v>74</v>
      </c>
      <c r="E367" t="s">
        <v>74</v>
      </c>
      <c r="F367" t="s">
        <v>7630</v>
      </c>
      <c r="G367" t="s">
        <v>74</v>
      </c>
      <c r="H367" t="s">
        <v>74</v>
      </c>
      <c r="I367" t="s">
        <v>7631</v>
      </c>
      <c r="J367" t="s">
        <v>7632</v>
      </c>
      <c r="K367" t="s">
        <v>74</v>
      </c>
      <c r="L367" t="s">
        <v>74</v>
      </c>
      <c r="M367" t="s">
        <v>78</v>
      </c>
      <c r="N367" t="s">
        <v>79</v>
      </c>
      <c r="O367" t="s">
        <v>74</v>
      </c>
      <c r="P367" t="s">
        <v>74</v>
      </c>
      <c r="Q367" t="s">
        <v>74</v>
      </c>
      <c r="R367" t="s">
        <v>74</v>
      </c>
      <c r="S367" t="s">
        <v>74</v>
      </c>
      <c r="T367" t="s">
        <v>7633</v>
      </c>
      <c r="U367" t="s">
        <v>74</v>
      </c>
      <c r="V367" t="s">
        <v>7634</v>
      </c>
      <c r="W367" t="s">
        <v>7635</v>
      </c>
      <c r="X367" t="s">
        <v>7636</v>
      </c>
      <c r="Y367" t="s">
        <v>7637</v>
      </c>
      <c r="Z367" t="s">
        <v>7638</v>
      </c>
      <c r="AA367" t="s">
        <v>7639</v>
      </c>
      <c r="AB367" t="s">
        <v>7640</v>
      </c>
      <c r="AC367" t="s">
        <v>74</v>
      </c>
      <c r="AD367" t="s">
        <v>74</v>
      </c>
      <c r="AE367" t="s">
        <v>74</v>
      </c>
      <c r="AF367" t="s">
        <v>74</v>
      </c>
      <c r="AG367">
        <v>37</v>
      </c>
      <c r="AH367">
        <v>7</v>
      </c>
      <c r="AI367">
        <v>7</v>
      </c>
      <c r="AJ367">
        <v>1</v>
      </c>
      <c r="AK367">
        <v>28</v>
      </c>
      <c r="AL367" t="s">
        <v>7641</v>
      </c>
      <c r="AM367" t="s">
        <v>7642</v>
      </c>
      <c r="AN367" t="s">
        <v>7643</v>
      </c>
      <c r="AO367" t="s">
        <v>74</v>
      </c>
      <c r="AP367" t="s">
        <v>7644</v>
      </c>
      <c r="AQ367" t="s">
        <v>74</v>
      </c>
      <c r="AR367" t="s">
        <v>7645</v>
      </c>
      <c r="AS367" t="s">
        <v>7646</v>
      </c>
      <c r="AT367" t="s">
        <v>7647</v>
      </c>
      <c r="AU367">
        <v>2021</v>
      </c>
      <c r="AV367">
        <v>11</v>
      </c>
      <c r="AW367" t="s">
        <v>74</v>
      </c>
      <c r="AX367" t="s">
        <v>74</v>
      </c>
      <c r="AY367" t="s">
        <v>74</v>
      </c>
      <c r="AZ367" t="s">
        <v>74</v>
      </c>
      <c r="BA367" t="s">
        <v>74</v>
      </c>
      <c r="BB367" t="s">
        <v>74</v>
      </c>
      <c r="BC367" t="s">
        <v>74</v>
      </c>
      <c r="BD367">
        <v>18</v>
      </c>
      <c r="BE367" t="s">
        <v>7648</v>
      </c>
      <c r="BF367" t="str">
        <f>HYPERLINK("http://dx.doi.org/10.22967/HCIS.2021.11.018","http://dx.doi.org/10.22967/HCIS.2021.11.018")</f>
        <v>http://dx.doi.org/10.22967/HCIS.2021.11.018</v>
      </c>
      <c r="BG367" t="s">
        <v>74</v>
      </c>
      <c r="BH367" t="s">
        <v>74</v>
      </c>
      <c r="BI367">
        <v>19</v>
      </c>
      <c r="BJ367" t="s">
        <v>852</v>
      </c>
      <c r="BK367" t="s">
        <v>902</v>
      </c>
      <c r="BL367" t="s">
        <v>103</v>
      </c>
      <c r="BM367" t="s">
        <v>7649</v>
      </c>
      <c r="BN367" t="s">
        <v>74</v>
      </c>
      <c r="BO367" t="s">
        <v>74</v>
      </c>
      <c r="BP367" t="s">
        <v>74</v>
      </c>
      <c r="BQ367" t="s">
        <v>74</v>
      </c>
      <c r="BR367" t="s">
        <v>106</v>
      </c>
      <c r="BS367" t="s">
        <v>7650</v>
      </c>
      <c r="BT367" t="str">
        <f>HYPERLINK("https%3A%2F%2Fwww.webofscience.com%2Fwos%2Fwoscc%2Ffull-record%2FWOS:000668122500001","View Full Record in Web of Science")</f>
        <v>View Full Record in Web of Science</v>
      </c>
    </row>
    <row r="368" spans="1:72" x14ac:dyDescent="0.25">
      <c r="A368" t="s">
        <v>108</v>
      </c>
      <c r="B368" t="s">
        <v>7651</v>
      </c>
      <c r="C368" t="s">
        <v>74</v>
      </c>
      <c r="D368" t="s">
        <v>7652</v>
      </c>
      <c r="E368" t="s">
        <v>74</v>
      </c>
      <c r="F368" t="s">
        <v>7653</v>
      </c>
      <c r="G368" t="s">
        <v>74</v>
      </c>
      <c r="H368" t="s">
        <v>74</v>
      </c>
      <c r="I368" t="s">
        <v>7654</v>
      </c>
      <c r="J368" t="s">
        <v>7655</v>
      </c>
      <c r="K368" t="s">
        <v>147</v>
      </c>
      <c r="L368" t="s">
        <v>74</v>
      </c>
      <c r="M368" t="s">
        <v>78</v>
      </c>
      <c r="N368" t="s">
        <v>115</v>
      </c>
      <c r="O368" t="s">
        <v>7656</v>
      </c>
      <c r="P368" t="s">
        <v>7657</v>
      </c>
      <c r="Q368" t="s">
        <v>7658</v>
      </c>
      <c r="R368" t="s">
        <v>7659</v>
      </c>
      <c r="S368" t="s">
        <v>74</v>
      </c>
      <c r="T368" t="s">
        <v>74</v>
      </c>
      <c r="U368" t="s">
        <v>74</v>
      </c>
      <c r="V368" t="s">
        <v>7660</v>
      </c>
      <c r="W368" t="s">
        <v>7661</v>
      </c>
      <c r="X368" t="s">
        <v>7662</v>
      </c>
      <c r="Y368" t="s">
        <v>7663</v>
      </c>
      <c r="Z368" t="s">
        <v>7664</v>
      </c>
      <c r="AA368" t="s">
        <v>74</v>
      </c>
      <c r="AB368" t="s">
        <v>74</v>
      </c>
      <c r="AC368" t="s">
        <v>74</v>
      </c>
      <c r="AD368" t="s">
        <v>74</v>
      </c>
      <c r="AE368" t="s">
        <v>74</v>
      </c>
      <c r="AF368" t="s">
        <v>74</v>
      </c>
      <c r="AG368">
        <v>7</v>
      </c>
      <c r="AH368">
        <v>12</v>
      </c>
      <c r="AI368">
        <v>16</v>
      </c>
      <c r="AJ368">
        <v>0</v>
      </c>
      <c r="AK368">
        <v>0</v>
      </c>
      <c r="AL368" t="s">
        <v>197</v>
      </c>
      <c r="AM368" t="s">
        <v>198</v>
      </c>
      <c r="AN368" t="s">
        <v>199</v>
      </c>
      <c r="AO368" t="s">
        <v>159</v>
      </c>
      <c r="AP368" t="s">
        <v>133</v>
      </c>
      <c r="AQ368" t="s">
        <v>7665</v>
      </c>
      <c r="AR368" t="s">
        <v>161</v>
      </c>
      <c r="AS368" t="s">
        <v>74</v>
      </c>
      <c r="AT368" t="s">
        <v>74</v>
      </c>
      <c r="AU368">
        <v>2006</v>
      </c>
      <c r="AV368">
        <v>4273</v>
      </c>
      <c r="AW368" t="s">
        <v>74</v>
      </c>
      <c r="AX368" t="s">
        <v>74</v>
      </c>
      <c r="AY368" t="s">
        <v>74</v>
      </c>
      <c r="AZ368" t="s">
        <v>74</v>
      </c>
      <c r="BA368" t="s">
        <v>74</v>
      </c>
      <c r="BB368">
        <v>515</v>
      </c>
      <c r="BC368" t="s">
        <v>5459</v>
      </c>
      <c r="BD368" t="s">
        <v>74</v>
      </c>
      <c r="BE368" t="s">
        <v>74</v>
      </c>
      <c r="BF368" t="s">
        <v>74</v>
      </c>
      <c r="BG368" t="s">
        <v>74</v>
      </c>
      <c r="BH368" t="s">
        <v>74</v>
      </c>
      <c r="BI368">
        <v>2</v>
      </c>
      <c r="BJ368" t="s">
        <v>1399</v>
      </c>
      <c r="BK368" t="s">
        <v>203</v>
      </c>
      <c r="BL368" t="s">
        <v>103</v>
      </c>
      <c r="BM368" t="s">
        <v>7666</v>
      </c>
      <c r="BN368" t="s">
        <v>74</v>
      </c>
      <c r="BO368" t="s">
        <v>74</v>
      </c>
      <c r="BP368" t="s">
        <v>74</v>
      </c>
      <c r="BQ368" t="s">
        <v>74</v>
      </c>
      <c r="BR368" t="s">
        <v>106</v>
      </c>
      <c r="BS368" t="s">
        <v>7667</v>
      </c>
      <c r="BT368" t="str">
        <f>HYPERLINK("https%3A%2F%2Fwww.webofscience.com%2Fwos%2Fwoscc%2Ffull-record%2FWOS:000243131100037","View Full Record in Web of Science")</f>
        <v>View Full Record in Web of Science</v>
      </c>
    </row>
    <row r="369" spans="1:72" x14ac:dyDescent="0.25">
      <c r="A369" t="s">
        <v>108</v>
      </c>
      <c r="B369" t="s">
        <v>7668</v>
      </c>
      <c r="C369" t="s">
        <v>74</v>
      </c>
      <c r="D369" t="s">
        <v>7669</v>
      </c>
      <c r="E369" t="s">
        <v>74</v>
      </c>
      <c r="F369" t="s">
        <v>7670</v>
      </c>
      <c r="G369" t="s">
        <v>74</v>
      </c>
      <c r="H369" t="s">
        <v>74</v>
      </c>
      <c r="I369" t="s">
        <v>7671</v>
      </c>
      <c r="J369" t="s">
        <v>7672</v>
      </c>
      <c r="K369" t="s">
        <v>2682</v>
      </c>
      <c r="L369" t="s">
        <v>74</v>
      </c>
      <c r="M369" t="s">
        <v>78</v>
      </c>
      <c r="N369" t="s">
        <v>115</v>
      </c>
      <c r="O369" t="s">
        <v>7673</v>
      </c>
      <c r="P369" t="s">
        <v>7674</v>
      </c>
      <c r="Q369" t="s">
        <v>7675</v>
      </c>
      <c r="R369" t="s">
        <v>7676</v>
      </c>
      <c r="S369" t="s">
        <v>7677</v>
      </c>
      <c r="T369" t="s">
        <v>7678</v>
      </c>
      <c r="U369" t="s">
        <v>74</v>
      </c>
      <c r="V369" t="s">
        <v>7679</v>
      </c>
      <c r="W369" t="s">
        <v>7680</v>
      </c>
      <c r="X369" t="s">
        <v>5515</v>
      </c>
      <c r="Y369" t="s">
        <v>7681</v>
      </c>
      <c r="Z369" t="s">
        <v>7682</v>
      </c>
      <c r="AA369" t="s">
        <v>7683</v>
      </c>
      <c r="AB369" t="s">
        <v>7684</v>
      </c>
      <c r="AC369" t="s">
        <v>7685</v>
      </c>
      <c r="AD369" t="s">
        <v>7686</v>
      </c>
      <c r="AE369" t="s">
        <v>7687</v>
      </c>
      <c r="AF369" t="s">
        <v>74</v>
      </c>
      <c r="AG369">
        <v>18</v>
      </c>
      <c r="AH369">
        <v>4</v>
      </c>
      <c r="AI369">
        <v>4</v>
      </c>
      <c r="AJ369">
        <v>0</v>
      </c>
      <c r="AK369">
        <v>1</v>
      </c>
      <c r="AL369" t="s">
        <v>362</v>
      </c>
      <c r="AM369" t="s">
        <v>363</v>
      </c>
      <c r="AN369" t="s">
        <v>7688</v>
      </c>
      <c r="AO369" t="s">
        <v>2697</v>
      </c>
      <c r="AP369" t="s">
        <v>74</v>
      </c>
      <c r="AQ369" t="s">
        <v>74</v>
      </c>
      <c r="AR369" t="s">
        <v>2698</v>
      </c>
      <c r="AS369" t="s">
        <v>74</v>
      </c>
      <c r="AT369" t="s">
        <v>74</v>
      </c>
      <c r="AU369">
        <v>2019</v>
      </c>
      <c r="AV369">
        <v>156</v>
      </c>
      <c r="AW369" t="s">
        <v>74</v>
      </c>
      <c r="AX369" t="s">
        <v>74</v>
      </c>
      <c r="AY369" t="s">
        <v>74</v>
      </c>
      <c r="AZ369" t="s">
        <v>74</v>
      </c>
      <c r="BA369" t="s">
        <v>74</v>
      </c>
      <c r="BB369">
        <v>166</v>
      </c>
      <c r="BC369">
        <v>175</v>
      </c>
      <c r="BD369" t="s">
        <v>74</v>
      </c>
      <c r="BE369" t="s">
        <v>7689</v>
      </c>
      <c r="BF369" t="str">
        <f>HYPERLINK("http://dx.doi.org/10.1016/j.procs.2019.08.192","http://dx.doi.org/10.1016/j.procs.2019.08.192")</f>
        <v>http://dx.doi.org/10.1016/j.procs.2019.08.192</v>
      </c>
      <c r="BG369" t="s">
        <v>74</v>
      </c>
      <c r="BH369" t="s">
        <v>74</v>
      </c>
      <c r="BI369">
        <v>10</v>
      </c>
      <c r="BJ369" t="s">
        <v>7690</v>
      </c>
      <c r="BK369" t="s">
        <v>203</v>
      </c>
      <c r="BL369" t="s">
        <v>6015</v>
      </c>
      <c r="BM369" t="s">
        <v>7691</v>
      </c>
      <c r="BN369" t="s">
        <v>74</v>
      </c>
      <c r="BO369" t="s">
        <v>372</v>
      </c>
      <c r="BP369" t="s">
        <v>74</v>
      </c>
      <c r="BQ369" t="s">
        <v>74</v>
      </c>
      <c r="BR369" t="s">
        <v>106</v>
      </c>
      <c r="BS369" t="s">
        <v>7692</v>
      </c>
      <c r="BT369" t="str">
        <f>HYPERLINK("https%3A%2F%2Fwww.webofscience.com%2Fwos%2Fwoscc%2Ffull-record%2FWOS:000635440400021","View Full Record in Web of Science")</f>
        <v>View Full Record in Web of Science</v>
      </c>
    </row>
    <row r="370" spans="1:72" x14ac:dyDescent="0.25">
      <c r="A370" t="s">
        <v>108</v>
      </c>
      <c r="B370" t="s">
        <v>7693</v>
      </c>
      <c r="C370" t="s">
        <v>74</v>
      </c>
      <c r="D370" t="s">
        <v>7694</v>
      </c>
      <c r="E370" t="s">
        <v>74</v>
      </c>
      <c r="F370" t="s">
        <v>7695</v>
      </c>
      <c r="G370" t="s">
        <v>74</v>
      </c>
      <c r="H370" t="s">
        <v>74</v>
      </c>
      <c r="I370" t="s">
        <v>7696</v>
      </c>
      <c r="J370" t="s">
        <v>7697</v>
      </c>
      <c r="K370" t="s">
        <v>74</v>
      </c>
      <c r="L370" t="s">
        <v>74</v>
      </c>
      <c r="M370" t="s">
        <v>78</v>
      </c>
      <c r="N370" t="s">
        <v>115</v>
      </c>
      <c r="O370" t="s">
        <v>7698</v>
      </c>
      <c r="P370" t="s">
        <v>7699</v>
      </c>
      <c r="Q370" t="s">
        <v>7700</v>
      </c>
      <c r="R370" t="s">
        <v>7701</v>
      </c>
      <c r="S370" t="s">
        <v>74</v>
      </c>
      <c r="T370" t="s">
        <v>74</v>
      </c>
      <c r="U370" t="s">
        <v>74</v>
      </c>
      <c r="V370" t="s">
        <v>7702</v>
      </c>
      <c r="W370" t="s">
        <v>7703</v>
      </c>
      <c r="X370" t="s">
        <v>7704</v>
      </c>
      <c r="Y370" t="s">
        <v>7705</v>
      </c>
      <c r="Z370" t="s">
        <v>7706</v>
      </c>
      <c r="AA370" t="s">
        <v>7707</v>
      </c>
      <c r="AB370" t="s">
        <v>7708</v>
      </c>
      <c r="AC370" t="s">
        <v>7709</v>
      </c>
      <c r="AD370" t="s">
        <v>7710</v>
      </c>
      <c r="AE370" t="s">
        <v>7711</v>
      </c>
      <c r="AF370" t="s">
        <v>74</v>
      </c>
      <c r="AG370">
        <v>26</v>
      </c>
      <c r="AH370">
        <v>85</v>
      </c>
      <c r="AI370">
        <v>95</v>
      </c>
      <c r="AJ370">
        <v>0</v>
      </c>
      <c r="AK370">
        <v>8</v>
      </c>
      <c r="AL370" t="s">
        <v>3891</v>
      </c>
      <c r="AM370" t="s">
        <v>3892</v>
      </c>
      <c r="AN370" t="s">
        <v>3893</v>
      </c>
      <c r="AO370" t="s">
        <v>74</v>
      </c>
      <c r="AP370" t="s">
        <v>74</v>
      </c>
      <c r="AQ370" t="s">
        <v>7712</v>
      </c>
      <c r="AR370" t="s">
        <v>74</v>
      </c>
      <c r="AS370" t="s">
        <v>74</v>
      </c>
      <c r="AT370" t="s">
        <v>74</v>
      </c>
      <c r="AU370">
        <v>2019</v>
      </c>
      <c r="AV370" t="s">
        <v>74</v>
      </c>
      <c r="AW370" t="s">
        <v>74</v>
      </c>
      <c r="AX370" t="s">
        <v>74</v>
      </c>
      <c r="AY370" t="s">
        <v>74</v>
      </c>
      <c r="AZ370" t="s">
        <v>74</v>
      </c>
      <c r="BA370" t="s">
        <v>74</v>
      </c>
      <c r="BB370">
        <v>2116</v>
      </c>
      <c r="BC370">
        <v>2122</v>
      </c>
      <c r="BD370" t="s">
        <v>74</v>
      </c>
      <c r="BE370" t="s">
        <v>74</v>
      </c>
      <c r="BF370" t="s">
        <v>74</v>
      </c>
      <c r="BG370" t="s">
        <v>74</v>
      </c>
      <c r="BH370" t="s">
        <v>74</v>
      </c>
      <c r="BI370">
        <v>7</v>
      </c>
      <c r="BJ370" t="s">
        <v>7124</v>
      </c>
      <c r="BK370" t="s">
        <v>203</v>
      </c>
      <c r="BL370" t="s">
        <v>103</v>
      </c>
      <c r="BM370" t="s">
        <v>7713</v>
      </c>
      <c r="BN370" t="s">
        <v>74</v>
      </c>
      <c r="BO370" t="s">
        <v>74</v>
      </c>
      <c r="BP370" t="s">
        <v>74</v>
      </c>
      <c r="BQ370" t="s">
        <v>74</v>
      </c>
      <c r="BR370" t="s">
        <v>106</v>
      </c>
      <c r="BS370" t="s">
        <v>7714</v>
      </c>
      <c r="BT370" t="str">
        <f>HYPERLINK("https%3A%2F%2Fwww.webofscience.com%2Fwos%2Fwoscc%2Ffull-record%2FWOS:000761735102036","View Full Record in Web of Science")</f>
        <v>View Full Record in Web of Science</v>
      </c>
    </row>
    <row r="371" spans="1:72" x14ac:dyDescent="0.25">
      <c r="A371" t="s">
        <v>108</v>
      </c>
      <c r="B371" t="s">
        <v>7715</v>
      </c>
      <c r="C371" t="s">
        <v>74</v>
      </c>
      <c r="D371" t="s">
        <v>1285</v>
      </c>
      <c r="E371" t="s">
        <v>74</v>
      </c>
      <c r="F371" t="s">
        <v>7716</v>
      </c>
      <c r="G371" t="s">
        <v>74</v>
      </c>
      <c r="H371" t="s">
        <v>74</v>
      </c>
      <c r="I371" t="s">
        <v>7717</v>
      </c>
      <c r="J371" t="s">
        <v>1288</v>
      </c>
      <c r="K371" t="s">
        <v>74</v>
      </c>
      <c r="L371" t="s">
        <v>74</v>
      </c>
      <c r="M371" t="s">
        <v>78</v>
      </c>
      <c r="N371" t="s">
        <v>115</v>
      </c>
      <c r="O371" t="s">
        <v>1289</v>
      </c>
      <c r="P371" t="s">
        <v>1290</v>
      </c>
      <c r="Q371" t="s">
        <v>1291</v>
      </c>
      <c r="R371" t="s">
        <v>1292</v>
      </c>
      <c r="S371" t="s">
        <v>74</v>
      </c>
      <c r="T371" t="s">
        <v>7718</v>
      </c>
      <c r="U371" t="s">
        <v>1723</v>
      </c>
      <c r="V371" t="s">
        <v>7719</v>
      </c>
      <c r="W371" t="s">
        <v>7720</v>
      </c>
      <c r="X371" t="s">
        <v>2850</v>
      </c>
      <c r="Y371" t="s">
        <v>7721</v>
      </c>
      <c r="Z371" t="s">
        <v>7722</v>
      </c>
      <c r="AA371" t="s">
        <v>7723</v>
      </c>
      <c r="AB371" t="s">
        <v>74</v>
      </c>
      <c r="AC371" t="s">
        <v>74</v>
      </c>
      <c r="AD371" t="s">
        <v>74</v>
      </c>
      <c r="AE371" t="s">
        <v>74</v>
      </c>
      <c r="AF371" t="s">
        <v>74</v>
      </c>
      <c r="AG371">
        <v>34</v>
      </c>
      <c r="AH371">
        <v>9</v>
      </c>
      <c r="AI371">
        <v>10</v>
      </c>
      <c r="AJ371">
        <v>0</v>
      </c>
      <c r="AK371">
        <v>4</v>
      </c>
      <c r="AL371" t="s">
        <v>465</v>
      </c>
      <c r="AM371" t="s">
        <v>92</v>
      </c>
      <c r="AN371" t="s">
        <v>480</v>
      </c>
      <c r="AO371" t="s">
        <v>74</v>
      </c>
      <c r="AP371" t="s">
        <v>74</v>
      </c>
      <c r="AQ371" t="s">
        <v>1299</v>
      </c>
      <c r="AR371" t="s">
        <v>74</v>
      </c>
      <c r="AS371" t="s">
        <v>74</v>
      </c>
      <c r="AT371" t="s">
        <v>74</v>
      </c>
      <c r="AU371">
        <v>2015</v>
      </c>
      <c r="AV371" t="s">
        <v>74</v>
      </c>
      <c r="AW371" t="s">
        <v>74</v>
      </c>
      <c r="AX371" t="s">
        <v>74</v>
      </c>
      <c r="AY371" t="s">
        <v>74</v>
      </c>
      <c r="AZ371" t="s">
        <v>74</v>
      </c>
      <c r="BA371" t="s">
        <v>74</v>
      </c>
      <c r="BB371">
        <v>1410</v>
      </c>
      <c r="BC371">
        <v>1416</v>
      </c>
      <c r="BD371" t="s">
        <v>74</v>
      </c>
      <c r="BE371" t="s">
        <v>7724</v>
      </c>
      <c r="BF371" t="str">
        <f>HYPERLINK("http://dx.doi.org/10.1109/ICDMW.2015.160","http://dx.doi.org/10.1109/ICDMW.2015.160")</f>
        <v>http://dx.doi.org/10.1109/ICDMW.2015.160</v>
      </c>
      <c r="BG371" t="s">
        <v>74</v>
      </c>
      <c r="BH371" t="s">
        <v>74</v>
      </c>
      <c r="BI371">
        <v>7</v>
      </c>
      <c r="BJ371" t="s">
        <v>952</v>
      </c>
      <c r="BK371" t="s">
        <v>203</v>
      </c>
      <c r="BL371" t="s">
        <v>953</v>
      </c>
      <c r="BM371" t="s">
        <v>1301</v>
      </c>
      <c r="BN371" t="s">
        <v>74</v>
      </c>
      <c r="BO371" t="s">
        <v>346</v>
      </c>
      <c r="BP371" t="s">
        <v>74</v>
      </c>
      <c r="BQ371" t="s">
        <v>74</v>
      </c>
      <c r="BR371" t="s">
        <v>106</v>
      </c>
      <c r="BS371" t="s">
        <v>7725</v>
      </c>
      <c r="BT371" t="str">
        <f>HYPERLINK("https%3A%2F%2Fwww.webofscience.com%2Fwos%2Fwoscc%2Ffull-record%2FWOS:000380556700192","View Full Record in Web of Science")</f>
        <v>View Full Record in Web of Science</v>
      </c>
    </row>
    <row r="372" spans="1:72" x14ac:dyDescent="0.25">
      <c r="A372" t="s">
        <v>72</v>
      </c>
      <c r="B372" t="s">
        <v>7726</v>
      </c>
      <c r="C372" t="s">
        <v>74</v>
      </c>
      <c r="D372" t="s">
        <v>74</v>
      </c>
      <c r="E372" t="s">
        <v>74</v>
      </c>
      <c r="F372" t="s">
        <v>7727</v>
      </c>
      <c r="G372" t="s">
        <v>74</v>
      </c>
      <c r="H372" t="s">
        <v>74</v>
      </c>
      <c r="I372" t="s">
        <v>7728</v>
      </c>
      <c r="J372" t="s">
        <v>3087</v>
      </c>
      <c r="K372" t="s">
        <v>74</v>
      </c>
      <c r="L372" t="s">
        <v>74</v>
      </c>
      <c r="M372" t="s">
        <v>78</v>
      </c>
      <c r="N372" t="s">
        <v>79</v>
      </c>
      <c r="O372" t="s">
        <v>74</v>
      </c>
      <c r="P372" t="s">
        <v>74</v>
      </c>
      <c r="Q372" t="s">
        <v>74</v>
      </c>
      <c r="R372" t="s">
        <v>74</v>
      </c>
      <c r="S372" t="s">
        <v>74</v>
      </c>
      <c r="T372" t="s">
        <v>7729</v>
      </c>
      <c r="U372" t="s">
        <v>74</v>
      </c>
      <c r="V372" t="s">
        <v>7730</v>
      </c>
      <c r="W372" t="s">
        <v>7731</v>
      </c>
      <c r="X372" t="s">
        <v>7732</v>
      </c>
      <c r="Y372" t="s">
        <v>7733</v>
      </c>
      <c r="Z372" t="s">
        <v>7734</v>
      </c>
      <c r="AA372" t="s">
        <v>7735</v>
      </c>
      <c r="AB372" t="s">
        <v>74</v>
      </c>
      <c r="AC372" t="s">
        <v>7736</v>
      </c>
      <c r="AD372" t="s">
        <v>7737</v>
      </c>
      <c r="AE372" t="s">
        <v>7738</v>
      </c>
      <c r="AF372" t="s">
        <v>74</v>
      </c>
      <c r="AG372">
        <v>27</v>
      </c>
      <c r="AH372">
        <v>18</v>
      </c>
      <c r="AI372">
        <v>19</v>
      </c>
      <c r="AJ372">
        <v>2</v>
      </c>
      <c r="AK372">
        <v>18</v>
      </c>
      <c r="AL372" t="s">
        <v>1272</v>
      </c>
      <c r="AM372" t="s">
        <v>1273</v>
      </c>
      <c r="AN372" t="s">
        <v>3098</v>
      </c>
      <c r="AO372" t="s">
        <v>3099</v>
      </c>
      <c r="AP372" t="s">
        <v>74</v>
      </c>
      <c r="AQ372" t="s">
        <v>74</v>
      </c>
      <c r="AR372" t="s">
        <v>3100</v>
      </c>
      <c r="AS372" t="s">
        <v>3101</v>
      </c>
      <c r="AT372" t="s">
        <v>223</v>
      </c>
      <c r="AU372">
        <v>2019</v>
      </c>
      <c r="AV372">
        <v>21</v>
      </c>
      <c r="AW372">
        <v>3</v>
      </c>
      <c r="AX372" t="s">
        <v>74</v>
      </c>
      <c r="AY372" t="s">
        <v>74</v>
      </c>
      <c r="AZ372" t="s">
        <v>74</v>
      </c>
      <c r="BA372" t="s">
        <v>74</v>
      </c>
      <c r="BB372" t="s">
        <v>74</v>
      </c>
      <c r="BC372" t="s">
        <v>74</v>
      </c>
      <c r="BD372">
        <v>254</v>
      </c>
      <c r="BE372" t="s">
        <v>7739</v>
      </c>
      <c r="BF372" t="str">
        <f>HYPERLINK("http://dx.doi.org/10.3390/e21030254","http://dx.doi.org/10.3390/e21030254")</f>
        <v>http://dx.doi.org/10.3390/e21030254</v>
      </c>
      <c r="BG372" t="s">
        <v>74</v>
      </c>
      <c r="BH372" t="s">
        <v>74</v>
      </c>
      <c r="BI372">
        <v>13</v>
      </c>
      <c r="BJ372" t="s">
        <v>3103</v>
      </c>
      <c r="BK372" t="s">
        <v>902</v>
      </c>
      <c r="BL372" t="s">
        <v>3104</v>
      </c>
      <c r="BM372" t="s">
        <v>7740</v>
      </c>
      <c r="BN372" t="s">
        <v>74</v>
      </c>
      <c r="BO372" t="s">
        <v>398</v>
      </c>
      <c r="BP372" t="s">
        <v>74</v>
      </c>
      <c r="BQ372" t="s">
        <v>74</v>
      </c>
      <c r="BR372" t="s">
        <v>106</v>
      </c>
      <c r="BS372" t="s">
        <v>7741</v>
      </c>
      <c r="BT372" t="str">
        <f>HYPERLINK("https%3A%2F%2Fwww.webofscience.com%2Fwos%2Fwoscc%2Ffull-record%2FWOS:000465594700005","View Full Record in Web of Science")</f>
        <v>View Full Record in Web of Science</v>
      </c>
    </row>
    <row r="373" spans="1:72" x14ac:dyDescent="0.25">
      <c r="A373" t="s">
        <v>108</v>
      </c>
      <c r="B373" t="s">
        <v>7742</v>
      </c>
      <c r="C373" t="s">
        <v>74</v>
      </c>
      <c r="D373" t="s">
        <v>74</v>
      </c>
      <c r="E373" t="s">
        <v>322</v>
      </c>
      <c r="F373" t="s">
        <v>7743</v>
      </c>
      <c r="G373" t="s">
        <v>74</v>
      </c>
      <c r="H373" t="s">
        <v>74</v>
      </c>
      <c r="I373" t="s">
        <v>7744</v>
      </c>
      <c r="J373" t="s">
        <v>7745</v>
      </c>
      <c r="K373" t="s">
        <v>74</v>
      </c>
      <c r="L373" t="s">
        <v>74</v>
      </c>
      <c r="M373" t="s">
        <v>78</v>
      </c>
      <c r="N373" t="s">
        <v>115</v>
      </c>
      <c r="O373" t="s">
        <v>7746</v>
      </c>
      <c r="P373" t="s">
        <v>7747</v>
      </c>
      <c r="Q373" t="s">
        <v>7748</v>
      </c>
      <c r="R373" t="s">
        <v>7749</v>
      </c>
      <c r="S373" t="s">
        <v>74</v>
      </c>
      <c r="T373" t="s">
        <v>7750</v>
      </c>
      <c r="U373" t="s">
        <v>74</v>
      </c>
      <c r="V373" t="s">
        <v>7751</v>
      </c>
      <c r="W373" t="s">
        <v>7752</v>
      </c>
      <c r="X373" t="s">
        <v>7753</v>
      </c>
      <c r="Y373" t="s">
        <v>7754</v>
      </c>
      <c r="Z373" t="s">
        <v>7755</v>
      </c>
      <c r="AA373" t="s">
        <v>7756</v>
      </c>
      <c r="AB373" t="s">
        <v>7757</v>
      </c>
      <c r="AC373" t="s">
        <v>74</v>
      </c>
      <c r="AD373" t="s">
        <v>74</v>
      </c>
      <c r="AE373" t="s">
        <v>74</v>
      </c>
      <c r="AF373" t="s">
        <v>74</v>
      </c>
      <c r="AG373">
        <v>11</v>
      </c>
      <c r="AH373">
        <v>0</v>
      </c>
      <c r="AI373">
        <v>0</v>
      </c>
      <c r="AJ373">
        <v>0</v>
      </c>
      <c r="AK373">
        <v>0</v>
      </c>
      <c r="AL373" t="s">
        <v>291</v>
      </c>
      <c r="AM373" t="s">
        <v>92</v>
      </c>
      <c r="AN373" t="s">
        <v>341</v>
      </c>
      <c r="AO373" t="s">
        <v>74</v>
      </c>
      <c r="AP373" t="s">
        <v>74</v>
      </c>
      <c r="AQ373" t="s">
        <v>7758</v>
      </c>
      <c r="AR373" t="s">
        <v>74</v>
      </c>
      <c r="AS373" t="s">
        <v>74</v>
      </c>
      <c r="AT373" t="s">
        <v>74</v>
      </c>
      <c r="AU373">
        <v>2025</v>
      </c>
      <c r="AV373" t="s">
        <v>74</v>
      </c>
      <c r="AW373" t="s">
        <v>74</v>
      </c>
      <c r="AX373" t="s">
        <v>74</v>
      </c>
      <c r="AY373" t="s">
        <v>74</v>
      </c>
      <c r="AZ373" t="s">
        <v>74</v>
      </c>
      <c r="BA373" t="s">
        <v>74</v>
      </c>
      <c r="BB373" t="s">
        <v>74</v>
      </c>
      <c r="BC373" t="s">
        <v>74</v>
      </c>
      <c r="BD373" t="s">
        <v>74</v>
      </c>
      <c r="BE373" t="s">
        <v>7759</v>
      </c>
      <c r="BF373" t="str">
        <f>HYPERLINK("http://dx.doi.org/10.1145/3706599.3721169","http://dx.doi.org/10.1145/3706599.3721169")</f>
        <v>http://dx.doi.org/10.1145/3706599.3721169</v>
      </c>
      <c r="BG373" t="s">
        <v>74</v>
      </c>
      <c r="BH373" t="s">
        <v>74</v>
      </c>
      <c r="BI373">
        <v>5</v>
      </c>
      <c r="BJ373" t="s">
        <v>7760</v>
      </c>
      <c r="BK373" t="s">
        <v>203</v>
      </c>
      <c r="BL373" t="s">
        <v>1715</v>
      </c>
      <c r="BM373" t="s">
        <v>7761</v>
      </c>
      <c r="BN373" t="s">
        <v>74</v>
      </c>
      <c r="BO373" t="s">
        <v>74</v>
      </c>
      <c r="BP373" t="s">
        <v>74</v>
      </c>
      <c r="BQ373" t="s">
        <v>74</v>
      </c>
      <c r="BR373" t="s">
        <v>106</v>
      </c>
      <c r="BS373" t="s">
        <v>7762</v>
      </c>
      <c r="BT373" t="str">
        <f>HYPERLINK("https%3A%2F%2Fwww.webofscience.com%2Fwos%2Fwoscc%2Ffull-record%2FWOS:001496972000850","View Full Record in Web of Science")</f>
        <v>View Full Record in Web of Science</v>
      </c>
    </row>
    <row r="374" spans="1:72" x14ac:dyDescent="0.25">
      <c r="A374" t="s">
        <v>72</v>
      </c>
      <c r="B374" t="s">
        <v>7763</v>
      </c>
      <c r="C374" t="s">
        <v>74</v>
      </c>
      <c r="D374" t="s">
        <v>74</v>
      </c>
      <c r="E374" t="s">
        <v>74</v>
      </c>
      <c r="F374" t="s">
        <v>7764</v>
      </c>
      <c r="G374" t="s">
        <v>74</v>
      </c>
      <c r="H374" t="s">
        <v>74</v>
      </c>
      <c r="I374" t="s">
        <v>7765</v>
      </c>
      <c r="J374" t="s">
        <v>5708</v>
      </c>
      <c r="K374" t="s">
        <v>74</v>
      </c>
      <c r="L374" t="s">
        <v>74</v>
      </c>
      <c r="M374" t="s">
        <v>78</v>
      </c>
      <c r="N374" t="s">
        <v>79</v>
      </c>
      <c r="O374" t="s">
        <v>74</v>
      </c>
      <c r="P374" t="s">
        <v>74</v>
      </c>
      <c r="Q374" t="s">
        <v>74</v>
      </c>
      <c r="R374" t="s">
        <v>74</v>
      </c>
      <c r="S374" t="s">
        <v>74</v>
      </c>
      <c r="T374" t="s">
        <v>7766</v>
      </c>
      <c r="U374" t="s">
        <v>7767</v>
      </c>
      <c r="V374" t="s">
        <v>7768</v>
      </c>
      <c r="W374" t="s">
        <v>7769</v>
      </c>
      <c r="X374" t="s">
        <v>7770</v>
      </c>
      <c r="Y374" t="s">
        <v>7771</v>
      </c>
      <c r="Z374" t="s">
        <v>7772</v>
      </c>
      <c r="AA374" t="s">
        <v>74</v>
      </c>
      <c r="AB374" t="s">
        <v>7773</v>
      </c>
      <c r="AC374" t="s">
        <v>74</v>
      </c>
      <c r="AD374" t="s">
        <v>74</v>
      </c>
      <c r="AE374" t="s">
        <v>74</v>
      </c>
      <c r="AF374" t="s">
        <v>74</v>
      </c>
      <c r="AG374">
        <v>50</v>
      </c>
      <c r="AH374">
        <v>28</v>
      </c>
      <c r="AI374">
        <v>34</v>
      </c>
      <c r="AJ374">
        <v>0</v>
      </c>
      <c r="AK374">
        <v>70</v>
      </c>
      <c r="AL374" t="s">
        <v>1097</v>
      </c>
      <c r="AM374" t="s">
        <v>1098</v>
      </c>
      <c r="AN374" t="s">
        <v>1099</v>
      </c>
      <c r="AO374" t="s">
        <v>5718</v>
      </c>
      <c r="AP374" t="s">
        <v>5719</v>
      </c>
      <c r="AQ374" t="s">
        <v>74</v>
      </c>
      <c r="AR374" t="s">
        <v>5720</v>
      </c>
      <c r="AS374" t="s">
        <v>5721</v>
      </c>
      <c r="AT374" t="s">
        <v>246</v>
      </c>
      <c r="AU374">
        <v>2018</v>
      </c>
      <c r="AV374">
        <v>9</v>
      </c>
      <c r="AW374">
        <v>6</v>
      </c>
      <c r="AX374" t="s">
        <v>74</v>
      </c>
      <c r="AY374" t="s">
        <v>74</v>
      </c>
      <c r="AZ374" t="s">
        <v>247</v>
      </c>
      <c r="BA374" t="s">
        <v>74</v>
      </c>
      <c r="BB374">
        <v>2035</v>
      </c>
      <c r="BC374">
        <v>2049</v>
      </c>
      <c r="BD374" t="s">
        <v>74</v>
      </c>
      <c r="BE374" t="s">
        <v>7774</v>
      </c>
      <c r="BF374" t="str">
        <f>HYPERLINK("http://dx.doi.org/10.1007/s12652-017-0491-7","http://dx.doi.org/10.1007/s12652-017-0491-7")</f>
        <v>http://dx.doi.org/10.1007/s12652-017-0491-7</v>
      </c>
      <c r="BG374" t="s">
        <v>74</v>
      </c>
      <c r="BH374" t="s">
        <v>74</v>
      </c>
      <c r="BI374">
        <v>15</v>
      </c>
      <c r="BJ374" t="s">
        <v>5724</v>
      </c>
      <c r="BK374" t="s">
        <v>902</v>
      </c>
      <c r="BL374" t="s">
        <v>2422</v>
      </c>
      <c r="BM374" t="s">
        <v>7775</v>
      </c>
      <c r="BN374" t="s">
        <v>74</v>
      </c>
      <c r="BO374" t="s">
        <v>74</v>
      </c>
      <c r="BP374" t="s">
        <v>74</v>
      </c>
      <c r="BQ374" t="s">
        <v>74</v>
      </c>
      <c r="BR374" t="s">
        <v>106</v>
      </c>
      <c r="BS374" t="s">
        <v>7776</v>
      </c>
      <c r="BT374" t="str">
        <f>HYPERLINK("https%3A%2F%2Fwww.webofscience.com%2Fwos%2Fwoscc%2Ffull-record%2FWOS:000446730900021","View Full Record in Web of Science")</f>
        <v>View Full Record in Web of Science</v>
      </c>
    </row>
    <row r="375" spans="1:72" x14ac:dyDescent="0.25">
      <c r="A375" t="s">
        <v>72</v>
      </c>
      <c r="B375" t="s">
        <v>7777</v>
      </c>
      <c r="C375" t="s">
        <v>74</v>
      </c>
      <c r="D375" t="s">
        <v>74</v>
      </c>
      <c r="E375" t="s">
        <v>74</v>
      </c>
      <c r="F375" t="s">
        <v>7778</v>
      </c>
      <c r="G375" t="s">
        <v>74</v>
      </c>
      <c r="H375" t="s">
        <v>74</v>
      </c>
      <c r="I375" t="s">
        <v>7779</v>
      </c>
      <c r="J375" t="s">
        <v>7780</v>
      </c>
      <c r="K375" t="s">
        <v>74</v>
      </c>
      <c r="L375" t="s">
        <v>74</v>
      </c>
      <c r="M375" t="s">
        <v>78</v>
      </c>
      <c r="N375" t="s">
        <v>79</v>
      </c>
      <c r="O375" t="s">
        <v>74</v>
      </c>
      <c r="P375" t="s">
        <v>74</v>
      </c>
      <c r="Q375" t="s">
        <v>74</v>
      </c>
      <c r="R375" t="s">
        <v>74</v>
      </c>
      <c r="S375" t="s">
        <v>74</v>
      </c>
      <c r="T375" t="s">
        <v>7781</v>
      </c>
      <c r="U375" t="s">
        <v>7782</v>
      </c>
      <c r="V375" t="s">
        <v>7783</v>
      </c>
      <c r="W375" t="s">
        <v>7784</v>
      </c>
      <c r="X375" t="s">
        <v>7785</v>
      </c>
      <c r="Y375" t="s">
        <v>7786</v>
      </c>
      <c r="Z375" t="s">
        <v>7787</v>
      </c>
      <c r="AA375" t="s">
        <v>7788</v>
      </c>
      <c r="AB375" t="s">
        <v>7789</v>
      </c>
      <c r="AC375" t="s">
        <v>7790</v>
      </c>
      <c r="AD375" t="s">
        <v>7790</v>
      </c>
      <c r="AE375" t="s">
        <v>7791</v>
      </c>
      <c r="AF375" t="s">
        <v>74</v>
      </c>
      <c r="AG375">
        <v>37</v>
      </c>
      <c r="AH375">
        <v>21</v>
      </c>
      <c r="AI375">
        <v>28</v>
      </c>
      <c r="AJ375">
        <v>0</v>
      </c>
      <c r="AK375">
        <v>21</v>
      </c>
      <c r="AL375" t="s">
        <v>7792</v>
      </c>
      <c r="AM375" t="s">
        <v>1320</v>
      </c>
      <c r="AN375" t="s">
        <v>7793</v>
      </c>
      <c r="AO375" t="s">
        <v>74</v>
      </c>
      <c r="AP375" t="s">
        <v>7794</v>
      </c>
      <c r="AQ375" t="s">
        <v>74</v>
      </c>
      <c r="AR375" t="s">
        <v>7795</v>
      </c>
      <c r="AS375" t="s">
        <v>7796</v>
      </c>
      <c r="AT375" t="s">
        <v>395</v>
      </c>
      <c r="AU375">
        <v>2024</v>
      </c>
      <c r="AV375">
        <v>24</v>
      </c>
      <c r="AW375">
        <v>1</v>
      </c>
      <c r="AX375" t="s">
        <v>74</v>
      </c>
      <c r="AY375" t="s">
        <v>74</v>
      </c>
      <c r="AZ375" t="s">
        <v>74</v>
      </c>
      <c r="BA375" t="s">
        <v>74</v>
      </c>
      <c r="BB375" t="s">
        <v>74</v>
      </c>
      <c r="BC375" t="s">
        <v>74</v>
      </c>
      <c r="BD375">
        <v>113</v>
      </c>
      <c r="BE375" t="s">
        <v>7797</v>
      </c>
      <c r="BF375" t="str">
        <f>HYPERLINK("http://dx.doi.org/10.1186/s12909-024-05077-y","http://dx.doi.org/10.1186/s12909-024-05077-y")</f>
        <v>http://dx.doi.org/10.1186/s12909-024-05077-y</v>
      </c>
      <c r="BG375" t="s">
        <v>74</v>
      </c>
      <c r="BH375" t="s">
        <v>74</v>
      </c>
      <c r="BI375">
        <v>10</v>
      </c>
      <c r="BJ375" t="s">
        <v>5740</v>
      </c>
      <c r="BK375" t="s">
        <v>745</v>
      </c>
      <c r="BL375" t="s">
        <v>318</v>
      </c>
      <c r="BM375" t="s">
        <v>7798</v>
      </c>
      <c r="BN375">
        <v>38317141</v>
      </c>
      <c r="BO375" t="s">
        <v>398</v>
      </c>
      <c r="BP375" t="s">
        <v>74</v>
      </c>
      <c r="BQ375" t="s">
        <v>74</v>
      </c>
      <c r="BR375" t="s">
        <v>106</v>
      </c>
      <c r="BS375" t="s">
        <v>7799</v>
      </c>
      <c r="BT375" t="str">
        <f>HYPERLINK("https%3A%2F%2Fwww.webofscience.com%2Fwos%2Fwoscc%2Ffull-record%2FWOS:001158143000004","View Full Record in Web of Science")</f>
        <v>View Full Record in Web of Science</v>
      </c>
    </row>
    <row r="376" spans="1:72" x14ac:dyDescent="0.25">
      <c r="A376" t="s">
        <v>72</v>
      </c>
      <c r="B376" t="s">
        <v>7800</v>
      </c>
      <c r="C376" t="s">
        <v>74</v>
      </c>
      <c r="D376" t="s">
        <v>74</v>
      </c>
      <c r="E376" t="s">
        <v>74</v>
      </c>
      <c r="F376" t="s">
        <v>7801</v>
      </c>
      <c r="G376" t="s">
        <v>74</v>
      </c>
      <c r="H376" t="s">
        <v>74</v>
      </c>
      <c r="I376" t="s">
        <v>7802</v>
      </c>
      <c r="J376" t="s">
        <v>7803</v>
      </c>
      <c r="K376" t="s">
        <v>74</v>
      </c>
      <c r="L376" t="s">
        <v>74</v>
      </c>
      <c r="M376" t="s">
        <v>78</v>
      </c>
      <c r="N376" t="s">
        <v>79</v>
      </c>
      <c r="O376" t="s">
        <v>74</v>
      </c>
      <c r="P376" t="s">
        <v>74</v>
      </c>
      <c r="Q376" t="s">
        <v>74</v>
      </c>
      <c r="R376" t="s">
        <v>74</v>
      </c>
      <c r="S376" t="s">
        <v>74</v>
      </c>
      <c r="T376" t="s">
        <v>7804</v>
      </c>
      <c r="U376" t="s">
        <v>7805</v>
      </c>
      <c r="V376" t="s">
        <v>7806</v>
      </c>
      <c r="W376" t="s">
        <v>7807</v>
      </c>
      <c r="X376" t="s">
        <v>7808</v>
      </c>
      <c r="Y376" t="s">
        <v>7809</v>
      </c>
      <c r="Z376" t="s">
        <v>7810</v>
      </c>
      <c r="AA376" t="s">
        <v>7811</v>
      </c>
      <c r="AB376" t="s">
        <v>7812</v>
      </c>
      <c r="AC376" t="s">
        <v>7813</v>
      </c>
      <c r="AD376" t="s">
        <v>7814</v>
      </c>
      <c r="AE376" t="s">
        <v>7815</v>
      </c>
      <c r="AF376" t="s">
        <v>74</v>
      </c>
      <c r="AG376">
        <v>39</v>
      </c>
      <c r="AH376">
        <v>45</v>
      </c>
      <c r="AI376">
        <v>56</v>
      </c>
      <c r="AJ376">
        <v>2</v>
      </c>
      <c r="AK376">
        <v>54</v>
      </c>
      <c r="AL376" t="s">
        <v>7816</v>
      </c>
      <c r="AM376" t="s">
        <v>7817</v>
      </c>
      <c r="AN376" t="s">
        <v>7818</v>
      </c>
      <c r="AO376" t="s">
        <v>7819</v>
      </c>
      <c r="AP376" t="s">
        <v>74</v>
      </c>
      <c r="AQ376" t="s">
        <v>74</v>
      </c>
      <c r="AR376" t="s">
        <v>7820</v>
      </c>
      <c r="AS376" t="s">
        <v>7821</v>
      </c>
      <c r="AT376" t="s">
        <v>565</v>
      </c>
      <c r="AU376">
        <v>2016</v>
      </c>
      <c r="AV376">
        <v>18</v>
      </c>
      <c r="AW376">
        <v>8</v>
      </c>
      <c r="AX376" t="s">
        <v>74</v>
      </c>
      <c r="AY376" t="s">
        <v>74</v>
      </c>
      <c r="AZ376" t="s">
        <v>74</v>
      </c>
      <c r="BA376" t="s">
        <v>74</v>
      </c>
      <c r="BB376" t="s">
        <v>74</v>
      </c>
      <c r="BC376" t="s">
        <v>74</v>
      </c>
      <c r="BD376" t="s">
        <v>7822</v>
      </c>
      <c r="BE376" t="s">
        <v>7823</v>
      </c>
      <c r="BF376" t="str">
        <f>HYPERLINK("http://dx.doi.org/10.2196/jmir.5985","http://dx.doi.org/10.2196/jmir.5985")</f>
        <v>http://dx.doi.org/10.2196/jmir.5985</v>
      </c>
      <c r="BG376" t="s">
        <v>74</v>
      </c>
      <c r="BH376" t="s">
        <v>74</v>
      </c>
      <c r="BI376">
        <v>12</v>
      </c>
      <c r="BJ376" t="s">
        <v>6784</v>
      </c>
      <c r="BK376" t="s">
        <v>745</v>
      </c>
      <c r="BL376" t="s">
        <v>6784</v>
      </c>
      <c r="BM376" t="s">
        <v>7824</v>
      </c>
      <c r="BN376">
        <v>27562640</v>
      </c>
      <c r="BO376" t="s">
        <v>398</v>
      </c>
      <c r="BP376" t="s">
        <v>74</v>
      </c>
      <c r="BQ376" t="s">
        <v>74</v>
      </c>
      <c r="BR376" t="s">
        <v>106</v>
      </c>
      <c r="BS376" t="s">
        <v>7825</v>
      </c>
      <c r="BT376" t="str">
        <f>HYPERLINK("https%3A%2F%2Fwww.webofscience.com%2Fwos%2Fwoscc%2Ffull-record%2FWOS:000388495700028","View Full Record in Web of Science")</f>
        <v>View Full Record in Web of Science</v>
      </c>
    </row>
    <row r="377" spans="1:72" x14ac:dyDescent="0.25">
      <c r="A377" t="s">
        <v>108</v>
      </c>
      <c r="B377" t="s">
        <v>7826</v>
      </c>
      <c r="C377" t="s">
        <v>74</v>
      </c>
      <c r="D377" t="s">
        <v>74</v>
      </c>
      <c r="E377" t="s">
        <v>322</v>
      </c>
      <c r="F377" t="s">
        <v>7827</v>
      </c>
      <c r="G377" t="s">
        <v>74</v>
      </c>
      <c r="H377" t="s">
        <v>74</v>
      </c>
      <c r="I377" t="s">
        <v>7828</v>
      </c>
      <c r="J377" t="s">
        <v>7829</v>
      </c>
      <c r="K377" t="s">
        <v>74</v>
      </c>
      <c r="L377" t="s">
        <v>74</v>
      </c>
      <c r="M377" t="s">
        <v>78</v>
      </c>
      <c r="N377" t="s">
        <v>115</v>
      </c>
      <c r="O377" t="s">
        <v>7830</v>
      </c>
      <c r="P377" t="s">
        <v>7831</v>
      </c>
      <c r="Q377" t="s">
        <v>7832</v>
      </c>
      <c r="R377" t="s">
        <v>7833</v>
      </c>
      <c r="S377" t="s">
        <v>74</v>
      </c>
      <c r="T377" t="s">
        <v>7834</v>
      </c>
      <c r="U377" t="s">
        <v>74</v>
      </c>
      <c r="V377" t="s">
        <v>7835</v>
      </c>
      <c r="W377" t="s">
        <v>7836</v>
      </c>
      <c r="X377" t="s">
        <v>7837</v>
      </c>
      <c r="Y377" t="s">
        <v>7838</v>
      </c>
      <c r="Z377" t="s">
        <v>7839</v>
      </c>
      <c r="AA377" t="s">
        <v>74</v>
      </c>
      <c r="AB377" t="s">
        <v>74</v>
      </c>
      <c r="AC377" t="s">
        <v>7840</v>
      </c>
      <c r="AD377" t="s">
        <v>7841</v>
      </c>
      <c r="AE377" t="s">
        <v>7842</v>
      </c>
      <c r="AF377" t="s">
        <v>74</v>
      </c>
      <c r="AG377">
        <v>27</v>
      </c>
      <c r="AH377">
        <v>300</v>
      </c>
      <c r="AI377">
        <v>341</v>
      </c>
      <c r="AJ377">
        <v>0</v>
      </c>
      <c r="AK377">
        <v>8</v>
      </c>
      <c r="AL377" t="s">
        <v>291</v>
      </c>
      <c r="AM377" t="s">
        <v>92</v>
      </c>
      <c r="AN377" t="s">
        <v>292</v>
      </c>
      <c r="AO377" t="s">
        <v>74</v>
      </c>
      <c r="AP377" t="s">
        <v>74</v>
      </c>
      <c r="AQ377" t="s">
        <v>7843</v>
      </c>
      <c r="AR377" t="s">
        <v>74</v>
      </c>
      <c r="AS377" t="s">
        <v>74</v>
      </c>
      <c r="AT377" t="s">
        <v>74</v>
      </c>
      <c r="AU377">
        <v>2013</v>
      </c>
      <c r="AV377" t="s">
        <v>74</v>
      </c>
      <c r="AW377" t="s">
        <v>74</v>
      </c>
      <c r="AX377" t="s">
        <v>74</v>
      </c>
      <c r="AY377" t="s">
        <v>74</v>
      </c>
      <c r="AZ377" t="s">
        <v>74</v>
      </c>
      <c r="BA377" t="s">
        <v>74</v>
      </c>
      <c r="BB377">
        <v>1043</v>
      </c>
      <c r="BC377">
        <v>1051</v>
      </c>
      <c r="BD377" t="s">
        <v>74</v>
      </c>
      <c r="BE377" t="s">
        <v>74</v>
      </c>
      <c r="BF377" t="s">
        <v>74</v>
      </c>
      <c r="BG377" t="s">
        <v>74</v>
      </c>
      <c r="BH377" t="s">
        <v>74</v>
      </c>
      <c r="BI377">
        <v>9</v>
      </c>
      <c r="BJ377" t="s">
        <v>461</v>
      </c>
      <c r="BK377" t="s">
        <v>203</v>
      </c>
      <c r="BL377" t="s">
        <v>103</v>
      </c>
      <c r="BM377" t="s">
        <v>7844</v>
      </c>
      <c r="BN377" t="s">
        <v>74</v>
      </c>
      <c r="BO377" t="s">
        <v>74</v>
      </c>
      <c r="BP377" t="s">
        <v>74</v>
      </c>
      <c r="BQ377" t="s">
        <v>74</v>
      </c>
      <c r="BR377" t="s">
        <v>106</v>
      </c>
      <c r="BS377" t="s">
        <v>7845</v>
      </c>
      <c r="BT377" t="str">
        <f>HYPERLINK("https%3A%2F%2Fwww.webofscience.com%2Fwos%2Fwoscc%2Ffull-record%2FWOS:000502730600120","View Full Record in Web of Science")</f>
        <v>View Full Record in Web of Science</v>
      </c>
    </row>
    <row r="378" spans="1:72" x14ac:dyDescent="0.25">
      <c r="A378" t="s">
        <v>72</v>
      </c>
      <c r="B378" t="s">
        <v>7846</v>
      </c>
      <c r="C378" t="s">
        <v>74</v>
      </c>
      <c r="D378" t="s">
        <v>74</v>
      </c>
      <c r="E378" t="s">
        <v>74</v>
      </c>
      <c r="F378" t="s">
        <v>7847</v>
      </c>
      <c r="G378" t="s">
        <v>74</v>
      </c>
      <c r="H378" t="s">
        <v>74</v>
      </c>
      <c r="I378" t="s">
        <v>7848</v>
      </c>
      <c r="J378" t="s">
        <v>2480</v>
      </c>
      <c r="K378" t="s">
        <v>74</v>
      </c>
      <c r="L378" t="s">
        <v>74</v>
      </c>
      <c r="M378" t="s">
        <v>78</v>
      </c>
      <c r="N378" t="s">
        <v>79</v>
      </c>
      <c r="O378" t="s">
        <v>74</v>
      </c>
      <c r="P378" t="s">
        <v>74</v>
      </c>
      <c r="Q378" t="s">
        <v>74</v>
      </c>
      <c r="R378" t="s">
        <v>74</v>
      </c>
      <c r="S378" t="s">
        <v>74</v>
      </c>
      <c r="T378" t="s">
        <v>7849</v>
      </c>
      <c r="U378" t="s">
        <v>7850</v>
      </c>
      <c r="V378" t="s">
        <v>7851</v>
      </c>
      <c r="W378" t="s">
        <v>7852</v>
      </c>
      <c r="X378" t="s">
        <v>7853</v>
      </c>
      <c r="Y378" t="s">
        <v>7854</v>
      </c>
      <c r="Z378" t="s">
        <v>7855</v>
      </c>
      <c r="AA378" t="s">
        <v>7856</v>
      </c>
      <c r="AB378" t="s">
        <v>74</v>
      </c>
      <c r="AC378" t="s">
        <v>7857</v>
      </c>
      <c r="AD378" t="s">
        <v>7858</v>
      </c>
      <c r="AE378" t="s">
        <v>7859</v>
      </c>
      <c r="AF378" t="s">
        <v>74</v>
      </c>
      <c r="AG378">
        <v>31</v>
      </c>
      <c r="AH378">
        <v>34</v>
      </c>
      <c r="AI378">
        <v>35</v>
      </c>
      <c r="AJ378">
        <v>0</v>
      </c>
      <c r="AK378">
        <v>35</v>
      </c>
      <c r="AL378" t="s">
        <v>178</v>
      </c>
      <c r="AM378" t="s">
        <v>1005</v>
      </c>
      <c r="AN378" t="s">
        <v>1006</v>
      </c>
      <c r="AO378" t="s">
        <v>2489</v>
      </c>
      <c r="AP378" t="s">
        <v>3079</v>
      </c>
      <c r="AQ378" t="s">
        <v>74</v>
      </c>
      <c r="AR378" t="s">
        <v>2490</v>
      </c>
      <c r="AS378" t="s">
        <v>2491</v>
      </c>
      <c r="AT378" t="s">
        <v>1166</v>
      </c>
      <c r="AU378">
        <v>2015</v>
      </c>
      <c r="AV378">
        <v>74</v>
      </c>
      <c r="AW378">
        <v>14</v>
      </c>
      <c r="AX378" t="s">
        <v>74</v>
      </c>
      <c r="AY378" t="s">
        <v>74</v>
      </c>
      <c r="AZ378" t="s">
        <v>74</v>
      </c>
      <c r="BA378" t="s">
        <v>74</v>
      </c>
      <c r="BB378">
        <v>5015</v>
      </c>
      <c r="BC378">
        <v>5028</v>
      </c>
      <c r="BD378" t="s">
        <v>74</v>
      </c>
      <c r="BE378" t="s">
        <v>7860</v>
      </c>
      <c r="BF378" t="str">
        <f>HYPERLINK("http://dx.doi.org/10.1007/s11042-014-2230-9","http://dx.doi.org/10.1007/s11042-014-2230-9")</f>
        <v>http://dx.doi.org/10.1007/s11042-014-2230-9</v>
      </c>
      <c r="BG378" t="s">
        <v>74</v>
      </c>
      <c r="BH378" t="s">
        <v>74</v>
      </c>
      <c r="BI378">
        <v>14</v>
      </c>
      <c r="BJ378" t="s">
        <v>2493</v>
      </c>
      <c r="BK378" t="s">
        <v>902</v>
      </c>
      <c r="BL378" t="s">
        <v>953</v>
      </c>
      <c r="BM378" t="s">
        <v>7861</v>
      </c>
      <c r="BN378" t="s">
        <v>74</v>
      </c>
      <c r="BO378" t="s">
        <v>74</v>
      </c>
      <c r="BP378" t="s">
        <v>74</v>
      </c>
      <c r="BQ378" t="s">
        <v>74</v>
      </c>
      <c r="BR378" t="s">
        <v>106</v>
      </c>
      <c r="BS378" t="s">
        <v>7862</v>
      </c>
      <c r="BT378" t="str">
        <f>HYPERLINK("https%3A%2F%2Fwww.webofscience.com%2Fwos%2Fwoscc%2Ffull-record%2FWOS:000358214900002","View Full Record in Web of Science")</f>
        <v>View Full Record in Web of Science</v>
      </c>
    </row>
    <row r="379" spans="1:72" x14ac:dyDescent="0.25">
      <c r="A379" t="s">
        <v>108</v>
      </c>
      <c r="B379" t="s">
        <v>7863</v>
      </c>
      <c r="C379" t="s">
        <v>74</v>
      </c>
      <c r="D379" t="s">
        <v>74</v>
      </c>
      <c r="E379" t="s">
        <v>322</v>
      </c>
      <c r="F379" t="s">
        <v>7864</v>
      </c>
      <c r="G379" t="s">
        <v>74</v>
      </c>
      <c r="H379" t="s">
        <v>74</v>
      </c>
      <c r="I379" t="s">
        <v>7865</v>
      </c>
      <c r="J379" t="s">
        <v>7866</v>
      </c>
      <c r="K379" t="s">
        <v>74</v>
      </c>
      <c r="L379" t="s">
        <v>74</v>
      </c>
      <c r="M379" t="s">
        <v>78</v>
      </c>
      <c r="N379" t="s">
        <v>115</v>
      </c>
      <c r="O379" t="s">
        <v>7867</v>
      </c>
      <c r="P379" t="s">
        <v>7868</v>
      </c>
      <c r="Q379" t="s">
        <v>705</v>
      </c>
      <c r="R379" t="s">
        <v>7869</v>
      </c>
      <c r="S379" t="s">
        <v>74</v>
      </c>
      <c r="T379" t="s">
        <v>7870</v>
      </c>
      <c r="U379" t="s">
        <v>74</v>
      </c>
      <c r="V379" t="s">
        <v>7871</v>
      </c>
      <c r="W379" t="s">
        <v>7872</v>
      </c>
      <c r="X379" t="s">
        <v>6406</v>
      </c>
      <c r="Y379" t="s">
        <v>7873</v>
      </c>
      <c r="Z379" t="s">
        <v>7874</v>
      </c>
      <c r="AA379" t="s">
        <v>74</v>
      </c>
      <c r="AB379" t="s">
        <v>7875</v>
      </c>
      <c r="AC379" t="s">
        <v>74</v>
      </c>
      <c r="AD379" t="s">
        <v>74</v>
      </c>
      <c r="AE379" t="s">
        <v>74</v>
      </c>
      <c r="AF379" t="s">
        <v>74</v>
      </c>
      <c r="AG379">
        <v>2</v>
      </c>
      <c r="AH379">
        <v>0</v>
      </c>
      <c r="AI379">
        <v>0</v>
      </c>
      <c r="AJ379">
        <v>0</v>
      </c>
      <c r="AK379">
        <v>0</v>
      </c>
      <c r="AL379" t="s">
        <v>291</v>
      </c>
      <c r="AM379" t="s">
        <v>92</v>
      </c>
      <c r="AN379" t="s">
        <v>292</v>
      </c>
      <c r="AO379" t="s">
        <v>74</v>
      </c>
      <c r="AP379" t="s">
        <v>74</v>
      </c>
      <c r="AQ379" t="s">
        <v>7876</v>
      </c>
      <c r="AR379" t="s">
        <v>74</v>
      </c>
      <c r="AS379" t="s">
        <v>74</v>
      </c>
      <c r="AT379" t="s">
        <v>74</v>
      </c>
      <c r="AU379">
        <v>2015</v>
      </c>
      <c r="AV379" t="s">
        <v>74</v>
      </c>
      <c r="AW379" t="s">
        <v>74</v>
      </c>
      <c r="AX379" t="s">
        <v>74</v>
      </c>
      <c r="AY379" t="s">
        <v>74</v>
      </c>
      <c r="AZ379" t="s">
        <v>74</v>
      </c>
      <c r="BA379" t="s">
        <v>74</v>
      </c>
      <c r="BB379">
        <v>755</v>
      </c>
      <c r="BC379">
        <v>756</v>
      </c>
      <c r="BD379" t="s">
        <v>74</v>
      </c>
      <c r="BE379" t="s">
        <v>7877</v>
      </c>
      <c r="BF379" t="str">
        <f>HYPERLINK("http://dx.doi.org/10.1145/2733373.2807980","http://dx.doi.org/10.1145/2733373.2807980")</f>
        <v>http://dx.doi.org/10.1145/2733373.2807980</v>
      </c>
      <c r="BG379" t="s">
        <v>74</v>
      </c>
      <c r="BH379" t="s">
        <v>74</v>
      </c>
      <c r="BI379">
        <v>2</v>
      </c>
      <c r="BJ379" t="s">
        <v>696</v>
      </c>
      <c r="BK379" t="s">
        <v>203</v>
      </c>
      <c r="BL379" t="s">
        <v>103</v>
      </c>
      <c r="BM379" t="s">
        <v>7878</v>
      </c>
      <c r="BN379" t="s">
        <v>74</v>
      </c>
      <c r="BO379" t="s">
        <v>74</v>
      </c>
      <c r="BP379" t="s">
        <v>74</v>
      </c>
      <c r="BQ379" t="s">
        <v>74</v>
      </c>
      <c r="BR379" t="s">
        <v>106</v>
      </c>
      <c r="BS379" t="s">
        <v>7879</v>
      </c>
      <c r="BT379" t="str">
        <f>HYPERLINK("https%3A%2F%2Fwww.webofscience.com%2Fwos%2Fwoscc%2Ffull-record%2FWOS:000387861300105","View Full Record in Web of Science")</f>
        <v>View Full Record in Web of Science</v>
      </c>
    </row>
    <row r="380" spans="1:72" x14ac:dyDescent="0.25">
      <c r="A380" t="s">
        <v>72</v>
      </c>
      <c r="B380" t="s">
        <v>7880</v>
      </c>
      <c r="C380" t="s">
        <v>74</v>
      </c>
      <c r="D380" t="s">
        <v>74</v>
      </c>
      <c r="E380" t="s">
        <v>74</v>
      </c>
      <c r="F380" t="s">
        <v>7881</v>
      </c>
      <c r="G380" t="s">
        <v>74</v>
      </c>
      <c r="H380" t="s">
        <v>74</v>
      </c>
      <c r="I380" t="s">
        <v>7882</v>
      </c>
      <c r="J380" t="s">
        <v>7883</v>
      </c>
      <c r="K380" t="s">
        <v>74</v>
      </c>
      <c r="L380" t="s">
        <v>74</v>
      </c>
      <c r="M380" t="s">
        <v>78</v>
      </c>
      <c r="N380" t="s">
        <v>79</v>
      </c>
      <c r="O380" t="s">
        <v>74</v>
      </c>
      <c r="P380" t="s">
        <v>74</v>
      </c>
      <c r="Q380" t="s">
        <v>74</v>
      </c>
      <c r="R380" t="s">
        <v>74</v>
      </c>
      <c r="S380" t="s">
        <v>74</v>
      </c>
      <c r="T380" t="s">
        <v>7884</v>
      </c>
      <c r="U380" t="s">
        <v>74</v>
      </c>
      <c r="V380" t="s">
        <v>7885</v>
      </c>
      <c r="W380" t="s">
        <v>7886</v>
      </c>
      <c r="X380" t="s">
        <v>7887</v>
      </c>
      <c r="Y380" t="s">
        <v>7888</v>
      </c>
      <c r="Z380" t="s">
        <v>7889</v>
      </c>
      <c r="AA380" t="s">
        <v>74</v>
      </c>
      <c r="AB380" t="s">
        <v>74</v>
      </c>
      <c r="AC380" t="s">
        <v>7890</v>
      </c>
      <c r="AD380" t="s">
        <v>7891</v>
      </c>
      <c r="AE380" t="s">
        <v>7892</v>
      </c>
      <c r="AF380" t="s">
        <v>74</v>
      </c>
      <c r="AG380">
        <v>46</v>
      </c>
      <c r="AH380">
        <v>13</v>
      </c>
      <c r="AI380">
        <v>33</v>
      </c>
      <c r="AJ380">
        <v>2</v>
      </c>
      <c r="AK380">
        <v>63</v>
      </c>
      <c r="AL380" t="s">
        <v>310</v>
      </c>
      <c r="AM380" t="s">
        <v>311</v>
      </c>
      <c r="AN380" t="s">
        <v>312</v>
      </c>
      <c r="AO380" t="s">
        <v>7893</v>
      </c>
      <c r="AP380" t="s">
        <v>7894</v>
      </c>
      <c r="AQ380" t="s">
        <v>74</v>
      </c>
      <c r="AR380" t="s">
        <v>7895</v>
      </c>
      <c r="AS380" t="s">
        <v>7896</v>
      </c>
      <c r="AT380" t="s">
        <v>7897</v>
      </c>
      <c r="AU380">
        <v>2020</v>
      </c>
      <c r="AV380">
        <v>52</v>
      </c>
      <c r="AW380">
        <v>3</v>
      </c>
      <c r="AX380" t="s">
        <v>74</v>
      </c>
      <c r="AY380" t="s">
        <v>74</v>
      </c>
      <c r="AZ380" t="s">
        <v>247</v>
      </c>
      <c r="BA380" t="s">
        <v>74</v>
      </c>
      <c r="BB380">
        <v>371</v>
      </c>
      <c r="BC380">
        <v>390</v>
      </c>
      <c r="BD380" t="s">
        <v>74</v>
      </c>
      <c r="BE380" t="s">
        <v>7898</v>
      </c>
      <c r="BF380" t="str">
        <f>HYPERLINK("http://dx.doi.org/10.1080/15391523.2020.1734508","http://dx.doi.org/10.1080/15391523.2020.1734508")</f>
        <v>http://dx.doi.org/10.1080/15391523.2020.1734508</v>
      </c>
      <c r="BG380" t="s">
        <v>74</v>
      </c>
      <c r="BH380" t="s">
        <v>74</v>
      </c>
      <c r="BI380">
        <v>20</v>
      </c>
      <c r="BJ380" t="s">
        <v>318</v>
      </c>
      <c r="BK380" t="s">
        <v>250</v>
      </c>
      <c r="BL380" t="s">
        <v>318</v>
      </c>
      <c r="BM380" t="s">
        <v>7899</v>
      </c>
      <c r="BN380" t="s">
        <v>74</v>
      </c>
      <c r="BO380" t="s">
        <v>74</v>
      </c>
      <c r="BP380" t="s">
        <v>74</v>
      </c>
      <c r="BQ380" t="s">
        <v>74</v>
      </c>
      <c r="BR380" t="s">
        <v>106</v>
      </c>
      <c r="BS380" t="s">
        <v>7900</v>
      </c>
      <c r="BT380" t="str">
        <f>HYPERLINK("https%3A%2F%2Fwww.webofscience.com%2Fwos%2Fwoscc%2Ffull-record%2FWOS:000546994400007","View Full Record in Web of Science")</f>
        <v>View Full Record in Web of Science</v>
      </c>
    </row>
    <row r="381" spans="1:72" x14ac:dyDescent="0.25">
      <c r="A381" t="s">
        <v>108</v>
      </c>
      <c r="B381" t="s">
        <v>7901</v>
      </c>
      <c r="C381" t="s">
        <v>74</v>
      </c>
      <c r="D381" t="s">
        <v>74</v>
      </c>
      <c r="E381" t="s">
        <v>7337</v>
      </c>
      <c r="F381" t="s">
        <v>7902</v>
      </c>
      <c r="G381" t="s">
        <v>74</v>
      </c>
      <c r="H381" t="s">
        <v>74</v>
      </c>
      <c r="I381" t="s">
        <v>7903</v>
      </c>
      <c r="J381" t="s">
        <v>7904</v>
      </c>
      <c r="K381" t="s">
        <v>74</v>
      </c>
      <c r="L381" t="s">
        <v>74</v>
      </c>
      <c r="M381" t="s">
        <v>78</v>
      </c>
      <c r="N381" t="s">
        <v>115</v>
      </c>
      <c r="O381" t="s">
        <v>7905</v>
      </c>
      <c r="P381" t="s">
        <v>7906</v>
      </c>
      <c r="Q381" t="s">
        <v>675</v>
      </c>
      <c r="R381" t="s">
        <v>7907</v>
      </c>
      <c r="S381" t="s">
        <v>74</v>
      </c>
      <c r="T381" t="s">
        <v>7908</v>
      </c>
      <c r="U381" t="s">
        <v>74</v>
      </c>
      <c r="V381" t="s">
        <v>7909</v>
      </c>
      <c r="W381" t="s">
        <v>7910</v>
      </c>
      <c r="X381" t="s">
        <v>7911</v>
      </c>
      <c r="Y381" t="s">
        <v>7912</v>
      </c>
      <c r="Z381" t="s">
        <v>7913</v>
      </c>
      <c r="AA381" t="s">
        <v>74</v>
      </c>
      <c r="AB381" t="s">
        <v>74</v>
      </c>
      <c r="AC381" t="s">
        <v>7914</v>
      </c>
      <c r="AD381" t="s">
        <v>7915</v>
      </c>
      <c r="AE381" t="s">
        <v>7916</v>
      </c>
      <c r="AF381" t="s">
        <v>74</v>
      </c>
      <c r="AG381">
        <v>10</v>
      </c>
      <c r="AH381">
        <v>3</v>
      </c>
      <c r="AI381">
        <v>3</v>
      </c>
      <c r="AJ381">
        <v>0</v>
      </c>
      <c r="AK381">
        <v>0</v>
      </c>
      <c r="AL381" t="s">
        <v>947</v>
      </c>
      <c r="AM381" t="s">
        <v>948</v>
      </c>
      <c r="AN381" t="s">
        <v>949</v>
      </c>
      <c r="AO381" t="s">
        <v>74</v>
      </c>
      <c r="AP381" t="s">
        <v>74</v>
      </c>
      <c r="AQ381" t="s">
        <v>7917</v>
      </c>
      <c r="AR381" t="s">
        <v>74</v>
      </c>
      <c r="AS381" t="s">
        <v>74</v>
      </c>
      <c r="AT381" t="s">
        <v>74</v>
      </c>
      <c r="AU381">
        <v>2008</v>
      </c>
      <c r="AV381" t="s">
        <v>74</v>
      </c>
      <c r="AW381" t="s">
        <v>74</v>
      </c>
      <c r="AX381" t="s">
        <v>74</v>
      </c>
      <c r="AY381" t="s">
        <v>74</v>
      </c>
      <c r="AZ381" t="s">
        <v>74</v>
      </c>
      <c r="BA381" t="s">
        <v>74</v>
      </c>
      <c r="BB381">
        <v>691</v>
      </c>
      <c r="BC381" t="s">
        <v>5459</v>
      </c>
      <c r="BD381" t="s">
        <v>74</v>
      </c>
      <c r="BE381" t="s">
        <v>7918</v>
      </c>
      <c r="BF381" t="str">
        <f>HYPERLINK("http://dx.doi.org/10.1109/GCC.2008.89","http://dx.doi.org/10.1109/GCC.2008.89")</f>
        <v>http://dx.doi.org/10.1109/GCC.2008.89</v>
      </c>
      <c r="BG381" t="s">
        <v>74</v>
      </c>
      <c r="BH381" t="s">
        <v>74</v>
      </c>
      <c r="BI381">
        <v>2</v>
      </c>
      <c r="BJ381" t="s">
        <v>925</v>
      </c>
      <c r="BK381" t="s">
        <v>203</v>
      </c>
      <c r="BL381" t="s">
        <v>103</v>
      </c>
      <c r="BM381" t="s">
        <v>7919</v>
      </c>
      <c r="BN381" t="s">
        <v>74</v>
      </c>
      <c r="BO381" t="s">
        <v>74</v>
      </c>
      <c r="BP381" t="s">
        <v>74</v>
      </c>
      <c r="BQ381" t="s">
        <v>74</v>
      </c>
      <c r="BR381" t="s">
        <v>106</v>
      </c>
      <c r="BS381" t="s">
        <v>7920</v>
      </c>
      <c r="BT381" t="str">
        <f>HYPERLINK("https%3A%2F%2Fwww.webofscience.com%2Fwos%2Fwoscc%2Ffull-record%2FWOS:000262480400102","View Full Record in Web of Science")</f>
        <v>View Full Record in Web of Science</v>
      </c>
    </row>
    <row r="382" spans="1:72" x14ac:dyDescent="0.25">
      <c r="A382" t="s">
        <v>108</v>
      </c>
      <c r="B382" t="s">
        <v>7422</v>
      </c>
      <c r="C382" t="s">
        <v>74</v>
      </c>
      <c r="D382" t="s">
        <v>74</v>
      </c>
      <c r="E382" t="s">
        <v>465</v>
      </c>
      <c r="F382" t="s">
        <v>7423</v>
      </c>
      <c r="G382" t="s">
        <v>74</v>
      </c>
      <c r="H382" t="s">
        <v>74</v>
      </c>
      <c r="I382" t="s">
        <v>7921</v>
      </c>
      <c r="J382" t="s">
        <v>7922</v>
      </c>
      <c r="K382" t="s">
        <v>74</v>
      </c>
      <c r="L382" t="s">
        <v>74</v>
      </c>
      <c r="M382" t="s">
        <v>78</v>
      </c>
      <c r="N382" t="s">
        <v>115</v>
      </c>
      <c r="O382" t="s">
        <v>7923</v>
      </c>
      <c r="P382" t="s">
        <v>7924</v>
      </c>
      <c r="Q382" t="s">
        <v>7925</v>
      </c>
      <c r="R382" t="s">
        <v>7926</v>
      </c>
      <c r="S382" t="s">
        <v>7927</v>
      </c>
      <c r="T382" t="s">
        <v>7928</v>
      </c>
      <c r="U382" t="s">
        <v>7929</v>
      </c>
      <c r="V382" t="s">
        <v>7930</v>
      </c>
      <c r="W382" t="s">
        <v>7931</v>
      </c>
      <c r="X382" t="s">
        <v>7932</v>
      </c>
      <c r="Y382" t="s">
        <v>7933</v>
      </c>
      <c r="Z382" t="s">
        <v>7432</v>
      </c>
      <c r="AA382" t="s">
        <v>7934</v>
      </c>
      <c r="AB382" t="s">
        <v>74</v>
      </c>
      <c r="AC382" t="s">
        <v>7935</v>
      </c>
      <c r="AD382" t="s">
        <v>7935</v>
      </c>
      <c r="AE382" t="s">
        <v>7936</v>
      </c>
      <c r="AF382" t="s">
        <v>74</v>
      </c>
      <c r="AG382">
        <v>21</v>
      </c>
      <c r="AH382">
        <v>0</v>
      </c>
      <c r="AI382">
        <v>0</v>
      </c>
      <c r="AJ382">
        <v>0</v>
      </c>
      <c r="AK382">
        <v>6</v>
      </c>
      <c r="AL382" t="s">
        <v>465</v>
      </c>
      <c r="AM382" t="s">
        <v>92</v>
      </c>
      <c r="AN382" t="s">
        <v>480</v>
      </c>
      <c r="AO382" t="s">
        <v>74</v>
      </c>
      <c r="AP382" t="s">
        <v>74</v>
      </c>
      <c r="AQ382" t="s">
        <v>7937</v>
      </c>
      <c r="AR382" t="s">
        <v>74</v>
      </c>
      <c r="AS382" t="s">
        <v>74</v>
      </c>
      <c r="AT382" t="s">
        <v>74</v>
      </c>
      <c r="AU382">
        <v>2021</v>
      </c>
      <c r="AV382" t="s">
        <v>74</v>
      </c>
      <c r="AW382" t="s">
        <v>74</v>
      </c>
      <c r="AX382" t="s">
        <v>74</v>
      </c>
      <c r="AY382" t="s">
        <v>74</v>
      </c>
      <c r="AZ382" t="s">
        <v>74</v>
      </c>
      <c r="BA382" t="s">
        <v>74</v>
      </c>
      <c r="BB382" t="s">
        <v>74</v>
      </c>
      <c r="BC382" t="s">
        <v>74</v>
      </c>
      <c r="BD382" t="s">
        <v>74</v>
      </c>
      <c r="BE382" t="s">
        <v>74</v>
      </c>
      <c r="BF382" t="s">
        <v>74</v>
      </c>
      <c r="BG382" t="s">
        <v>74</v>
      </c>
      <c r="BH382" t="s">
        <v>74</v>
      </c>
      <c r="BI382">
        <v>8</v>
      </c>
      <c r="BJ382" t="s">
        <v>7938</v>
      </c>
      <c r="BK382" t="s">
        <v>203</v>
      </c>
      <c r="BL382" t="s">
        <v>7939</v>
      </c>
      <c r="BM382" t="s">
        <v>7940</v>
      </c>
      <c r="BN382" t="s">
        <v>74</v>
      </c>
      <c r="BO382" t="s">
        <v>74</v>
      </c>
      <c r="BP382" t="s">
        <v>74</v>
      </c>
      <c r="BQ382" t="s">
        <v>74</v>
      </c>
      <c r="BR382" t="s">
        <v>106</v>
      </c>
      <c r="BS382" t="s">
        <v>7941</v>
      </c>
      <c r="BT382" t="str">
        <f>HYPERLINK("https%3A%2F%2Fwww.webofscience.com%2Fwos%2Fwoscc%2Ffull-record%2FWOS:000766966900024","View Full Record in Web of Science")</f>
        <v>View Full Record in Web of Science</v>
      </c>
    </row>
    <row r="383" spans="1:72" x14ac:dyDescent="0.25">
      <c r="A383" t="s">
        <v>72</v>
      </c>
      <c r="B383" t="s">
        <v>7942</v>
      </c>
      <c r="C383" t="s">
        <v>74</v>
      </c>
      <c r="D383" t="s">
        <v>74</v>
      </c>
      <c r="E383" t="s">
        <v>74</v>
      </c>
      <c r="F383" t="s">
        <v>7943</v>
      </c>
      <c r="G383" t="s">
        <v>74</v>
      </c>
      <c r="H383" t="s">
        <v>74</v>
      </c>
      <c r="I383" t="s">
        <v>7944</v>
      </c>
      <c r="J383" t="s">
        <v>7278</v>
      </c>
      <c r="K383" t="s">
        <v>74</v>
      </c>
      <c r="L383" t="s">
        <v>74</v>
      </c>
      <c r="M383" t="s">
        <v>78</v>
      </c>
      <c r="N383" t="s">
        <v>79</v>
      </c>
      <c r="O383" t="s">
        <v>74</v>
      </c>
      <c r="P383" t="s">
        <v>74</v>
      </c>
      <c r="Q383" t="s">
        <v>74</v>
      </c>
      <c r="R383" t="s">
        <v>74</v>
      </c>
      <c r="S383" t="s">
        <v>74</v>
      </c>
      <c r="T383" t="s">
        <v>7945</v>
      </c>
      <c r="U383" t="s">
        <v>74</v>
      </c>
      <c r="V383" t="s">
        <v>7946</v>
      </c>
      <c r="W383" t="s">
        <v>7947</v>
      </c>
      <c r="X383" t="s">
        <v>7948</v>
      </c>
      <c r="Y383" t="s">
        <v>7949</v>
      </c>
      <c r="Z383" t="s">
        <v>7950</v>
      </c>
      <c r="AA383" t="s">
        <v>7951</v>
      </c>
      <c r="AB383" t="s">
        <v>7952</v>
      </c>
      <c r="AC383" t="s">
        <v>7953</v>
      </c>
      <c r="AD383" t="s">
        <v>7954</v>
      </c>
      <c r="AE383" t="s">
        <v>7955</v>
      </c>
      <c r="AF383" t="s">
        <v>74</v>
      </c>
      <c r="AG383">
        <v>57</v>
      </c>
      <c r="AH383">
        <v>18</v>
      </c>
      <c r="AI383">
        <v>18</v>
      </c>
      <c r="AJ383">
        <v>0</v>
      </c>
      <c r="AK383">
        <v>42</v>
      </c>
      <c r="AL383" t="s">
        <v>895</v>
      </c>
      <c r="AM383" t="s">
        <v>896</v>
      </c>
      <c r="AN383" t="s">
        <v>897</v>
      </c>
      <c r="AO383" t="s">
        <v>7291</v>
      </c>
      <c r="AP383" t="s">
        <v>7292</v>
      </c>
      <c r="AQ383" t="s">
        <v>74</v>
      </c>
      <c r="AR383" t="s">
        <v>7293</v>
      </c>
      <c r="AS383" t="s">
        <v>7294</v>
      </c>
      <c r="AT383" t="s">
        <v>1251</v>
      </c>
      <c r="AU383">
        <v>2016</v>
      </c>
      <c r="AV383">
        <v>18</v>
      </c>
      <c r="AW383">
        <v>4</v>
      </c>
      <c r="AX383" t="s">
        <v>74</v>
      </c>
      <c r="AY383" t="s">
        <v>74</v>
      </c>
      <c r="AZ383" t="s">
        <v>74</v>
      </c>
      <c r="BA383" t="s">
        <v>74</v>
      </c>
      <c r="BB383">
        <v>687</v>
      </c>
      <c r="BC383">
        <v>701</v>
      </c>
      <c r="BD383" t="s">
        <v>74</v>
      </c>
      <c r="BE383" t="s">
        <v>7956</v>
      </c>
      <c r="BF383" t="str">
        <f>HYPERLINK("http://dx.doi.org/10.1109/TMM.2015.2477277","http://dx.doi.org/10.1109/TMM.2015.2477277")</f>
        <v>http://dx.doi.org/10.1109/TMM.2015.2477277</v>
      </c>
      <c r="BG383" t="s">
        <v>74</v>
      </c>
      <c r="BH383" t="s">
        <v>74</v>
      </c>
      <c r="BI383">
        <v>15</v>
      </c>
      <c r="BJ383" t="s">
        <v>7296</v>
      </c>
      <c r="BK383" t="s">
        <v>902</v>
      </c>
      <c r="BL383" t="s">
        <v>2422</v>
      </c>
      <c r="BM383" t="s">
        <v>7957</v>
      </c>
      <c r="BN383" t="s">
        <v>74</v>
      </c>
      <c r="BO383" t="s">
        <v>74</v>
      </c>
      <c r="BP383" t="s">
        <v>74</v>
      </c>
      <c r="BQ383" t="s">
        <v>74</v>
      </c>
      <c r="BR383" t="s">
        <v>106</v>
      </c>
      <c r="BS383" t="s">
        <v>7958</v>
      </c>
      <c r="BT383" t="str">
        <f>HYPERLINK("https%3A%2F%2Fwww.webofscience.com%2Fwos%2Fwoscc%2Ffull-record%2FWOS:000372790300011","View Full Record in Web of Science")</f>
        <v>View Full Record in Web of Science</v>
      </c>
    </row>
    <row r="384" spans="1:72" x14ac:dyDescent="0.25">
      <c r="A384" t="s">
        <v>108</v>
      </c>
      <c r="B384" t="s">
        <v>7959</v>
      </c>
      <c r="C384" t="s">
        <v>74</v>
      </c>
      <c r="D384" t="s">
        <v>74</v>
      </c>
      <c r="E384" t="s">
        <v>7337</v>
      </c>
      <c r="F384" t="s">
        <v>7960</v>
      </c>
      <c r="G384" t="s">
        <v>74</v>
      </c>
      <c r="H384" t="s">
        <v>74</v>
      </c>
      <c r="I384" t="s">
        <v>7961</v>
      </c>
      <c r="J384" t="s">
        <v>7962</v>
      </c>
      <c r="K384" t="s">
        <v>7963</v>
      </c>
      <c r="L384" t="s">
        <v>74</v>
      </c>
      <c r="M384" t="s">
        <v>78</v>
      </c>
      <c r="N384" t="s">
        <v>115</v>
      </c>
      <c r="O384" t="s">
        <v>7964</v>
      </c>
      <c r="P384" t="s">
        <v>7965</v>
      </c>
      <c r="Q384" t="s">
        <v>4669</v>
      </c>
      <c r="R384" t="s">
        <v>1748</v>
      </c>
      <c r="S384" t="s">
        <v>74</v>
      </c>
      <c r="T384" t="s">
        <v>7966</v>
      </c>
      <c r="U384" t="s">
        <v>74</v>
      </c>
      <c r="V384" t="s">
        <v>7967</v>
      </c>
      <c r="W384" t="s">
        <v>7968</v>
      </c>
      <c r="X384" t="s">
        <v>7969</v>
      </c>
      <c r="Y384" t="s">
        <v>7970</v>
      </c>
      <c r="Z384" t="s">
        <v>7971</v>
      </c>
      <c r="AA384" t="s">
        <v>1755</v>
      </c>
      <c r="AB384" t="s">
        <v>1756</v>
      </c>
      <c r="AC384" t="s">
        <v>74</v>
      </c>
      <c r="AD384" t="s">
        <v>74</v>
      </c>
      <c r="AE384" t="s">
        <v>74</v>
      </c>
      <c r="AF384" t="s">
        <v>74</v>
      </c>
      <c r="AG384">
        <v>15</v>
      </c>
      <c r="AH384">
        <v>4</v>
      </c>
      <c r="AI384">
        <v>4</v>
      </c>
      <c r="AJ384">
        <v>0</v>
      </c>
      <c r="AK384">
        <v>5</v>
      </c>
      <c r="AL384" t="s">
        <v>947</v>
      </c>
      <c r="AM384" t="s">
        <v>948</v>
      </c>
      <c r="AN384" t="s">
        <v>949</v>
      </c>
      <c r="AO384" t="s">
        <v>74</v>
      </c>
      <c r="AP384" t="s">
        <v>74</v>
      </c>
      <c r="AQ384" t="s">
        <v>7972</v>
      </c>
      <c r="AR384" t="s">
        <v>7973</v>
      </c>
      <c r="AS384" t="s">
        <v>74</v>
      </c>
      <c r="AT384" t="s">
        <v>74</v>
      </c>
      <c r="AU384">
        <v>2021</v>
      </c>
      <c r="AV384" t="s">
        <v>74</v>
      </c>
      <c r="AW384" t="s">
        <v>74</v>
      </c>
      <c r="AX384" t="s">
        <v>74</v>
      </c>
      <c r="AY384" t="s">
        <v>74</v>
      </c>
      <c r="AZ384" t="s">
        <v>74</v>
      </c>
      <c r="BA384" t="s">
        <v>74</v>
      </c>
      <c r="BB384">
        <v>182</v>
      </c>
      <c r="BC384">
        <v>185</v>
      </c>
      <c r="BD384" t="s">
        <v>74</v>
      </c>
      <c r="BE384" t="s">
        <v>7974</v>
      </c>
      <c r="BF384" t="str">
        <f>HYPERLINK("http://dx.doi.org/10.1109/ISM52913.2021.00036","http://dx.doi.org/10.1109/ISM52913.2021.00036")</f>
        <v>http://dx.doi.org/10.1109/ISM52913.2021.00036</v>
      </c>
      <c r="BG384" t="s">
        <v>74</v>
      </c>
      <c r="BH384" t="s">
        <v>74</v>
      </c>
      <c r="BI384">
        <v>4</v>
      </c>
      <c r="BJ384" t="s">
        <v>7975</v>
      </c>
      <c r="BK384" t="s">
        <v>203</v>
      </c>
      <c r="BL384" t="s">
        <v>7976</v>
      </c>
      <c r="BM384" t="s">
        <v>7977</v>
      </c>
      <c r="BN384" t="s">
        <v>74</v>
      </c>
      <c r="BO384" t="s">
        <v>74</v>
      </c>
      <c r="BP384" t="s">
        <v>74</v>
      </c>
      <c r="BQ384" t="s">
        <v>74</v>
      </c>
      <c r="BR384" t="s">
        <v>106</v>
      </c>
      <c r="BS384" t="s">
        <v>7978</v>
      </c>
      <c r="BT384" t="str">
        <f>HYPERLINK("https%3A%2F%2Fwww.webofscience.com%2Fwos%2Fwoscc%2Ffull-record%2FWOS:000794252400029","View Full Record in Web of Science")</f>
        <v>View Full Record in Web of Science</v>
      </c>
    </row>
    <row r="385" spans="1:72" x14ac:dyDescent="0.25">
      <c r="A385" t="s">
        <v>108</v>
      </c>
      <c r="B385" t="s">
        <v>7979</v>
      </c>
      <c r="C385" t="s">
        <v>74</v>
      </c>
      <c r="D385" t="s">
        <v>7980</v>
      </c>
      <c r="E385" t="s">
        <v>74</v>
      </c>
      <c r="F385" t="s">
        <v>7981</v>
      </c>
      <c r="G385" t="s">
        <v>74</v>
      </c>
      <c r="H385" t="s">
        <v>74</v>
      </c>
      <c r="I385" t="s">
        <v>7982</v>
      </c>
      <c r="J385" t="s">
        <v>7983</v>
      </c>
      <c r="K385" t="s">
        <v>147</v>
      </c>
      <c r="L385" t="s">
        <v>74</v>
      </c>
      <c r="M385" t="s">
        <v>78</v>
      </c>
      <c r="N385" t="s">
        <v>115</v>
      </c>
      <c r="O385" t="s">
        <v>7984</v>
      </c>
      <c r="P385" t="s">
        <v>7985</v>
      </c>
      <c r="Q385" t="s">
        <v>519</v>
      </c>
      <c r="R385" t="s">
        <v>7986</v>
      </c>
      <c r="S385" t="s">
        <v>74</v>
      </c>
      <c r="T385" t="s">
        <v>7987</v>
      </c>
      <c r="U385" t="s">
        <v>74</v>
      </c>
      <c r="V385" t="s">
        <v>7988</v>
      </c>
      <c r="W385" t="s">
        <v>7989</v>
      </c>
      <c r="X385" t="s">
        <v>7990</v>
      </c>
      <c r="Y385" t="s">
        <v>7991</v>
      </c>
      <c r="Z385" t="s">
        <v>7992</v>
      </c>
      <c r="AA385" t="s">
        <v>7993</v>
      </c>
      <c r="AB385" t="s">
        <v>7994</v>
      </c>
      <c r="AC385" t="s">
        <v>74</v>
      </c>
      <c r="AD385" t="s">
        <v>74</v>
      </c>
      <c r="AE385" t="s">
        <v>74</v>
      </c>
      <c r="AF385" t="s">
        <v>74</v>
      </c>
      <c r="AG385">
        <v>14</v>
      </c>
      <c r="AH385">
        <v>11</v>
      </c>
      <c r="AI385">
        <v>15</v>
      </c>
      <c r="AJ385">
        <v>0</v>
      </c>
      <c r="AK385">
        <v>4</v>
      </c>
      <c r="AL385" t="s">
        <v>129</v>
      </c>
      <c r="AM385" t="s">
        <v>130</v>
      </c>
      <c r="AN385" t="s">
        <v>131</v>
      </c>
      <c r="AO385" t="s">
        <v>159</v>
      </c>
      <c r="AP385" t="s">
        <v>133</v>
      </c>
      <c r="AQ385" t="s">
        <v>7995</v>
      </c>
      <c r="AR385" t="s">
        <v>161</v>
      </c>
      <c r="AS385" t="s">
        <v>74</v>
      </c>
      <c r="AT385" t="s">
        <v>74</v>
      </c>
      <c r="AU385">
        <v>2015</v>
      </c>
      <c r="AV385">
        <v>9395</v>
      </c>
      <c r="AW385" t="s">
        <v>74</v>
      </c>
      <c r="AX385" t="s">
        <v>74</v>
      </c>
      <c r="AY385" t="s">
        <v>74</v>
      </c>
      <c r="AZ385" t="s">
        <v>74</v>
      </c>
      <c r="BA385" t="s">
        <v>74</v>
      </c>
      <c r="BB385">
        <v>151</v>
      </c>
      <c r="BC385">
        <v>162</v>
      </c>
      <c r="BD385" t="s">
        <v>74</v>
      </c>
      <c r="BE385" t="s">
        <v>7996</v>
      </c>
      <c r="BF385" t="str">
        <f>HYPERLINK("http://dx.doi.org/10.1007/978-3-319-25744-0_13","http://dx.doi.org/10.1007/978-3-319-25744-0_13")</f>
        <v>http://dx.doi.org/10.1007/978-3-319-25744-0_13</v>
      </c>
      <c r="BG385" t="s">
        <v>74</v>
      </c>
      <c r="BH385" t="s">
        <v>74</v>
      </c>
      <c r="BI385">
        <v>12</v>
      </c>
      <c r="BJ385" t="s">
        <v>7997</v>
      </c>
      <c r="BK385" t="s">
        <v>203</v>
      </c>
      <c r="BL385" t="s">
        <v>103</v>
      </c>
      <c r="BM385" t="s">
        <v>7998</v>
      </c>
      <c r="BN385" t="s">
        <v>74</v>
      </c>
      <c r="BO385" t="s">
        <v>74</v>
      </c>
      <c r="BP385" t="s">
        <v>74</v>
      </c>
      <c r="BQ385" t="s">
        <v>74</v>
      </c>
      <c r="BR385" t="s">
        <v>106</v>
      </c>
      <c r="BS385" t="s">
        <v>7999</v>
      </c>
      <c r="BT385" t="str">
        <f>HYPERLINK("https%3A%2F%2Fwww.webofscience.com%2Fwos%2Fwoscc%2Ffull-record%2FWOS:000367590900013","View Full Record in Web of Science")</f>
        <v>View Full Record in Web of Science</v>
      </c>
    </row>
    <row r="386" spans="1:72" x14ac:dyDescent="0.25">
      <c r="A386" t="s">
        <v>72</v>
      </c>
      <c r="B386" t="s">
        <v>879</v>
      </c>
      <c r="C386" t="s">
        <v>74</v>
      </c>
      <c r="D386" t="s">
        <v>74</v>
      </c>
      <c r="E386" t="s">
        <v>74</v>
      </c>
      <c r="F386" t="s">
        <v>8000</v>
      </c>
      <c r="G386" t="s">
        <v>74</v>
      </c>
      <c r="H386" t="s">
        <v>74</v>
      </c>
      <c r="I386" t="s">
        <v>8001</v>
      </c>
      <c r="J386" t="s">
        <v>882</v>
      </c>
      <c r="K386" t="s">
        <v>74</v>
      </c>
      <c r="L386" t="s">
        <v>74</v>
      </c>
      <c r="M386" t="s">
        <v>78</v>
      </c>
      <c r="N386" t="s">
        <v>726</v>
      </c>
      <c r="O386" t="s">
        <v>74</v>
      </c>
      <c r="P386" t="s">
        <v>74</v>
      </c>
      <c r="Q386" t="s">
        <v>74</v>
      </c>
      <c r="R386" t="s">
        <v>74</v>
      </c>
      <c r="S386" t="s">
        <v>74</v>
      </c>
      <c r="T386" t="s">
        <v>8002</v>
      </c>
      <c r="U386" t="s">
        <v>8003</v>
      </c>
      <c r="V386" t="s">
        <v>8004</v>
      </c>
      <c r="W386" t="s">
        <v>8005</v>
      </c>
      <c r="X386" t="s">
        <v>8006</v>
      </c>
      <c r="Y386" t="s">
        <v>8007</v>
      </c>
      <c r="Z386" t="s">
        <v>889</v>
      </c>
      <c r="AA386" t="s">
        <v>890</v>
      </c>
      <c r="AB386" t="s">
        <v>891</v>
      </c>
      <c r="AC386" t="s">
        <v>8008</v>
      </c>
      <c r="AD386" t="s">
        <v>8009</v>
      </c>
      <c r="AE386" t="s">
        <v>8010</v>
      </c>
      <c r="AF386" t="s">
        <v>74</v>
      </c>
      <c r="AG386">
        <v>168</v>
      </c>
      <c r="AH386">
        <v>9</v>
      </c>
      <c r="AI386">
        <v>11</v>
      </c>
      <c r="AJ386">
        <v>4</v>
      </c>
      <c r="AK386">
        <v>72</v>
      </c>
      <c r="AL386" t="s">
        <v>895</v>
      </c>
      <c r="AM386" t="s">
        <v>896</v>
      </c>
      <c r="AN386" t="s">
        <v>897</v>
      </c>
      <c r="AO386" t="s">
        <v>898</v>
      </c>
      <c r="AP386" t="s">
        <v>74</v>
      </c>
      <c r="AQ386" t="s">
        <v>74</v>
      </c>
      <c r="AR386" t="s">
        <v>882</v>
      </c>
      <c r="AS386" t="s">
        <v>899</v>
      </c>
      <c r="AT386" t="s">
        <v>74</v>
      </c>
      <c r="AU386">
        <v>2024</v>
      </c>
      <c r="AV386">
        <v>12</v>
      </c>
      <c r="AW386" t="s">
        <v>74</v>
      </c>
      <c r="AX386" t="s">
        <v>74</v>
      </c>
      <c r="AY386" t="s">
        <v>74</v>
      </c>
      <c r="AZ386" t="s">
        <v>74</v>
      </c>
      <c r="BA386" t="s">
        <v>74</v>
      </c>
      <c r="BB386">
        <v>122642</v>
      </c>
      <c r="BC386">
        <v>122670</v>
      </c>
      <c r="BD386" t="s">
        <v>74</v>
      </c>
      <c r="BE386" t="s">
        <v>8011</v>
      </c>
      <c r="BF386" t="str">
        <f>HYPERLINK("http://dx.doi.org/10.1109/ACCESS.2024.3430987","http://dx.doi.org/10.1109/ACCESS.2024.3430987")</f>
        <v>http://dx.doi.org/10.1109/ACCESS.2024.3430987</v>
      </c>
      <c r="BG386" t="s">
        <v>74</v>
      </c>
      <c r="BH386" t="s">
        <v>74</v>
      </c>
      <c r="BI386">
        <v>29</v>
      </c>
      <c r="BJ386" t="s">
        <v>901</v>
      </c>
      <c r="BK386" t="s">
        <v>902</v>
      </c>
      <c r="BL386" t="s">
        <v>903</v>
      </c>
      <c r="BM386" t="s">
        <v>8012</v>
      </c>
      <c r="BN386" t="s">
        <v>74</v>
      </c>
      <c r="BO386" t="s">
        <v>398</v>
      </c>
      <c r="BP386" t="s">
        <v>74</v>
      </c>
      <c r="BQ386" t="s">
        <v>74</v>
      </c>
      <c r="BR386" t="s">
        <v>106</v>
      </c>
      <c r="BS386" t="s">
        <v>8013</v>
      </c>
      <c r="BT386" t="str">
        <f>HYPERLINK("https%3A%2F%2Fwww.webofscience.com%2Fwos%2Fwoscc%2Ffull-record%2FWOS:001310750900001","View Full Record in Web of Science")</f>
        <v>View Full Record in Web of Science</v>
      </c>
    </row>
    <row r="387" spans="1:72" x14ac:dyDescent="0.25">
      <c r="A387" t="s">
        <v>72</v>
      </c>
      <c r="B387" t="s">
        <v>8014</v>
      </c>
      <c r="C387" t="s">
        <v>74</v>
      </c>
      <c r="D387" t="s">
        <v>74</v>
      </c>
      <c r="E387" t="s">
        <v>74</v>
      </c>
      <c r="F387" t="s">
        <v>8015</v>
      </c>
      <c r="G387" t="s">
        <v>74</v>
      </c>
      <c r="H387" t="s">
        <v>74</v>
      </c>
      <c r="I387" t="s">
        <v>8016</v>
      </c>
      <c r="J387" t="s">
        <v>8017</v>
      </c>
      <c r="K387" t="s">
        <v>74</v>
      </c>
      <c r="L387" t="s">
        <v>74</v>
      </c>
      <c r="M387" t="s">
        <v>78</v>
      </c>
      <c r="N387" t="s">
        <v>79</v>
      </c>
      <c r="O387" t="s">
        <v>74</v>
      </c>
      <c r="P387" t="s">
        <v>74</v>
      </c>
      <c r="Q387" t="s">
        <v>74</v>
      </c>
      <c r="R387" t="s">
        <v>74</v>
      </c>
      <c r="S387" t="s">
        <v>74</v>
      </c>
      <c r="T387" t="s">
        <v>8018</v>
      </c>
      <c r="U387" t="s">
        <v>74</v>
      </c>
      <c r="V387" t="s">
        <v>8019</v>
      </c>
      <c r="W387" t="s">
        <v>8020</v>
      </c>
      <c r="X387" t="s">
        <v>8021</v>
      </c>
      <c r="Y387" t="s">
        <v>8022</v>
      </c>
      <c r="Z387" t="s">
        <v>8023</v>
      </c>
      <c r="AA387" t="s">
        <v>74</v>
      </c>
      <c r="AB387" t="s">
        <v>8024</v>
      </c>
      <c r="AC387" t="s">
        <v>8025</v>
      </c>
      <c r="AD387" t="s">
        <v>2463</v>
      </c>
      <c r="AE387" t="s">
        <v>8026</v>
      </c>
      <c r="AF387" t="s">
        <v>74</v>
      </c>
      <c r="AG387">
        <v>41</v>
      </c>
      <c r="AH387">
        <v>0</v>
      </c>
      <c r="AI387">
        <v>0</v>
      </c>
      <c r="AJ387">
        <v>3</v>
      </c>
      <c r="AK387">
        <v>4</v>
      </c>
      <c r="AL387" t="s">
        <v>8027</v>
      </c>
      <c r="AM387" t="s">
        <v>8028</v>
      </c>
      <c r="AN387" t="s">
        <v>8029</v>
      </c>
      <c r="AO387" t="s">
        <v>74</v>
      </c>
      <c r="AP387" t="s">
        <v>8030</v>
      </c>
      <c r="AQ387" t="s">
        <v>74</v>
      </c>
      <c r="AR387" t="s">
        <v>8017</v>
      </c>
      <c r="AS387" t="s">
        <v>8031</v>
      </c>
      <c r="AT387" t="s">
        <v>74</v>
      </c>
      <c r="AU387">
        <v>2025</v>
      </c>
      <c r="AV387">
        <v>6</v>
      </c>
      <c r="AW387" t="s">
        <v>74</v>
      </c>
      <c r="AX387" t="s">
        <v>74</v>
      </c>
      <c r="AY387" t="s">
        <v>74</v>
      </c>
      <c r="AZ387" t="s">
        <v>74</v>
      </c>
      <c r="BA387" t="s">
        <v>74</v>
      </c>
      <c r="BB387">
        <v>130</v>
      </c>
      <c r="BC387">
        <v>141</v>
      </c>
      <c r="BD387" t="s">
        <v>74</v>
      </c>
      <c r="BE387" t="s">
        <v>8032</v>
      </c>
      <c r="BF387" t="str">
        <f>HYPERLINK("http://dx.doi.org/10.1016/j.aiopen.2025.08.003","http://dx.doi.org/10.1016/j.aiopen.2025.08.003")</f>
        <v>http://dx.doi.org/10.1016/j.aiopen.2025.08.003</v>
      </c>
      <c r="BG387" t="s">
        <v>74</v>
      </c>
      <c r="BH387" t="s">
        <v>8033</v>
      </c>
      <c r="BI387">
        <v>12</v>
      </c>
      <c r="BJ387" t="s">
        <v>2837</v>
      </c>
      <c r="BK387" t="s">
        <v>102</v>
      </c>
      <c r="BL387" t="s">
        <v>103</v>
      </c>
      <c r="BM387" t="s">
        <v>8034</v>
      </c>
      <c r="BN387" t="s">
        <v>74</v>
      </c>
      <c r="BO387" t="s">
        <v>398</v>
      </c>
      <c r="BP387" t="s">
        <v>74</v>
      </c>
      <c r="BQ387" t="s">
        <v>74</v>
      </c>
      <c r="BR387" t="s">
        <v>106</v>
      </c>
      <c r="BS387" t="s">
        <v>8035</v>
      </c>
      <c r="BT387" t="str">
        <f>HYPERLINK("https%3A%2F%2Fwww.webofscience.com%2Fwos%2Fwoscc%2Ffull-record%2FWOS:001598463300001","View Full Record in Web of Science")</f>
        <v>View Full Record in Web of Science</v>
      </c>
    </row>
    <row r="388" spans="1:72" x14ac:dyDescent="0.25">
      <c r="A388" t="s">
        <v>108</v>
      </c>
      <c r="B388" t="s">
        <v>8036</v>
      </c>
      <c r="C388" t="s">
        <v>74</v>
      </c>
      <c r="D388" t="s">
        <v>8037</v>
      </c>
      <c r="E388" t="s">
        <v>74</v>
      </c>
      <c r="F388" t="s">
        <v>8038</v>
      </c>
      <c r="G388" t="s">
        <v>74</v>
      </c>
      <c r="H388" t="s">
        <v>74</v>
      </c>
      <c r="I388" t="s">
        <v>8039</v>
      </c>
      <c r="J388" t="s">
        <v>8040</v>
      </c>
      <c r="K388" t="s">
        <v>5509</v>
      </c>
      <c r="L388" t="s">
        <v>74</v>
      </c>
      <c r="M388" t="s">
        <v>78</v>
      </c>
      <c r="N388" t="s">
        <v>115</v>
      </c>
      <c r="O388" t="s">
        <v>8041</v>
      </c>
      <c r="P388" t="s">
        <v>8042</v>
      </c>
      <c r="Q388" t="s">
        <v>3677</v>
      </c>
      <c r="R388" t="s">
        <v>74</v>
      </c>
      <c r="S388" t="s">
        <v>74</v>
      </c>
      <c r="T388" t="s">
        <v>74</v>
      </c>
      <c r="U388" t="s">
        <v>74</v>
      </c>
      <c r="V388" t="s">
        <v>8043</v>
      </c>
      <c r="W388" t="s">
        <v>8044</v>
      </c>
      <c r="X388" t="s">
        <v>8045</v>
      </c>
      <c r="Y388" t="s">
        <v>8046</v>
      </c>
      <c r="Z388" t="s">
        <v>8047</v>
      </c>
      <c r="AA388" t="s">
        <v>8048</v>
      </c>
      <c r="AB388" t="s">
        <v>8049</v>
      </c>
      <c r="AC388" t="s">
        <v>8050</v>
      </c>
      <c r="AD388" t="s">
        <v>2463</v>
      </c>
      <c r="AE388" t="s">
        <v>8051</v>
      </c>
      <c r="AF388" t="s">
        <v>74</v>
      </c>
      <c r="AG388">
        <v>43</v>
      </c>
      <c r="AH388">
        <v>12</v>
      </c>
      <c r="AI388">
        <v>12</v>
      </c>
      <c r="AJ388">
        <v>3</v>
      </c>
      <c r="AK388">
        <v>7</v>
      </c>
      <c r="AL388" t="s">
        <v>5523</v>
      </c>
      <c r="AM388" t="s">
        <v>5524</v>
      </c>
      <c r="AN388" t="s">
        <v>5525</v>
      </c>
      <c r="AO388" t="s">
        <v>5526</v>
      </c>
      <c r="AP388" t="s">
        <v>5527</v>
      </c>
      <c r="AQ388" t="s">
        <v>8052</v>
      </c>
      <c r="AR388" t="s">
        <v>5529</v>
      </c>
      <c r="AS388" t="s">
        <v>74</v>
      </c>
      <c r="AT388" t="s">
        <v>74</v>
      </c>
      <c r="AU388">
        <v>2025</v>
      </c>
      <c r="AV388" t="s">
        <v>74</v>
      </c>
      <c r="AW388" t="s">
        <v>74</v>
      </c>
      <c r="AX388" t="s">
        <v>74</v>
      </c>
      <c r="AY388" t="s">
        <v>74</v>
      </c>
      <c r="AZ388" t="s">
        <v>74</v>
      </c>
      <c r="BA388" t="s">
        <v>74</v>
      </c>
      <c r="BB388">
        <v>932</v>
      </c>
      <c r="BC388">
        <v>940</v>
      </c>
      <c r="BD388" t="s">
        <v>74</v>
      </c>
      <c r="BE388" t="s">
        <v>74</v>
      </c>
      <c r="BF388" t="s">
        <v>74</v>
      </c>
      <c r="BG388" t="s">
        <v>74</v>
      </c>
      <c r="BH388" t="s">
        <v>74</v>
      </c>
      <c r="BI388">
        <v>9</v>
      </c>
      <c r="BJ388" t="s">
        <v>7124</v>
      </c>
      <c r="BK388" t="s">
        <v>203</v>
      </c>
      <c r="BL388" t="s">
        <v>103</v>
      </c>
      <c r="BM388" t="s">
        <v>8053</v>
      </c>
      <c r="BN388" t="s">
        <v>74</v>
      </c>
      <c r="BO388" t="s">
        <v>372</v>
      </c>
      <c r="BP388" t="s">
        <v>74</v>
      </c>
      <c r="BQ388" t="s">
        <v>74</v>
      </c>
      <c r="BR388" t="s">
        <v>106</v>
      </c>
      <c r="BS388" t="s">
        <v>8054</v>
      </c>
      <c r="BT388" t="str">
        <f>HYPERLINK("https%3A%2F%2Fwww.webofscience.com%2Fwos%2Fwoscc%2Ffull-record%2FWOS:001478149100105","View Full Record in Web of Science")</f>
        <v>View Full Record in Web of Science</v>
      </c>
    </row>
    <row r="389" spans="1:72" x14ac:dyDescent="0.25">
      <c r="A389" t="s">
        <v>108</v>
      </c>
      <c r="B389" t="s">
        <v>8055</v>
      </c>
      <c r="C389" t="s">
        <v>74</v>
      </c>
      <c r="D389" t="s">
        <v>8056</v>
      </c>
      <c r="E389" t="s">
        <v>74</v>
      </c>
      <c r="F389" t="s">
        <v>8057</v>
      </c>
      <c r="G389" t="s">
        <v>74</v>
      </c>
      <c r="H389" t="s">
        <v>74</v>
      </c>
      <c r="I389" t="s">
        <v>8058</v>
      </c>
      <c r="J389" t="s">
        <v>8059</v>
      </c>
      <c r="K389" t="s">
        <v>2682</v>
      </c>
      <c r="L389" t="s">
        <v>74</v>
      </c>
      <c r="M389" t="s">
        <v>78</v>
      </c>
      <c r="N389" t="s">
        <v>115</v>
      </c>
      <c r="O389" t="s">
        <v>8060</v>
      </c>
      <c r="P389" t="s">
        <v>8061</v>
      </c>
      <c r="Q389" t="s">
        <v>8062</v>
      </c>
      <c r="R389" t="s">
        <v>74</v>
      </c>
      <c r="S389" t="s">
        <v>8063</v>
      </c>
      <c r="T389" t="s">
        <v>8064</v>
      </c>
      <c r="U389" t="s">
        <v>74</v>
      </c>
      <c r="V389" t="s">
        <v>8065</v>
      </c>
      <c r="W389" t="s">
        <v>8066</v>
      </c>
      <c r="X389" t="s">
        <v>74</v>
      </c>
      <c r="Y389" t="s">
        <v>8067</v>
      </c>
      <c r="Z389" t="s">
        <v>8068</v>
      </c>
      <c r="AA389" t="s">
        <v>8069</v>
      </c>
      <c r="AB389" t="s">
        <v>8070</v>
      </c>
      <c r="AC389" t="s">
        <v>74</v>
      </c>
      <c r="AD389" t="s">
        <v>74</v>
      </c>
      <c r="AE389" t="s">
        <v>74</v>
      </c>
      <c r="AF389" t="s">
        <v>74</v>
      </c>
      <c r="AG389">
        <v>26</v>
      </c>
      <c r="AH389">
        <v>4</v>
      </c>
      <c r="AI389">
        <v>6</v>
      </c>
      <c r="AJ389">
        <v>0</v>
      </c>
      <c r="AK389">
        <v>1</v>
      </c>
      <c r="AL389" t="s">
        <v>2695</v>
      </c>
      <c r="AM389" t="s">
        <v>363</v>
      </c>
      <c r="AN389" t="s">
        <v>2696</v>
      </c>
      <c r="AO389" t="s">
        <v>2697</v>
      </c>
      <c r="AP389" t="s">
        <v>74</v>
      </c>
      <c r="AQ389" t="s">
        <v>74</v>
      </c>
      <c r="AR389" t="s">
        <v>2698</v>
      </c>
      <c r="AS389" t="s">
        <v>74</v>
      </c>
      <c r="AT389" t="s">
        <v>74</v>
      </c>
      <c r="AU389">
        <v>2020</v>
      </c>
      <c r="AV389">
        <v>167</v>
      </c>
      <c r="AW389" t="s">
        <v>74</v>
      </c>
      <c r="AX389" t="s">
        <v>74</v>
      </c>
      <c r="AY389" t="s">
        <v>74</v>
      </c>
      <c r="AZ389" t="s">
        <v>74</v>
      </c>
      <c r="BA389" t="s">
        <v>74</v>
      </c>
      <c r="BB389">
        <v>1411</v>
      </c>
      <c r="BC389">
        <v>1420</v>
      </c>
      <c r="BD389" t="s">
        <v>74</v>
      </c>
      <c r="BE389" t="s">
        <v>8071</v>
      </c>
      <c r="BF389" t="str">
        <f>HYPERLINK("http://dx.doi.org/10.1016/j.procs.2020.03.352","http://dx.doi.org/10.1016/j.procs.2020.03.352")</f>
        <v>http://dx.doi.org/10.1016/j.procs.2020.03.352</v>
      </c>
      <c r="BG389" t="s">
        <v>74</v>
      </c>
      <c r="BH389" t="s">
        <v>74</v>
      </c>
      <c r="BI389">
        <v>10</v>
      </c>
      <c r="BJ389" t="s">
        <v>1399</v>
      </c>
      <c r="BK389" t="s">
        <v>203</v>
      </c>
      <c r="BL389" t="s">
        <v>103</v>
      </c>
      <c r="BM389" t="s">
        <v>8072</v>
      </c>
      <c r="BN389" t="s">
        <v>74</v>
      </c>
      <c r="BO389" t="s">
        <v>372</v>
      </c>
      <c r="BP389" t="s">
        <v>74</v>
      </c>
      <c r="BQ389" t="s">
        <v>74</v>
      </c>
      <c r="BR389" t="s">
        <v>106</v>
      </c>
      <c r="BS389" t="s">
        <v>8073</v>
      </c>
      <c r="BT389" t="str">
        <f>HYPERLINK("https%3A%2F%2Fwww.webofscience.com%2Fwos%2Fwoscc%2Ffull-record%2FWOS:000582710700144","View Full Record in Web of Science")</f>
        <v>View Full Record in Web of Science</v>
      </c>
    </row>
    <row r="390" spans="1:72" x14ac:dyDescent="0.25">
      <c r="A390" t="s">
        <v>108</v>
      </c>
      <c r="B390" t="s">
        <v>8074</v>
      </c>
      <c r="C390" t="s">
        <v>74</v>
      </c>
      <c r="D390" t="s">
        <v>74</v>
      </c>
      <c r="E390" t="s">
        <v>322</v>
      </c>
      <c r="F390" t="s">
        <v>8075</v>
      </c>
      <c r="G390" t="s">
        <v>74</v>
      </c>
      <c r="H390" t="s">
        <v>74</v>
      </c>
      <c r="I390" t="s">
        <v>8076</v>
      </c>
      <c r="J390" t="s">
        <v>4054</v>
      </c>
      <c r="K390" t="s">
        <v>74</v>
      </c>
      <c r="L390" t="s">
        <v>74</v>
      </c>
      <c r="M390" t="s">
        <v>78</v>
      </c>
      <c r="N390" t="s">
        <v>115</v>
      </c>
      <c r="O390" t="s">
        <v>4055</v>
      </c>
      <c r="P390" t="s">
        <v>4056</v>
      </c>
      <c r="Q390" t="s">
        <v>4057</v>
      </c>
      <c r="R390" t="s">
        <v>4058</v>
      </c>
      <c r="S390" t="s">
        <v>74</v>
      </c>
      <c r="T390" t="s">
        <v>8077</v>
      </c>
      <c r="U390" t="s">
        <v>74</v>
      </c>
      <c r="V390" t="s">
        <v>8078</v>
      </c>
      <c r="W390" t="s">
        <v>8079</v>
      </c>
      <c r="X390" t="s">
        <v>5171</v>
      </c>
      <c r="Y390" t="s">
        <v>8080</v>
      </c>
      <c r="Z390" t="s">
        <v>8081</v>
      </c>
      <c r="AA390" t="s">
        <v>74</v>
      </c>
      <c r="AB390" t="s">
        <v>74</v>
      </c>
      <c r="AC390" t="s">
        <v>74</v>
      </c>
      <c r="AD390" t="s">
        <v>74</v>
      </c>
      <c r="AE390" t="s">
        <v>74</v>
      </c>
      <c r="AF390" t="s">
        <v>74</v>
      </c>
      <c r="AG390">
        <v>6</v>
      </c>
      <c r="AH390">
        <v>2</v>
      </c>
      <c r="AI390">
        <v>3</v>
      </c>
      <c r="AJ390">
        <v>0</v>
      </c>
      <c r="AK390">
        <v>1</v>
      </c>
      <c r="AL390" t="s">
        <v>291</v>
      </c>
      <c r="AM390" t="s">
        <v>92</v>
      </c>
      <c r="AN390" t="s">
        <v>292</v>
      </c>
      <c r="AO390" t="s">
        <v>74</v>
      </c>
      <c r="AP390" t="s">
        <v>74</v>
      </c>
      <c r="AQ390" t="s">
        <v>4065</v>
      </c>
      <c r="AR390" t="s">
        <v>74</v>
      </c>
      <c r="AS390" t="s">
        <v>74</v>
      </c>
      <c r="AT390" t="s">
        <v>74</v>
      </c>
      <c r="AU390">
        <v>2015</v>
      </c>
      <c r="AV390" t="s">
        <v>74</v>
      </c>
      <c r="AW390" t="s">
        <v>74</v>
      </c>
      <c r="AX390" t="s">
        <v>74</v>
      </c>
      <c r="AY390" t="s">
        <v>74</v>
      </c>
      <c r="AZ390" t="s">
        <v>74</v>
      </c>
      <c r="BA390" t="s">
        <v>74</v>
      </c>
      <c r="BB390">
        <v>199</v>
      </c>
      <c r="BC390">
        <v>202</v>
      </c>
      <c r="BD390" t="s">
        <v>74</v>
      </c>
      <c r="BE390" t="s">
        <v>8082</v>
      </c>
      <c r="BF390" t="str">
        <f>HYPERLINK("http://dx.doi.org/10.1145/2740908.2742850","http://dx.doi.org/10.1145/2740908.2742850")</f>
        <v>http://dx.doi.org/10.1145/2740908.2742850</v>
      </c>
      <c r="BG390" t="s">
        <v>74</v>
      </c>
      <c r="BH390" t="s">
        <v>74</v>
      </c>
      <c r="BI390">
        <v>4</v>
      </c>
      <c r="BJ390" t="s">
        <v>972</v>
      </c>
      <c r="BK390" t="s">
        <v>203</v>
      </c>
      <c r="BL390" t="s">
        <v>953</v>
      </c>
      <c r="BM390" t="s">
        <v>4067</v>
      </c>
      <c r="BN390" t="s">
        <v>74</v>
      </c>
      <c r="BO390" t="s">
        <v>74</v>
      </c>
      <c r="BP390" t="s">
        <v>74</v>
      </c>
      <c r="BQ390" t="s">
        <v>74</v>
      </c>
      <c r="BR390" t="s">
        <v>106</v>
      </c>
      <c r="BS390" t="s">
        <v>8083</v>
      </c>
      <c r="BT390" t="str">
        <f>HYPERLINK("https%3A%2F%2Fwww.webofscience.com%2Fwos%2Fwoscc%2Ffull-record%2FWOS:000382666600085","View Full Record in Web of Science")</f>
        <v>View Full Record in Web of Science</v>
      </c>
    </row>
    <row r="391" spans="1:72" x14ac:dyDescent="0.25">
      <c r="A391" t="s">
        <v>108</v>
      </c>
      <c r="B391" t="s">
        <v>8084</v>
      </c>
      <c r="C391" t="s">
        <v>74</v>
      </c>
      <c r="D391" t="s">
        <v>74</v>
      </c>
      <c r="E391" t="s">
        <v>273</v>
      </c>
      <c r="F391" t="s">
        <v>8085</v>
      </c>
      <c r="G391" t="s">
        <v>74</v>
      </c>
      <c r="H391" t="s">
        <v>74</v>
      </c>
      <c r="I391" t="s">
        <v>8086</v>
      </c>
      <c r="J391" t="s">
        <v>8087</v>
      </c>
      <c r="K391" t="s">
        <v>74</v>
      </c>
      <c r="L391" t="s">
        <v>74</v>
      </c>
      <c r="M391" t="s">
        <v>78</v>
      </c>
      <c r="N391" t="s">
        <v>115</v>
      </c>
      <c r="O391" t="s">
        <v>8088</v>
      </c>
      <c r="P391" t="s">
        <v>8089</v>
      </c>
      <c r="Q391" t="s">
        <v>8090</v>
      </c>
      <c r="R391" t="s">
        <v>8091</v>
      </c>
      <c r="S391" t="s">
        <v>74</v>
      </c>
      <c r="T391" t="s">
        <v>8092</v>
      </c>
      <c r="U391" t="s">
        <v>8093</v>
      </c>
      <c r="V391" t="s">
        <v>8094</v>
      </c>
      <c r="W391" t="s">
        <v>8095</v>
      </c>
      <c r="X391" t="s">
        <v>8096</v>
      </c>
      <c r="Y391" t="s">
        <v>8097</v>
      </c>
      <c r="Z391" t="s">
        <v>8098</v>
      </c>
      <c r="AA391" t="s">
        <v>74</v>
      </c>
      <c r="AB391" t="s">
        <v>8099</v>
      </c>
      <c r="AC391" t="s">
        <v>74</v>
      </c>
      <c r="AD391" t="s">
        <v>74</v>
      </c>
      <c r="AE391" t="s">
        <v>74</v>
      </c>
      <c r="AF391" t="s">
        <v>74</v>
      </c>
      <c r="AG391">
        <v>32</v>
      </c>
      <c r="AH391">
        <v>123</v>
      </c>
      <c r="AI391">
        <v>146</v>
      </c>
      <c r="AJ391">
        <v>0</v>
      </c>
      <c r="AK391">
        <v>7</v>
      </c>
      <c r="AL391" t="s">
        <v>291</v>
      </c>
      <c r="AM391" t="s">
        <v>92</v>
      </c>
      <c r="AN391" t="s">
        <v>292</v>
      </c>
      <c r="AO391" t="s">
        <v>74</v>
      </c>
      <c r="AP391" t="s">
        <v>74</v>
      </c>
      <c r="AQ391" t="s">
        <v>8100</v>
      </c>
      <c r="AR391" t="s">
        <v>74</v>
      </c>
      <c r="AS391" t="s">
        <v>74</v>
      </c>
      <c r="AT391" t="s">
        <v>74</v>
      </c>
      <c r="AU391">
        <v>2015</v>
      </c>
      <c r="AV391" t="s">
        <v>74</v>
      </c>
      <c r="AW391" t="s">
        <v>74</v>
      </c>
      <c r="AX391" t="s">
        <v>74</v>
      </c>
      <c r="AY391" t="s">
        <v>74</v>
      </c>
      <c r="AZ391" t="s">
        <v>74</v>
      </c>
      <c r="BA391" t="s">
        <v>74</v>
      </c>
      <c r="BB391">
        <v>295</v>
      </c>
      <c r="BC391">
        <v>304</v>
      </c>
      <c r="BD391" t="s">
        <v>74</v>
      </c>
      <c r="BE391" t="s">
        <v>8101</v>
      </c>
      <c r="BF391" t="str">
        <f>HYPERLINK("http://dx.doi.org/10.1145/2684822.2685287","http://dx.doi.org/10.1145/2684822.2685287")</f>
        <v>http://dx.doi.org/10.1145/2684822.2685287</v>
      </c>
      <c r="BG391" t="s">
        <v>74</v>
      </c>
      <c r="BH391" t="s">
        <v>74</v>
      </c>
      <c r="BI391">
        <v>10</v>
      </c>
      <c r="BJ391" t="s">
        <v>461</v>
      </c>
      <c r="BK391" t="s">
        <v>203</v>
      </c>
      <c r="BL391" t="s">
        <v>103</v>
      </c>
      <c r="BM391" t="s">
        <v>8102</v>
      </c>
      <c r="BN391" t="s">
        <v>74</v>
      </c>
      <c r="BO391" t="s">
        <v>74</v>
      </c>
      <c r="BP391" t="s">
        <v>74</v>
      </c>
      <c r="BQ391" t="s">
        <v>74</v>
      </c>
      <c r="BR391" t="s">
        <v>106</v>
      </c>
      <c r="BS391" t="s">
        <v>8103</v>
      </c>
      <c r="BT391" t="str">
        <f>HYPERLINK("https%3A%2F%2Fwww.webofscience.com%2Fwos%2Fwoscc%2Ffull-record%2FWOS:000485486900036","View Full Record in Web of Science")</f>
        <v>View Full Record in Web of Science</v>
      </c>
    </row>
    <row r="392" spans="1:72" x14ac:dyDescent="0.25">
      <c r="A392" t="s">
        <v>108</v>
      </c>
      <c r="B392" t="s">
        <v>8104</v>
      </c>
      <c r="C392" t="s">
        <v>74</v>
      </c>
      <c r="D392" t="s">
        <v>74</v>
      </c>
      <c r="E392" t="s">
        <v>322</v>
      </c>
      <c r="F392" t="s">
        <v>8105</v>
      </c>
      <c r="G392" t="s">
        <v>74</v>
      </c>
      <c r="H392" t="s">
        <v>74</v>
      </c>
      <c r="I392" t="s">
        <v>8106</v>
      </c>
      <c r="J392" t="s">
        <v>8107</v>
      </c>
      <c r="K392" t="s">
        <v>74</v>
      </c>
      <c r="L392" t="s">
        <v>74</v>
      </c>
      <c r="M392" t="s">
        <v>78</v>
      </c>
      <c r="N392" t="s">
        <v>115</v>
      </c>
      <c r="O392" t="s">
        <v>8108</v>
      </c>
      <c r="P392" t="s">
        <v>8109</v>
      </c>
      <c r="Q392" t="s">
        <v>5553</v>
      </c>
      <c r="R392" t="s">
        <v>8110</v>
      </c>
      <c r="S392" t="s">
        <v>74</v>
      </c>
      <c r="T392" t="s">
        <v>8111</v>
      </c>
      <c r="U392" t="s">
        <v>74</v>
      </c>
      <c r="V392" t="s">
        <v>74</v>
      </c>
      <c r="W392" t="s">
        <v>8112</v>
      </c>
      <c r="X392" t="s">
        <v>8113</v>
      </c>
      <c r="Y392" t="s">
        <v>8114</v>
      </c>
      <c r="Z392" t="s">
        <v>8115</v>
      </c>
      <c r="AA392" t="s">
        <v>74</v>
      </c>
      <c r="AB392" t="s">
        <v>74</v>
      </c>
      <c r="AC392" t="s">
        <v>74</v>
      </c>
      <c r="AD392" t="s">
        <v>74</v>
      </c>
      <c r="AE392" t="s">
        <v>74</v>
      </c>
      <c r="AF392" t="s">
        <v>74</v>
      </c>
      <c r="AG392">
        <v>2</v>
      </c>
      <c r="AH392">
        <v>0</v>
      </c>
      <c r="AI392">
        <v>2</v>
      </c>
      <c r="AJ392">
        <v>0</v>
      </c>
      <c r="AK392">
        <v>2</v>
      </c>
      <c r="AL392" t="s">
        <v>291</v>
      </c>
      <c r="AM392" t="s">
        <v>92</v>
      </c>
      <c r="AN392" t="s">
        <v>292</v>
      </c>
      <c r="AO392" t="s">
        <v>74</v>
      </c>
      <c r="AP392" t="s">
        <v>74</v>
      </c>
      <c r="AQ392" t="s">
        <v>8116</v>
      </c>
      <c r="AR392" t="s">
        <v>74</v>
      </c>
      <c r="AS392" t="s">
        <v>74</v>
      </c>
      <c r="AT392" t="s">
        <v>74</v>
      </c>
      <c r="AU392">
        <v>2014</v>
      </c>
      <c r="AV392" t="s">
        <v>74</v>
      </c>
      <c r="AW392" t="s">
        <v>74</v>
      </c>
      <c r="AX392" t="s">
        <v>74</v>
      </c>
      <c r="AY392" t="s">
        <v>74</v>
      </c>
      <c r="AZ392" t="s">
        <v>74</v>
      </c>
      <c r="BA392" t="s">
        <v>74</v>
      </c>
      <c r="BB392">
        <v>1282</v>
      </c>
      <c r="BC392">
        <v>1282</v>
      </c>
      <c r="BD392" t="s">
        <v>74</v>
      </c>
      <c r="BE392" t="s">
        <v>8117</v>
      </c>
      <c r="BF392" t="str">
        <f>HYPERLINK("http://dx.doi.org/10.1145/2600428.2610383","http://dx.doi.org/10.1145/2600428.2610383")</f>
        <v>http://dx.doi.org/10.1145/2600428.2610383</v>
      </c>
      <c r="BG392" t="s">
        <v>74</v>
      </c>
      <c r="BH392" t="s">
        <v>74</v>
      </c>
      <c r="BI392">
        <v>1</v>
      </c>
      <c r="BJ392" t="s">
        <v>852</v>
      </c>
      <c r="BK392" t="s">
        <v>203</v>
      </c>
      <c r="BL392" t="s">
        <v>103</v>
      </c>
      <c r="BM392" t="s">
        <v>8118</v>
      </c>
      <c r="BN392" t="s">
        <v>74</v>
      </c>
      <c r="BO392" t="s">
        <v>74</v>
      </c>
      <c r="BP392" t="s">
        <v>74</v>
      </c>
      <c r="BQ392" t="s">
        <v>74</v>
      </c>
      <c r="BR392" t="s">
        <v>106</v>
      </c>
      <c r="BS392" t="s">
        <v>8119</v>
      </c>
      <c r="BT392" t="str">
        <f>HYPERLINK("https%3A%2F%2Fwww.webofscience.com%2Fwos%2Fwoscc%2Ffull-record%2FWOS:000450717600212","View Full Record in Web of Science")</f>
        <v>View Full Record in Web of Science</v>
      </c>
    </row>
    <row r="393" spans="1:72" x14ac:dyDescent="0.25">
      <c r="A393" t="s">
        <v>72</v>
      </c>
      <c r="B393" t="s">
        <v>8120</v>
      </c>
      <c r="C393" t="s">
        <v>74</v>
      </c>
      <c r="D393" t="s">
        <v>74</v>
      </c>
      <c r="E393" t="s">
        <v>74</v>
      </c>
      <c r="F393" t="s">
        <v>8121</v>
      </c>
      <c r="G393" t="s">
        <v>74</v>
      </c>
      <c r="H393" t="s">
        <v>74</v>
      </c>
      <c r="I393" t="s">
        <v>8122</v>
      </c>
      <c r="J393" t="s">
        <v>8123</v>
      </c>
      <c r="K393" t="s">
        <v>74</v>
      </c>
      <c r="L393" t="s">
        <v>74</v>
      </c>
      <c r="M393" t="s">
        <v>78</v>
      </c>
      <c r="N393" t="s">
        <v>79</v>
      </c>
      <c r="O393" t="s">
        <v>74</v>
      </c>
      <c r="P393" t="s">
        <v>74</v>
      </c>
      <c r="Q393" t="s">
        <v>74</v>
      </c>
      <c r="R393" t="s">
        <v>74</v>
      </c>
      <c r="S393" t="s">
        <v>74</v>
      </c>
      <c r="T393" t="s">
        <v>8124</v>
      </c>
      <c r="U393" t="s">
        <v>74</v>
      </c>
      <c r="V393" t="s">
        <v>8125</v>
      </c>
      <c r="W393" t="s">
        <v>8126</v>
      </c>
      <c r="X393" t="s">
        <v>8127</v>
      </c>
      <c r="Y393" t="s">
        <v>8128</v>
      </c>
      <c r="Z393" t="s">
        <v>8129</v>
      </c>
      <c r="AA393" t="s">
        <v>8130</v>
      </c>
      <c r="AB393" t="s">
        <v>8131</v>
      </c>
      <c r="AC393" t="s">
        <v>8132</v>
      </c>
      <c r="AD393" t="s">
        <v>8133</v>
      </c>
      <c r="AE393" t="s">
        <v>8134</v>
      </c>
      <c r="AF393" t="s">
        <v>74</v>
      </c>
      <c r="AG393">
        <v>38</v>
      </c>
      <c r="AH393">
        <v>9</v>
      </c>
      <c r="AI393">
        <v>9</v>
      </c>
      <c r="AJ393">
        <v>0</v>
      </c>
      <c r="AK393">
        <v>30</v>
      </c>
      <c r="AL393" t="s">
        <v>1272</v>
      </c>
      <c r="AM393" t="s">
        <v>1273</v>
      </c>
      <c r="AN393" t="s">
        <v>3098</v>
      </c>
      <c r="AO393" t="s">
        <v>74</v>
      </c>
      <c r="AP393" t="s">
        <v>8135</v>
      </c>
      <c r="AQ393" t="s">
        <v>74</v>
      </c>
      <c r="AR393" t="s">
        <v>8136</v>
      </c>
      <c r="AS393" t="s">
        <v>8137</v>
      </c>
      <c r="AT393" t="s">
        <v>368</v>
      </c>
      <c r="AU393">
        <v>2022</v>
      </c>
      <c r="AV393">
        <v>11</v>
      </c>
      <c r="AW393">
        <v>10</v>
      </c>
      <c r="AX393" t="s">
        <v>74</v>
      </c>
      <c r="AY393" t="s">
        <v>74</v>
      </c>
      <c r="AZ393" t="s">
        <v>74</v>
      </c>
      <c r="BA393" t="s">
        <v>74</v>
      </c>
      <c r="BB393" t="s">
        <v>74</v>
      </c>
      <c r="BC393" t="s">
        <v>74</v>
      </c>
      <c r="BD393">
        <v>1660</v>
      </c>
      <c r="BE393" t="s">
        <v>8138</v>
      </c>
      <c r="BF393" t="str">
        <f>HYPERLINK("http://dx.doi.org/10.3390/electronics11101660","http://dx.doi.org/10.3390/electronics11101660")</f>
        <v>http://dx.doi.org/10.3390/electronics11101660</v>
      </c>
      <c r="BG393" t="s">
        <v>74</v>
      </c>
      <c r="BH393" t="s">
        <v>74</v>
      </c>
      <c r="BI393">
        <v>20</v>
      </c>
      <c r="BJ393" t="s">
        <v>8139</v>
      </c>
      <c r="BK393" t="s">
        <v>902</v>
      </c>
      <c r="BL393" t="s">
        <v>8140</v>
      </c>
      <c r="BM393" t="s">
        <v>8141</v>
      </c>
      <c r="BN393" t="s">
        <v>74</v>
      </c>
      <c r="BO393" t="s">
        <v>398</v>
      </c>
      <c r="BP393" t="s">
        <v>74</v>
      </c>
      <c r="BQ393" t="s">
        <v>74</v>
      </c>
      <c r="BR393" t="s">
        <v>106</v>
      </c>
      <c r="BS393" t="s">
        <v>8142</v>
      </c>
      <c r="BT393" t="str">
        <f>HYPERLINK("https%3A%2F%2Fwww.webofscience.com%2Fwos%2Fwoscc%2Ffull-record%2FWOS:000801546300001","View Full Record in Web of Science")</f>
        <v>View Full Record in Web of Science</v>
      </c>
    </row>
    <row r="394" spans="1:72" x14ac:dyDescent="0.25">
      <c r="A394" t="s">
        <v>108</v>
      </c>
      <c r="B394" t="s">
        <v>8143</v>
      </c>
      <c r="C394" t="s">
        <v>74</v>
      </c>
      <c r="D394" t="s">
        <v>8144</v>
      </c>
      <c r="E394" t="s">
        <v>74</v>
      </c>
      <c r="F394" t="s">
        <v>8145</v>
      </c>
      <c r="G394" t="s">
        <v>74</v>
      </c>
      <c r="H394" t="s">
        <v>74</v>
      </c>
      <c r="I394" t="s">
        <v>8146</v>
      </c>
      <c r="J394" t="s">
        <v>8147</v>
      </c>
      <c r="K394" t="s">
        <v>2682</v>
      </c>
      <c r="L394" t="s">
        <v>74</v>
      </c>
      <c r="M394" t="s">
        <v>78</v>
      </c>
      <c r="N394" t="s">
        <v>115</v>
      </c>
      <c r="O394" t="s">
        <v>8148</v>
      </c>
      <c r="P394" t="s">
        <v>8149</v>
      </c>
      <c r="Q394" t="s">
        <v>8150</v>
      </c>
      <c r="R394" t="s">
        <v>74</v>
      </c>
      <c r="S394" t="s">
        <v>8151</v>
      </c>
      <c r="T394" t="s">
        <v>8152</v>
      </c>
      <c r="U394" t="s">
        <v>74</v>
      </c>
      <c r="V394" t="s">
        <v>8153</v>
      </c>
      <c r="W394" t="s">
        <v>8154</v>
      </c>
      <c r="X394" t="s">
        <v>8155</v>
      </c>
      <c r="Y394" t="s">
        <v>8156</v>
      </c>
      <c r="Z394" t="s">
        <v>8157</v>
      </c>
      <c r="AA394" t="s">
        <v>8158</v>
      </c>
      <c r="AB394" t="s">
        <v>8159</v>
      </c>
      <c r="AC394" t="s">
        <v>74</v>
      </c>
      <c r="AD394" t="s">
        <v>74</v>
      </c>
      <c r="AE394" t="s">
        <v>74</v>
      </c>
      <c r="AF394" t="s">
        <v>74</v>
      </c>
      <c r="AG394">
        <v>26</v>
      </c>
      <c r="AH394">
        <v>2</v>
      </c>
      <c r="AI394">
        <v>2</v>
      </c>
      <c r="AJ394">
        <v>0</v>
      </c>
      <c r="AK394">
        <v>10</v>
      </c>
      <c r="AL394" t="s">
        <v>2695</v>
      </c>
      <c r="AM394" t="s">
        <v>363</v>
      </c>
      <c r="AN394" t="s">
        <v>2696</v>
      </c>
      <c r="AO394" t="s">
        <v>2697</v>
      </c>
      <c r="AP394" t="s">
        <v>74</v>
      </c>
      <c r="AQ394" t="s">
        <v>74</v>
      </c>
      <c r="AR394" t="s">
        <v>2698</v>
      </c>
      <c r="AS394" t="s">
        <v>74</v>
      </c>
      <c r="AT394" t="s">
        <v>74</v>
      </c>
      <c r="AU394">
        <v>2019</v>
      </c>
      <c r="AV394">
        <v>165</v>
      </c>
      <c r="AW394" t="s">
        <v>74</v>
      </c>
      <c r="AX394" t="s">
        <v>74</v>
      </c>
      <c r="AY394" t="s">
        <v>74</v>
      </c>
      <c r="AZ394" t="s">
        <v>74</v>
      </c>
      <c r="BA394" t="s">
        <v>74</v>
      </c>
      <c r="BB394">
        <v>456</v>
      </c>
      <c r="BC394">
        <v>461</v>
      </c>
      <c r="BD394" t="s">
        <v>74</v>
      </c>
      <c r="BE394" t="s">
        <v>8160</v>
      </c>
      <c r="BF394" t="str">
        <f>HYPERLINK("http://dx.doi.org/10.1016/j.procs.2020.01.006","http://dx.doi.org/10.1016/j.procs.2020.01.006")</f>
        <v>http://dx.doi.org/10.1016/j.procs.2020.01.006</v>
      </c>
      <c r="BG394" t="s">
        <v>74</v>
      </c>
      <c r="BH394" t="s">
        <v>74</v>
      </c>
      <c r="BI394">
        <v>6</v>
      </c>
      <c r="BJ394" t="s">
        <v>925</v>
      </c>
      <c r="BK394" t="s">
        <v>203</v>
      </c>
      <c r="BL394" t="s">
        <v>103</v>
      </c>
      <c r="BM394" t="s">
        <v>8161</v>
      </c>
      <c r="BN394" t="s">
        <v>74</v>
      </c>
      <c r="BO394" t="s">
        <v>372</v>
      </c>
      <c r="BP394" t="s">
        <v>74</v>
      </c>
      <c r="BQ394" t="s">
        <v>74</v>
      </c>
      <c r="BR394" t="s">
        <v>106</v>
      </c>
      <c r="BS394" t="s">
        <v>8162</v>
      </c>
      <c r="BT394" t="str">
        <f>HYPERLINK("https%3A%2F%2Fwww.webofscience.com%2Fwos%2Fwoscc%2Ffull-record%2FWOS:000582556800061","View Full Record in Web of Science")</f>
        <v>View Full Record in Web of Science</v>
      </c>
    </row>
    <row r="395" spans="1:72" x14ac:dyDescent="0.25">
      <c r="A395" t="s">
        <v>72</v>
      </c>
      <c r="B395" t="s">
        <v>8163</v>
      </c>
      <c r="C395" t="s">
        <v>74</v>
      </c>
      <c r="D395" t="s">
        <v>74</v>
      </c>
      <c r="E395" t="s">
        <v>74</v>
      </c>
      <c r="F395" t="s">
        <v>8164</v>
      </c>
      <c r="G395" t="s">
        <v>74</v>
      </c>
      <c r="H395" t="s">
        <v>74</v>
      </c>
      <c r="I395" t="s">
        <v>8165</v>
      </c>
      <c r="J395" t="s">
        <v>8166</v>
      </c>
      <c r="K395" t="s">
        <v>74</v>
      </c>
      <c r="L395" t="s">
        <v>74</v>
      </c>
      <c r="M395" t="s">
        <v>78</v>
      </c>
      <c r="N395" t="s">
        <v>79</v>
      </c>
      <c r="O395" t="s">
        <v>74</v>
      </c>
      <c r="P395" t="s">
        <v>74</v>
      </c>
      <c r="Q395" t="s">
        <v>74</v>
      </c>
      <c r="R395" t="s">
        <v>74</v>
      </c>
      <c r="S395" t="s">
        <v>74</v>
      </c>
      <c r="T395" t="s">
        <v>8167</v>
      </c>
      <c r="U395" t="s">
        <v>8168</v>
      </c>
      <c r="V395" t="s">
        <v>8169</v>
      </c>
      <c r="W395" t="s">
        <v>8170</v>
      </c>
      <c r="X395" t="s">
        <v>8171</v>
      </c>
      <c r="Y395" t="s">
        <v>8172</v>
      </c>
      <c r="Z395" t="s">
        <v>8173</v>
      </c>
      <c r="AA395" t="s">
        <v>74</v>
      </c>
      <c r="AB395" t="s">
        <v>8174</v>
      </c>
      <c r="AC395" t="s">
        <v>74</v>
      </c>
      <c r="AD395" t="s">
        <v>74</v>
      </c>
      <c r="AE395" t="s">
        <v>74</v>
      </c>
      <c r="AF395" t="s">
        <v>74</v>
      </c>
      <c r="AG395">
        <v>64</v>
      </c>
      <c r="AH395">
        <v>1</v>
      </c>
      <c r="AI395">
        <v>1</v>
      </c>
      <c r="AJ395">
        <v>1</v>
      </c>
      <c r="AK395">
        <v>1</v>
      </c>
      <c r="AL395" t="s">
        <v>291</v>
      </c>
      <c r="AM395" t="s">
        <v>92</v>
      </c>
      <c r="AN395" t="s">
        <v>2534</v>
      </c>
      <c r="AO395" t="s">
        <v>8175</v>
      </c>
      <c r="AP395" t="s">
        <v>8176</v>
      </c>
      <c r="AQ395" t="s">
        <v>74</v>
      </c>
      <c r="AR395" t="s">
        <v>8177</v>
      </c>
      <c r="AS395" t="s">
        <v>8178</v>
      </c>
      <c r="AT395" t="s">
        <v>565</v>
      </c>
      <c r="AU395">
        <v>2025</v>
      </c>
      <c r="AV395">
        <v>28</v>
      </c>
      <c r="AW395">
        <v>3</v>
      </c>
      <c r="AX395" t="s">
        <v>74</v>
      </c>
      <c r="AY395" t="s">
        <v>74</v>
      </c>
      <c r="AZ395" t="s">
        <v>74</v>
      </c>
      <c r="BA395" t="s">
        <v>74</v>
      </c>
      <c r="BB395" t="s">
        <v>74</v>
      </c>
      <c r="BC395" t="s">
        <v>74</v>
      </c>
      <c r="BD395">
        <v>29</v>
      </c>
      <c r="BE395" t="s">
        <v>8179</v>
      </c>
      <c r="BF395" t="str">
        <f>HYPERLINK("http://dx.doi.org/10.1145/3725813","http://dx.doi.org/10.1145/3725813")</f>
        <v>http://dx.doi.org/10.1145/3725813</v>
      </c>
      <c r="BG395" t="s">
        <v>74</v>
      </c>
      <c r="BH395" t="s">
        <v>74</v>
      </c>
      <c r="BI395">
        <v>32</v>
      </c>
      <c r="BJ395" t="s">
        <v>8180</v>
      </c>
      <c r="BK395" t="s">
        <v>902</v>
      </c>
      <c r="BL395" t="s">
        <v>8181</v>
      </c>
      <c r="BM395" t="s">
        <v>8182</v>
      </c>
      <c r="BN395" t="s">
        <v>74</v>
      </c>
      <c r="BO395" t="s">
        <v>74</v>
      </c>
      <c r="BP395" t="s">
        <v>74</v>
      </c>
      <c r="BQ395" t="s">
        <v>74</v>
      </c>
      <c r="BR395" t="s">
        <v>106</v>
      </c>
      <c r="BS395" t="s">
        <v>8183</v>
      </c>
      <c r="BT395" t="str">
        <f>HYPERLINK("https%3A%2F%2Fwww.webofscience.com%2Fwos%2Fwoscc%2Ffull-record%2FWOS:001563001900004","View Full Record in Web of Science")</f>
        <v>View Full Record in Web of Science</v>
      </c>
    </row>
    <row r="396" spans="1:72" x14ac:dyDescent="0.25">
      <c r="A396" t="s">
        <v>72</v>
      </c>
      <c r="B396" t="s">
        <v>8184</v>
      </c>
      <c r="C396" t="s">
        <v>74</v>
      </c>
      <c r="D396" t="s">
        <v>74</v>
      </c>
      <c r="E396" t="s">
        <v>74</v>
      </c>
      <c r="F396" t="s">
        <v>8185</v>
      </c>
      <c r="G396" t="s">
        <v>74</v>
      </c>
      <c r="H396" t="s">
        <v>74</v>
      </c>
      <c r="I396" t="s">
        <v>8186</v>
      </c>
      <c r="J396" t="s">
        <v>8187</v>
      </c>
      <c r="K396" t="s">
        <v>74</v>
      </c>
      <c r="L396" t="s">
        <v>74</v>
      </c>
      <c r="M396" t="s">
        <v>78</v>
      </c>
      <c r="N396" t="s">
        <v>79</v>
      </c>
      <c r="O396" t="s">
        <v>74</v>
      </c>
      <c r="P396" t="s">
        <v>74</v>
      </c>
      <c r="Q396" t="s">
        <v>74</v>
      </c>
      <c r="R396" t="s">
        <v>74</v>
      </c>
      <c r="S396" t="s">
        <v>74</v>
      </c>
      <c r="T396" t="s">
        <v>8188</v>
      </c>
      <c r="U396" t="s">
        <v>74</v>
      </c>
      <c r="V396" t="s">
        <v>8189</v>
      </c>
      <c r="W396" t="s">
        <v>8190</v>
      </c>
      <c r="X396" t="s">
        <v>8191</v>
      </c>
      <c r="Y396" t="s">
        <v>8192</v>
      </c>
      <c r="Z396" t="s">
        <v>8193</v>
      </c>
      <c r="AA396" t="s">
        <v>8194</v>
      </c>
      <c r="AB396" t="s">
        <v>8195</v>
      </c>
      <c r="AC396" t="s">
        <v>8196</v>
      </c>
      <c r="AD396" t="s">
        <v>8197</v>
      </c>
      <c r="AE396" t="s">
        <v>8198</v>
      </c>
      <c r="AF396" t="s">
        <v>74</v>
      </c>
      <c r="AG396">
        <v>35</v>
      </c>
      <c r="AH396">
        <v>13</v>
      </c>
      <c r="AI396">
        <v>16</v>
      </c>
      <c r="AJ396">
        <v>0</v>
      </c>
      <c r="AK396">
        <v>27</v>
      </c>
      <c r="AL396" t="s">
        <v>362</v>
      </c>
      <c r="AM396" t="s">
        <v>363</v>
      </c>
      <c r="AN396" t="s">
        <v>364</v>
      </c>
      <c r="AO396" t="s">
        <v>8199</v>
      </c>
      <c r="AP396" t="s">
        <v>8200</v>
      </c>
      <c r="AQ396" t="s">
        <v>74</v>
      </c>
      <c r="AR396" t="s">
        <v>8201</v>
      </c>
      <c r="AS396" t="s">
        <v>8202</v>
      </c>
      <c r="AT396" t="s">
        <v>1251</v>
      </c>
      <c r="AU396">
        <v>2017</v>
      </c>
      <c r="AV396">
        <v>36</v>
      </c>
      <c r="AW396" t="s">
        <v>74</v>
      </c>
      <c r="AX396" t="s">
        <v>74</v>
      </c>
      <c r="AY396" t="s">
        <v>74</v>
      </c>
      <c r="AZ396" t="s">
        <v>247</v>
      </c>
      <c r="BA396" t="s">
        <v>74</v>
      </c>
      <c r="BB396">
        <v>3</v>
      </c>
      <c r="BC396">
        <v>24</v>
      </c>
      <c r="BD396" t="s">
        <v>74</v>
      </c>
      <c r="BE396" t="s">
        <v>8203</v>
      </c>
      <c r="BF396" t="str">
        <f>HYPERLINK("http://dx.doi.org/10.1016/j.pmcj.2016.08.010","http://dx.doi.org/10.1016/j.pmcj.2016.08.010")</f>
        <v>http://dx.doi.org/10.1016/j.pmcj.2016.08.010</v>
      </c>
      <c r="BG396" t="s">
        <v>74</v>
      </c>
      <c r="BH396" t="s">
        <v>74</v>
      </c>
      <c r="BI396">
        <v>22</v>
      </c>
      <c r="BJ396" t="s">
        <v>2674</v>
      </c>
      <c r="BK396" t="s">
        <v>902</v>
      </c>
      <c r="BL396" t="s">
        <v>2422</v>
      </c>
      <c r="BM396" t="s">
        <v>8204</v>
      </c>
      <c r="BN396" t="s">
        <v>74</v>
      </c>
      <c r="BO396" t="s">
        <v>346</v>
      </c>
      <c r="BP396" t="s">
        <v>74</v>
      </c>
      <c r="BQ396" t="s">
        <v>74</v>
      </c>
      <c r="BR396" t="s">
        <v>106</v>
      </c>
      <c r="BS396" t="s">
        <v>8205</v>
      </c>
      <c r="BT396" t="str">
        <f>HYPERLINK("https%3A%2F%2Fwww.webofscience.com%2Fwos%2Fwoscc%2Ffull-record%2FWOS:000397690500002","View Full Record in Web of Science")</f>
        <v>View Full Record in Web of Science</v>
      </c>
    </row>
    <row r="397" spans="1:72" x14ac:dyDescent="0.25">
      <c r="A397" t="s">
        <v>72</v>
      </c>
      <c r="B397" t="s">
        <v>8206</v>
      </c>
      <c r="C397" t="s">
        <v>74</v>
      </c>
      <c r="D397" t="s">
        <v>74</v>
      </c>
      <c r="E397" t="s">
        <v>74</v>
      </c>
      <c r="F397" t="s">
        <v>8207</v>
      </c>
      <c r="G397" t="s">
        <v>74</v>
      </c>
      <c r="H397" t="s">
        <v>74</v>
      </c>
      <c r="I397" t="s">
        <v>8208</v>
      </c>
      <c r="J397" t="s">
        <v>8209</v>
      </c>
      <c r="K397" t="s">
        <v>74</v>
      </c>
      <c r="L397" t="s">
        <v>74</v>
      </c>
      <c r="M397" t="s">
        <v>78</v>
      </c>
      <c r="N397" t="s">
        <v>726</v>
      </c>
      <c r="O397" t="s">
        <v>74</v>
      </c>
      <c r="P397" t="s">
        <v>74</v>
      </c>
      <c r="Q397" t="s">
        <v>74</v>
      </c>
      <c r="R397" t="s">
        <v>74</v>
      </c>
      <c r="S397" t="s">
        <v>74</v>
      </c>
      <c r="T397" t="s">
        <v>8210</v>
      </c>
      <c r="U397" t="s">
        <v>8211</v>
      </c>
      <c r="V397" t="s">
        <v>8212</v>
      </c>
      <c r="W397" t="s">
        <v>8213</v>
      </c>
      <c r="X397" t="s">
        <v>8214</v>
      </c>
      <c r="Y397" t="s">
        <v>8215</v>
      </c>
      <c r="Z397" t="s">
        <v>8216</v>
      </c>
      <c r="AA397" t="s">
        <v>8217</v>
      </c>
      <c r="AB397" t="s">
        <v>8218</v>
      </c>
      <c r="AC397" t="s">
        <v>74</v>
      </c>
      <c r="AD397" t="s">
        <v>74</v>
      </c>
      <c r="AE397" t="s">
        <v>74</v>
      </c>
      <c r="AF397" t="s">
        <v>74</v>
      </c>
      <c r="AG397">
        <v>111</v>
      </c>
      <c r="AH397">
        <v>32</v>
      </c>
      <c r="AI397">
        <v>38</v>
      </c>
      <c r="AJ397">
        <v>1</v>
      </c>
      <c r="AK397">
        <v>93</v>
      </c>
      <c r="AL397" t="s">
        <v>1136</v>
      </c>
      <c r="AM397" t="s">
        <v>1137</v>
      </c>
      <c r="AN397" t="s">
        <v>1138</v>
      </c>
      <c r="AO397" t="s">
        <v>8219</v>
      </c>
      <c r="AP397" t="s">
        <v>8220</v>
      </c>
      <c r="AQ397" t="s">
        <v>74</v>
      </c>
      <c r="AR397" t="s">
        <v>8221</v>
      </c>
      <c r="AS397" t="s">
        <v>8222</v>
      </c>
      <c r="AT397" t="s">
        <v>8223</v>
      </c>
      <c r="AU397">
        <v>2019</v>
      </c>
      <c r="AV397">
        <v>22</v>
      </c>
      <c r="AW397">
        <v>7</v>
      </c>
      <c r="AX397" t="s">
        <v>74</v>
      </c>
      <c r="AY397" t="s">
        <v>74</v>
      </c>
      <c r="AZ397" t="s">
        <v>74</v>
      </c>
      <c r="BA397" t="s">
        <v>74</v>
      </c>
      <c r="BB397">
        <v>433</v>
      </c>
      <c r="BC397">
        <v>450</v>
      </c>
      <c r="BD397" t="s">
        <v>74</v>
      </c>
      <c r="BE397" t="s">
        <v>8224</v>
      </c>
      <c r="BF397" t="str">
        <f>HYPERLINK("http://dx.doi.org/10.1089/cyber.2018.0670","http://dx.doi.org/10.1089/cyber.2018.0670")</f>
        <v>http://dx.doi.org/10.1089/cyber.2018.0670</v>
      </c>
      <c r="BG397" t="s">
        <v>74</v>
      </c>
      <c r="BH397" t="s">
        <v>8225</v>
      </c>
      <c r="BI397">
        <v>18</v>
      </c>
      <c r="BJ397" t="s">
        <v>8226</v>
      </c>
      <c r="BK397" t="s">
        <v>250</v>
      </c>
      <c r="BL397" t="s">
        <v>251</v>
      </c>
      <c r="BM397" t="s">
        <v>8227</v>
      </c>
      <c r="BN397">
        <v>31074639</v>
      </c>
      <c r="BO397" t="s">
        <v>74</v>
      </c>
      <c r="BP397" t="s">
        <v>74</v>
      </c>
      <c r="BQ397" t="s">
        <v>74</v>
      </c>
      <c r="BR397" t="s">
        <v>106</v>
      </c>
      <c r="BS397" t="s">
        <v>8228</v>
      </c>
      <c r="BT397" t="str">
        <f>HYPERLINK("https%3A%2F%2Fwww.webofscience.com%2Fwos%2Fwoscc%2Ffull-record%2FWOS:000468995600001","View Full Record in Web of Science")</f>
        <v>View Full Record in Web of Science</v>
      </c>
    </row>
    <row r="398" spans="1:72" x14ac:dyDescent="0.25">
      <c r="A398" t="s">
        <v>108</v>
      </c>
      <c r="B398" t="s">
        <v>8229</v>
      </c>
      <c r="C398" t="s">
        <v>74</v>
      </c>
      <c r="D398" t="s">
        <v>8230</v>
      </c>
      <c r="E398" t="s">
        <v>74</v>
      </c>
      <c r="F398" t="s">
        <v>8231</v>
      </c>
      <c r="G398" t="s">
        <v>74</v>
      </c>
      <c r="H398" t="s">
        <v>74</v>
      </c>
      <c r="I398" t="s">
        <v>8232</v>
      </c>
      <c r="J398" t="s">
        <v>8233</v>
      </c>
      <c r="K398" t="s">
        <v>147</v>
      </c>
      <c r="L398" t="s">
        <v>74</v>
      </c>
      <c r="M398" t="s">
        <v>78</v>
      </c>
      <c r="N398" t="s">
        <v>115</v>
      </c>
      <c r="O398" t="s">
        <v>8234</v>
      </c>
      <c r="P398" t="s">
        <v>8235</v>
      </c>
      <c r="Q398" t="s">
        <v>8236</v>
      </c>
      <c r="R398" t="s">
        <v>8237</v>
      </c>
      <c r="S398" t="s">
        <v>74</v>
      </c>
      <c r="T398" t="s">
        <v>8238</v>
      </c>
      <c r="U398" t="s">
        <v>74</v>
      </c>
      <c r="V398" t="s">
        <v>8239</v>
      </c>
      <c r="W398" t="s">
        <v>8240</v>
      </c>
      <c r="X398" t="s">
        <v>8241</v>
      </c>
      <c r="Y398" t="s">
        <v>8242</v>
      </c>
      <c r="Z398" t="s">
        <v>8243</v>
      </c>
      <c r="AA398" t="s">
        <v>74</v>
      </c>
      <c r="AB398" t="s">
        <v>74</v>
      </c>
      <c r="AC398" t="s">
        <v>8244</v>
      </c>
      <c r="AD398" t="s">
        <v>8245</v>
      </c>
      <c r="AE398" t="s">
        <v>8246</v>
      </c>
      <c r="AF398" t="s">
        <v>74</v>
      </c>
      <c r="AG398">
        <v>14</v>
      </c>
      <c r="AH398">
        <v>0</v>
      </c>
      <c r="AI398">
        <v>0</v>
      </c>
      <c r="AJ398">
        <v>0</v>
      </c>
      <c r="AK398">
        <v>0</v>
      </c>
      <c r="AL398" t="s">
        <v>2996</v>
      </c>
      <c r="AM398" t="s">
        <v>1814</v>
      </c>
      <c r="AN398" t="s">
        <v>2997</v>
      </c>
      <c r="AO398" t="s">
        <v>159</v>
      </c>
      <c r="AP398" t="s">
        <v>133</v>
      </c>
      <c r="AQ398" t="s">
        <v>8247</v>
      </c>
      <c r="AR398" t="s">
        <v>161</v>
      </c>
      <c r="AS398" t="s">
        <v>74</v>
      </c>
      <c r="AT398" t="s">
        <v>74</v>
      </c>
      <c r="AU398">
        <v>2025</v>
      </c>
      <c r="AV398">
        <v>15860</v>
      </c>
      <c r="AW398" t="s">
        <v>74</v>
      </c>
      <c r="AX398" t="s">
        <v>74</v>
      </c>
      <c r="AY398" t="s">
        <v>74</v>
      </c>
      <c r="AZ398" t="s">
        <v>74</v>
      </c>
      <c r="BA398" t="s">
        <v>74</v>
      </c>
      <c r="BB398">
        <v>331</v>
      </c>
      <c r="BC398">
        <v>342</v>
      </c>
      <c r="BD398" t="s">
        <v>74</v>
      </c>
      <c r="BE398" t="s">
        <v>8248</v>
      </c>
      <c r="BF398" t="str">
        <f>HYPERLINK("http://dx.doi.org/10.1007/978-981-96-9815-8_28","http://dx.doi.org/10.1007/978-981-96-9815-8_28")</f>
        <v>http://dx.doi.org/10.1007/978-981-96-9815-8_28</v>
      </c>
      <c r="BG398" t="s">
        <v>74</v>
      </c>
      <c r="BH398" t="s">
        <v>74</v>
      </c>
      <c r="BI398">
        <v>12</v>
      </c>
      <c r="BJ398" t="s">
        <v>1399</v>
      </c>
      <c r="BK398" t="s">
        <v>203</v>
      </c>
      <c r="BL398" t="s">
        <v>103</v>
      </c>
      <c r="BM398" t="s">
        <v>8249</v>
      </c>
      <c r="BN398" t="s">
        <v>74</v>
      </c>
      <c r="BO398" t="s">
        <v>74</v>
      </c>
      <c r="BP398" t="s">
        <v>74</v>
      </c>
      <c r="BQ398" t="s">
        <v>74</v>
      </c>
      <c r="BR398" t="s">
        <v>106</v>
      </c>
      <c r="BS398" t="s">
        <v>8250</v>
      </c>
      <c r="BT398" t="str">
        <f>HYPERLINK("https%3A%2F%2Fwww.webofscience.com%2Fwos%2Fwoscc%2Ffull-record%2FWOS:001568876500028","View Full Record in Web of Science")</f>
        <v>View Full Record in Web of Science</v>
      </c>
    </row>
    <row r="399" spans="1:72" x14ac:dyDescent="0.25">
      <c r="A399" t="s">
        <v>108</v>
      </c>
      <c r="B399" t="s">
        <v>8251</v>
      </c>
      <c r="C399" t="s">
        <v>74</v>
      </c>
      <c r="D399" t="s">
        <v>74</v>
      </c>
      <c r="E399" t="s">
        <v>465</v>
      </c>
      <c r="F399" t="s">
        <v>8252</v>
      </c>
      <c r="G399" t="s">
        <v>74</v>
      </c>
      <c r="H399" t="s">
        <v>74</v>
      </c>
      <c r="I399" t="s">
        <v>8253</v>
      </c>
      <c r="J399" t="s">
        <v>8254</v>
      </c>
      <c r="K399" t="s">
        <v>8255</v>
      </c>
      <c r="L399" t="s">
        <v>74</v>
      </c>
      <c r="M399" t="s">
        <v>78</v>
      </c>
      <c r="N399" t="s">
        <v>115</v>
      </c>
      <c r="O399" t="s">
        <v>8256</v>
      </c>
      <c r="P399" t="s">
        <v>8257</v>
      </c>
      <c r="Q399" t="s">
        <v>8258</v>
      </c>
      <c r="R399" t="s">
        <v>8259</v>
      </c>
      <c r="S399" t="s">
        <v>74</v>
      </c>
      <c r="T399" t="s">
        <v>8260</v>
      </c>
      <c r="U399" t="s">
        <v>74</v>
      </c>
      <c r="V399" t="s">
        <v>8261</v>
      </c>
      <c r="W399" t="s">
        <v>8262</v>
      </c>
      <c r="X399" t="s">
        <v>8263</v>
      </c>
      <c r="Y399" t="s">
        <v>8264</v>
      </c>
      <c r="Z399" t="s">
        <v>8265</v>
      </c>
      <c r="AA399" t="s">
        <v>8266</v>
      </c>
      <c r="AB399" t="s">
        <v>8267</v>
      </c>
      <c r="AC399" t="s">
        <v>74</v>
      </c>
      <c r="AD399" t="s">
        <v>74</v>
      </c>
      <c r="AE399" t="s">
        <v>74</v>
      </c>
      <c r="AF399" t="s">
        <v>74</v>
      </c>
      <c r="AG399">
        <v>31</v>
      </c>
      <c r="AH399">
        <v>4</v>
      </c>
      <c r="AI399">
        <v>4</v>
      </c>
      <c r="AJ399">
        <v>0</v>
      </c>
      <c r="AK399">
        <v>1</v>
      </c>
      <c r="AL399" t="s">
        <v>465</v>
      </c>
      <c r="AM399" t="s">
        <v>92</v>
      </c>
      <c r="AN399" t="s">
        <v>480</v>
      </c>
      <c r="AO399" t="s">
        <v>8268</v>
      </c>
      <c r="AP399" t="s">
        <v>74</v>
      </c>
      <c r="AQ399" t="s">
        <v>8269</v>
      </c>
      <c r="AR399" t="s">
        <v>8270</v>
      </c>
      <c r="AS399" t="s">
        <v>74</v>
      </c>
      <c r="AT399" t="s">
        <v>74</v>
      </c>
      <c r="AU399">
        <v>2018</v>
      </c>
      <c r="AV399" t="s">
        <v>74</v>
      </c>
      <c r="AW399" t="s">
        <v>74</v>
      </c>
      <c r="AX399" t="s">
        <v>74</v>
      </c>
      <c r="AY399" t="s">
        <v>74</v>
      </c>
      <c r="AZ399" t="s">
        <v>74</v>
      </c>
      <c r="BA399" t="s">
        <v>74</v>
      </c>
      <c r="BB399">
        <v>183</v>
      </c>
      <c r="BC399">
        <v>190</v>
      </c>
      <c r="BD399" t="s">
        <v>74</v>
      </c>
      <c r="BE399" t="s">
        <v>8271</v>
      </c>
      <c r="BF399" t="str">
        <f>HYPERLINK("http://dx.doi.org/10.1109/CBD.2018.00041","http://dx.doi.org/10.1109/CBD.2018.00041")</f>
        <v>http://dx.doi.org/10.1109/CBD.2018.00041</v>
      </c>
      <c r="BG399" t="s">
        <v>74</v>
      </c>
      <c r="BH399" t="s">
        <v>74</v>
      </c>
      <c r="BI399">
        <v>8</v>
      </c>
      <c r="BJ399" t="s">
        <v>696</v>
      </c>
      <c r="BK399" t="s">
        <v>203</v>
      </c>
      <c r="BL399" t="s">
        <v>103</v>
      </c>
      <c r="BM399" t="s">
        <v>8272</v>
      </c>
      <c r="BN399" t="s">
        <v>74</v>
      </c>
      <c r="BO399" t="s">
        <v>74</v>
      </c>
      <c r="BP399" t="s">
        <v>74</v>
      </c>
      <c r="BQ399" t="s">
        <v>74</v>
      </c>
      <c r="BR399" t="s">
        <v>106</v>
      </c>
      <c r="BS399" t="s">
        <v>8273</v>
      </c>
      <c r="BT399" t="str">
        <f>HYPERLINK("https%3A%2F%2Fwww.webofscience.com%2Fwos%2Fwoscc%2Ffull-record%2FWOS:000517748600032","View Full Record in Web of Science")</f>
        <v>View Full Record in Web of Science</v>
      </c>
    </row>
    <row r="400" spans="1:72" x14ac:dyDescent="0.25">
      <c r="A400" t="s">
        <v>72</v>
      </c>
      <c r="B400" t="s">
        <v>8274</v>
      </c>
      <c r="C400" t="s">
        <v>74</v>
      </c>
      <c r="D400" t="s">
        <v>74</v>
      </c>
      <c r="E400" t="s">
        <v>74</v>
      </c>
      <c r="F400" t="s">
        <v>8275</v>
      </c>
      <c r="G400" t="s">
        <v>74</v>
      </c>
      <c r="H400" t="s">
        <v>74</v>
      </c>
      <c r="I400" t="s">
        <v>8276</v>
      </c>
      <c r="J400" t="s">
        <v>8277</v>
      </c>
      <c r="K400" t="s">
        <v>74</v>
      </c>
      <c r="L400" t="s">
        <v>74</v>
      </c>
      <c r="M400" t="s">
        <v>78</v>
      </c>
      <c r="N400" t="s">
        <v>79</v>
      </c>
      <c r="O400" t="s">
        <v>74</v>
      </c>
      <c r="P400" t="s">
        <v>74</v>
      </c>
      <c r="Q400" t="s">
        <v>74</v>
      </c>
      <c r="R400" t="s">
        <v>74</v>
      </c>
      <c r="S400" t="s">
        <v>74</v>
      </c>
      <c r="T400" t="s">
        <v>8278</v>
      </c>
      <c r="U400" t="s">
        <v>74</v>
      </c>
      <c r="V400" t="s">
        <v>8279</v>
      </c>
      <c r="W400" t="s">
        <v>8280</v>
      </c>
      <c r="X400" t="s">
        <v>8281</v>
      </c>
      <c r="Y400" t="s">
        <v>8282</v>
      </c>
      <c r="Z400" t="s">
        <v>8283</v>
      </c>
      <c r="AA400" t="s">
        <v>8284</v>
      </c>
      <c r="AB400" t="s">
        <v>74</v>
      </c>
      <c r="AC400" t="s">
        <v>74</v>
      </c>
      <c r="AD400" t="s">
        <v>74</v>
      </c>
      <c r="AE400" t="s">
        <v>74</v>
      </c>
      <c r="AF400" t="s">
        <v>74</v>
      </c>
      <c r="AG400">
        <v>29</v>
      </c>
      <c r="AH400">
        <v>0</v>
      </c>
      <c r="AI400">
        <v>0</v>
      </c>
      <c r="AJ400">
        <v>0</v>
      </c>
      <c r="AK400">
        <v>0</v>
      </c>
      <c r="AL400" t="s">
        <v>8285</v>
      </c>
      <c r="AM400" t="s">
        <v>8286</v>
      </c>
      <c r="AN400" t="s">
        <v>8287</v>
      </c>
      <c r="AO400" t="s">
        <v>8288</v>
      </c>
      <c r="AP400" t="s">
        <v>74</v>
      </c>
      <c r="AQ400" t="s">
        <v>74</v>
      </c>
      <c r="AR400" t="s">
        <v>8289</v>
      </c>
      <c r="AS400" t="s">
        <v>8290</v>
      </c>
      <c r="AT400" t="s">
        <v>565</v>
      </c>
      <c r="AU400">
        <v>2026</v>
      </c>
      <c r="AV400">
        <v>93</v>
      </c>
      <c r="AW400">
        <v>8</v>
      </c>
      <c r="AX400" t="s">
        <v>74</v>
      </c>
      <c r="AY400" t="s">
        <v>74</v>
      </c>
      <c r="AZ400" t="s">
        <v>74</v>
      </c>
      <c r="BA400" t="s">
        <v>74</v>
      </c>
      <c r="BB400">
        <v>925</v>
      </c>
      <c r="BC400">
        <v>944</v>
      </c>
      <c r="BD400" t="s">
        <v>74</v>
      </c>
      <c r="BE400" t="s">
        <v>8291</v>
      </c>
      <c r="BF400" t="str">
        <f>HYPERLINK("http://dx.doi.org/10.17654/0972361726044","http://dx.doi.org/10.17654/0972361726044")</f>
        <v>http://dx.doi.org/10.17654/0972361726044</v>
      </c>
      <c r="BG400" t="s">
        <v>74</v>
      </c>
      <c r="BH400" t="s">
        <v>74</v>
      </c>
      <c r="BI400">
        <v>20</v>
      </c>
      <c r="BJ400" t="s">
        <v>8292</v>
      </c>
      <c r="BK400" t="s">
        <v>102</v>
      </c>
      <c r="BL400" t="s">
        <v>5155</v>
      </c>
      <c r="BM400" t="s">
        <v>8293</v>
      </c>
      <c r="BN400" t="s">
        <v>74</v>
      </c>
      <c r="BO400" t="s">
        <v>105</v>
      </c>
      <c r="BP400" t="s">
        <v>74</v>
      </c>
      <c r="BQ400" t="s">
        <v>74</v>
      </c>
      <c r="BR400" t="s">
        <v>106</v>
      </c>
      <c r="BS400" t="s">
        <v>8294</v>
      </c>
      <c r="BT400" t="str">
        <f>HYPERLINK("https%3A%2F%2Fwww.webofscience.com%2Fwos%2Fwoscc%2Ffull-record%2FWOS:001864146300001","View Full Record in Web of Science")</f>
        <v>View Full Record in Web of Science</v>
      </c>
    </row>
    <row r="401" spans="1:72" x14ac:dyDescent="0.25">
      <c r="A401" t="s">
        <v>108</v>
      </c>
      <c r="B401" t="s">
        <v>8295</v>
      </c>
      <c r="C401" t="s">
        <v>74</v>
      </c>
      <c r="D401" t="s">
        <v>8296</v>
      </c>
      <c r="E401" t="s">
        <v>74</v>
      </c>
      <c r="F401" t="s">
        <v>8297</v>
      </c>
      <c r="G401" t="s">
        <v>74</v>
      </c>
      <c r="H401" t="s">
        <v>74</v>
      </c>
      <c r="I401" t="s">
        <v>8298</v>
      </c>
      <c r="J401" t="s">
        <v>8299</v>
      </c>
      <c r="K401" t="s">
        <v>8300</v>
      </c>
      <c r="L401" t="s">
        <v>74</v>
      </c>
      <c r="M401" t="s">
        <v>78</v>
      </c>
      <c r="N401" t="s">
        <v>115</v>
      </c>
      <c r="O401" t="s">
        <v>8301</v>
      </c>
      <c r="P401" t="s">
        <v>8302</v>
      </c>
      <c r="Q401" t="s">
        <v>8303</v>
      </c>
      <c r="R401" t="s">
        <v>8304</v>
      </c>
      <c r="S401" t="s">
        <v>74</v>
      </c>
      <c r="T401" t="s">
        <v>8305</v>
      </c>
      <c r="U401" t="s">
        <v>74</v>
      </c>
      <c r="V401" t="s">
        <v>8306</v>
      </c>
      <c r="W401" t="s">
        <v>8307</v>
      </c>
      <c r="X401" t="s">
        <v>8308</v>
      </c>
      <c r="Y401" t="s">
        <v>8309</v>
      </c>
      <c r="Z401" t="s">
        <v>8310</v>
      </c>
      <c r="AA401" t="s">
        <v>8311</v>
      </c>
      <c r="AB401" t="s">
        <v>8312</v>
      </c>
      <c r="AC401" t="s">
        <v>74</v>
      </c>
      <c r="AD401" t="s">
        <v>74</v>
      </c>
      <c r="AE401" t="s">
        <v>74</v>
      </c>
      <c r="AF401" t="s">
        <v>74</v>
      </c>
      <c r="AG401">
        <v>21</v>
      </c>
      <c r="AH401">
        <v>0</v>
      </c>
      <c r="AI401">
        <v>0</v>
      </c>
      <c r="AJ401">
        <v>0</v>
      </c>
      <c r="AK401">
        <v>0</v>
      </c>
      <c r="AL401" t="s">
        <v>465</v>
      </c>
      <c r="AM401" t="s">
        <v>92</v>
      </c>
      <c r="AN401" t="s">
        <v>480</v>
      </c>
      <c r="AO401" t="s">
        <v>8313</v>
      </c>
      <c r="AP401" t="s">
        <v>74</v>
      </c>
      <c r="AQ401" t="s">
        <v>8314</v>
      </c>
      <c r="AR401" t="s">
        <v>8315</v>
      </c>
      <c r="AS401" t="s">
        <v>74</v>
      </c>
      <c r="AT401" t="s">
        <v>74</v>
      </c>
      <c r="AU401">
        <v>2014</v>
      </c>
      <c r="AV401" t="s">
        <v>74</v>
      </c>
      <c r="AW401" t="s">
        <v>74</v>
      </c>
      <c r="AX401" t="s">
        <v>74</v>
      </c>
      <c r="AY401" t="s">
        <v>74</v>
      </c>
      <c r="AZ401" t="s">
        <v>74</v>
      </c>
      <c r="BA401" t="s">
        <v>74</v>
      </c>
      <c r="BB401">
        <v>3746</v>
      </c>
      <c r="BC401">
        <v>3752</v>
      </c>
      <c r="BD401" t="s">
        <v>74</v>
      </c>
      <c r="BE401" t="s">
        <v>74</v>
      </c>
      <c r="BF401" t="s">
        <v>74</v>
      </c>
      <c r="BG401" t="s">
        <v>74</v>
      </c>
      <c r="BH401" t="s">
        <v>74</v>
      </c>
      <c r="BI401">
        <v>7</v>
      </c>
      <c r="BJ401" t="s">
        <v>4177</v>
      </c>
      <c r="BK401" t="s">
        <v>203</v>
      </c>
      <c r="BL401" t="s">
        <v>4177</v>
      </c>
      <c r="BM401" t="s">
        <v>8316</v>
      </c>
      <c r="BN401" t="s">
        <v>74</v>
      </c>
      <c r="BO401" t="s">
        <v>74</v>
      </c>
      <c r="BP401" t="s">
        <v>74</v>
      </c>
      <c r="BQ401" t="s">
        <v>74</v>
      </c>
      <c r="BR401" t="s">
        <v>106</v>
      </c>
      <c r="BS401" t="s">
        <v>8317</v>
      </c>
      <c r="BT401" t="str">
        <f>HYPERLINK("https%3A%2F%2Fwww.webofscience.com%2Fwos%2Fwoscc%2Ffull-record%2FWOS:000366666803149","View Full Record in Web of Science")</f>
        <v>View Full Record in Web of Science</v>
      </c>
    </row>
    <row r="402" spans="1:72" x14ac:dyDescent="0.25">
      <c r="A402" t="s">
        <v>108</v>
      </c>
      <c r="B402" t="s">
        <v>8318</v>
      </c>
      <c r="C402" t="s">
        <v>74</v>
      </c>
      <c r="D402" t="s">
        <v>8319</v>
      </c>
      <c r="E402" t="s">
        <v>74</v>
      </c>
      <c r="F402" t="s">
        <v>8320</v>
      </c>
      <c r="G402" t="s">
        <v>74</v>
      </c>
      <c r="H402" t="s">
        <v>74</v>
      </c>
      <c r="I402" t="s">
        <v>8321</v>
      </c>
      <c r="J402" t="s">
        <v>8322</v>
      </c>
      <c r="K402" t="s">
        <v>147</v>
      </c>
      <c r="L402" t="s">
        <v>74</v>
      </c>
      <c r="M402" t="s">
        <v>78</v>
      </c>
      <c r="N402" t="s">
        <v>115</v>
      </c>
      <c r="O402" t="s">
        <v>8323</v>
      </c>
      <c r="P402" t="s">
        <v>8324</v>
      </c>
      <c r="Q402" t="s">
        <v>8325</v>
      </c>
      <c r="R402" t="s">
        <v>74</v>
      </c>
      <c r="S402" t="s">
        <v>74</v>
      </c>
      <c r="T402" t="s">
        <v>74</v>
      </c>
      <c r="U402" t="s">
        <v>74</v>
      </c>
      <c r="V402" t="s">
        <v>8326</v>
      </c>
      <c r="W402" t="s">
        <v>8327</v>
      </c>
      <c r="X402" t="s">
        <v>8328</v>
      </c>
      <c r="Y402" t="s">
        <v>8329</v>
      </c>
      <c r="Z402" t="s">
        <v>74</v>
      </c>
      <c r="AA402" t="s">
        <v>8330</v>
      </c>
      <c r="AB402" t="s">
        <v>8331</v>
      </c>
      <c r="AC402" t="s">
        <v>8332</v>
      </c>
      <c r="AD402" t="s">
        <v>8333</v>
      </c>
      <c r="AE402" t="s">
        <v>8334</v>
      </c>
      <c r="AF402" t="s">
        <v>74</v>
      </c>
      <c r="AG402">
        <v>36</v>
      </c>
      <c r="AH402">
        <v>67</v>
      </c>
      <c r="AI402">
        <v>83</v>
      </c>
      <c r="AJ402">
        <v>0</v>
      </c>
      <c r="AK402">
        <v>14</v>
      </c>
      <c r="AL402" t="s">
        <v>197</v>
      </c>
      <c r="AM402" t="s">
        <v>198</v>
      </c>
      <c r="AN402" t="s">
        <v>199</v>
      </c>
      <c r="AO402" t="s">
        <v>159</v>
      </c>
      <c r="AP402" t="s">
        <v>133</v>
      </c>
      <c r="AQ402" t="s">
        <v>8335</v>
      </c>
      <c r="AR402" t="s">
        <v>161</v>
      </c>
      <c r="AS402" t="s">
        <v>74</v>
      </c>
      <c r="AT402" t="s">
        <v>74</v>
      </c>
      <c r="AU402">
        <v>2010</v>
      </c>
      <c r="AV402">
        <v>6307</v>
      </c>
      <c r="AW402" t="s">
        <v>74</v>
      </c>
      <c r="AX402" t="s">
        <v>74</v>
      </c>
      <c r="AY402" t="s">
        <v>74</v>
      </c>
      <c r="AZ402" t="s">
        <v>74</v>
      </c>
      <c r="BA402" t="s">
        <v>74</v>
      </c>
      <c r="BB402">
        <v>422</v>
      </c>
      <c r="BC402" t="s">
        <v>5459</v>
      </c>
      <c r="BD402" t="s">
        <v>74</v>
      </c>
      <c r="BE402" t="s">
        <v>74</v>
      </c>
      <c r="BF402" t="s">
        <v>74</v>
      </c>
      <c r="BG402" t="s">
        <v>74</v>
      </c>
      <c r="BH402" t="s">
        <v>74</v>
      </c>
      <c r="BI402">
        <v>3</v>
      </c>
      <c r="BJ402" t="s">
        <v>925</v>
      </c>
      <c r="BK402" t="s">
        <v>203</v>
      </c>
      <c r="BL402" t="s">
        <v>103</v>
      </c>
      <c r="BM402" t="s">
        <v>8336</v>
      </c>
      <c r="BN402" t="s">
        <v>74</v>
      </c>
      <c r="BO402" t="s">
        <v>74</v>
      </c>
      <c r="BP402" t="s">
        <v>74</v>
      </c>
      <c r="BQ402" t="s">
        <v>74</v>
      </c>
      <c r="BR402" t="s">
        <v>106</v>
      </c>
      <c r="BS402" t="s">
        <v>8337</v>
      </c>
      <c r="BT402" t="str">
        <f>HYPERLINK("https%3A%2F%2Fwww.webofscience.com%2Fwos%2Fwoscc%2Ffull-record%2FWOS:000286486100022","View Full Record in Web of Science")</f>
        <v>View Full Record in Web of Science</v>
      </c>
    </row>
    <row r="403" spans="1:72" x14ac:dyDescent="0.25">
      <c r="A403" t="s">
        <v>72</v>
      </c>
      <c r="B403" t="s">
        <v>8338</v>
      </c>
      <c r="C403" t="s">
        <v>74</v>
      </c>
      <c r="D403" t="s">
        <v>74</v>
      </c>
      <c r="E403" t="s">
        <v>74</v>
      </c>
      <c r="F403" t="s">
        <v>8339</v>
      </c>
      <c r="G403" t="s">
        <v>74</v>
      </c>
      <c r="H403" t="s">
        <v>74</v>
      </c>
      <c r="I403" t="s">
        <v>8340</v>
      </c>
      <c r="J403" t="s">
        <v>8341</v>
      </c>
      <c r="K403" t="s">
        <v>74</v>
      </c>
      <c r="L403" t="s">
        <v>74</v>
      </c>
      <c r="M403" t="s">
        <v>78</v>
      </c>
      <c r="N403" t="s">
        <v>79</v>
      </c>
      <c r="O403" t="s">
        <v>74</v>
      </c>
      <c r="P403" t="s">
        <v>74</v>
      </c>
      <c r="Q403" t="s">
        <v>74</v>
      </c>
      <c r="R403" t="s">
        <v>74</v>
      </c>
      <c r="S403" t="s">
        <v>74</v>
      </c>
      <c r="T403" t="s">
        <v>8342</v>
      </c>
      <c r="U403" t="s">
        <v>74</v>
      </c>
      <c r="V403" t="s">
        <v>8343</v>
      </c>
      <c r="W403" t="s">
        <v>8344</v>
      </c>
      <c r="X403" t="s">
        <v>8345</v>
      </c>
      <c r="Y403" t="s">
        <v>8346</v>
      </c>
      <c r="Z403" t="s">
        <v>74</v>
      </c>
      <c r="AA403" t="s">
        <v>8347</v>
      </c>
      <c r="AB403" t="s">
        <v>8348</v>
      </c>
      <c r="AC403" t="s">
        <v>74</v>
      </c>
      <c r="AD403" t="s">
        <v>74</v>
      </c>
      <c r="AE403" t="s">
        <v>74</v>
      </c>
      <c r="AF403" t="s">
        <v>74</v>
      </c>
      <c r="AG403">
        <v>27</v>
      </c>
      <c r="AH403">
        <v>6</v>
      </c>
      <c r="AI403">
        <v>9</v>
      </c>
      <c r="AJ403">
        <v>0</v>
      </c>
      <c r="AK403">
        <v>8</v>
      </c>
      <c r="AL403" t="s">
        <v>4168</v>
      </c>
      <c r="AM403" t="s">
        <v>4169</v>
      </c>
      <c r="AN403" t="s">
        <v>4170</v>
      </c>
      <c r="AO403" t="s">
        <v>8349</v>
      </c>
      <c r="AP403" t="s">
        <v>8350</v>
      </c>
      <c r="AQ403" t="s">
        <v>74</v>
      </c>
      <c r="AR403" t="s">
        <v>8351</v>
      </c>
      <c r="AS403" t="s">
        <v>8352</v>
      </c>
      <c r="AT403" t="s">
        <v>74</v>
      </c>
      <c r="AU403">
        <v>2022</v>
      </c>
      <c r="AV403">
        <v>17</v>
      </c>
      <c r="AW403">
        <v>1</v>
      </c>
      <c r="AX403" t="s">
        <v>74</v>
      </c>
      <c r="AY403" t="s">
        <v>74</v>
      </c>
      <c r="AZ403" t="s">
        <v>74</v>
      </c>
      <c r="BA403" t="s">
        <v>74</v>
      </c>
      <c r="BB403" t="s">
        <v>74</v>
      </c>
      <c r="BC403" t="s">
        <v>74</v>
      </c>
      <c r="BD403" t="s">
        <v>74</v>
      </c>
      <c r="BE403" t="s">
        <v>8353</v>
      </c>
      <c r="BF403" t="str">
        <f>HYPERLINK("http://dx.doi.org/10.4018/IJITWE.304049","http://dx.doi.org/10.4018/IJITWE.304049")</f>
        <v>http://dx.doi.org/10.4018/IJITWE.304049</v>
      </c>
      <c r="BG403" t="s">
        <v>74</v>
      </c>
      <c r="BH403" t="s">
        <v>74</v>
      </c>
      <c r="BI403">
        <v>14</v>
      </c>
      <c r="BJ403" t="s">
        <v>852</v>
      </c>
      <c r="BK403" t="s">
        <v>102</v>
      </c>
      <c r="BL403" t="s">
        <v>103</v>
      </c>
      <c r="BM403" t="s">
        <v>8354</v>
      </c>
      <c r="BN403" t="s">
        <v>74</v>
      </c>
      <c r="BO403" t="s">
        <v>398</v>
      </c>
      <c r="BP403" t="s">
        <v>74</v>
      </c>
      <c r="BQ403" t="s">
        <v>74</v>
      </c>
      <c r="BR403" t="s">
        <v>106</v>
      </c>
      <c r="BS403" t="s">
        <v>8355</v>
      </c>
      <c r="BT403" t="str">
        <f>HYPERLINK("https%3A%2F%2Fwww.webofscience.com%2Fwos%2Fwoscc%2Ffull-record%2FWOS:001132547600018","View Full Record in Web of Science")</f>
        <v>View Full Record in Web of Science</v>
      </c>
    </row>
    <row r="404" spans="1:72" x14ac:dyDescent="0.25">
      <c r="A404" t="s">
        <v>108</v>
      </c>
      <c r="B404" t="s">
        <v>8356</v>
      </c>
      <c r="C404" t="s">
        <v>74</v>
      </c>
      <c r="D404" t="s">
        <v>8357</v>
      </c>
      <c r="E404" t="s">
        <v>74</v>
      </c>
      <c r="F404" t="s">
        <v>8358</v>
      </c>
      <c r="G404" t="s">
        <v>74</v>
      </c>
      <c r="H404" t="s">
        <v>74</v>
      </c>
      <c r="I404" t="s">
        <v>8359</v>
      </c>
      <c r="J404" t="s">
        <v>8360</v>
      </c>
      <c r="K404" t="s">
        <v>74</v>
      </c>
      <c r="L404" t="s">
        <v>74</v>
      </c>
      <c r="M404" t="s">
        <v>78</v>
      </c>
      <c r="N404" t="s">
        <v>115</v>
      </c>
      <c r="O404" t="s">
        <v>5871</v>
      </c>
      <c r="P404" t="s">
        <v>8361</v>
      </c>
      <c r="Q404" t="s">
        <v>519</v>
      </c>
      <c r="R404" t="s">
        <v>8362</v>
      </c>
      <c r="S404" t="s">
        <v>74</v>
      </c>
      <c r="T404" t="s">
        <v>8363</v>
      </c>
      <c r="U404" t="s">
        <v>74</v>
      </c>
      <c r="V404" t="s">
        <v>8364</v>
      </c>
      <c r="W404" t="s">
        <v>8365</v>
      </c>
      <c r="X404" t="s">
        <v>8366</v>
      </c>
      <c r="Y404" t="s">
        <v>8367</v>
      </c>
      <c r="Z404" t="s">
        <v>8368</v>
      </c>
      <c r="AA404" t="s">
        <v>3747</v>
      </c>
      <c r="AB404" t="s">
        <v>3748</v>
      </c>
      <c r="AC404" t="s">
        <v>74</v>
      </c>
      <c r="AD404" t="s">
        <v>74</v>
      </c>
      <c r="AE404" t="s">
        <v>74</v>
      </c>
      <c r="AF404" t="s">
        <v>74</v>
      </c>
      <c r="AG404">
        <v>11</v>
      </c>
      <c r="AH404">
        <v>6</v>
      </c>
      <c r="AI404">
        <v>6</v>
      </c>
      <c r="AJ404">
        <v>0</v>
      </c>
      <c r="AK404">
        <v>1</v>
      </c>
      <c r="AL404" t="s">
        <v>291</v>
      </c>
      <c r="AM404" t="s">
        <v>92</v>
      </c>
      <c r="AN404" t="s">
        <v>292</v>
      </c>
      <c r="AO404" t="s">
        <v>74</v>
      </c>
      <c r="AP404" t="s">
        <v>74</v>
      </c>
      <c r="AQ404" t="s">
        <v>8369</v>
      </c>
      <c r="AR404" t="s">
        <v>74</v>
      </c>
      <c r="AS404" t="s">
        <v>74</v>
      </c>
      <c r="AT404" t="s">
        <v>74</v>
      </c>
      <c r="AU404">
        <v>2015</v>
      </c>
      <c r="AV404" t="s">
        <v>74</v>
      </c>
      <c r="AW404" t="s">
        <v>74</v>
      </c>
      <c r="AX404" t="s">
        <v>74</v>
      </c>
      <c r="AY404" t="s">
        <v>74</v>
      </c>
      <c r="AZ404" t="s">
        <v>74</v>
      </c>
      <c r="BA404" t="s">
        <v>74</v>
      </c>
      <c r="BB404">
        <v>569</v>
      </c>
      <c r="BC404">
        <v>572</v>
      </c>
      <c r="BD404" t="s">
        <v>74</v>
      </c>
      <c r="BE404" t="s">
        <v>8370</v>
      </c>
      <c r="BF404" t="str">
        <f>HYPERLINK("http://dx.doi.org/10.1145/2808797.2809415","http://dx.doi.org/10.1145/2808797.2809415")</f>
        <v>http://dx.doi.org/10.1145/2808797.2809415</v>
      </c>
      <c r="BG404" t="s">
        <v>74</v>
      </c>
      <c r="BH404" t="s">
        <v>74</v>
      </c>
      <c r="BI404">
        <v>4</v>
      </c>
      <c r="BJ404" t="s">
        <v>202</v>
      </c>
      <c r="BK404" t="s">
        <v>203</v>
      </c>
      <c r="BL404" t="s">
        <v>103</v>
      </c>
      <c r="BM404" t="s">
        <v>8371</v>
      </c>
      <c r="BN404" t="s">
        <v>74</v>
      </c>
      <c r="BO404" t="s">
        <v>346</v>
      </c>
      <c r="BP404" t="s">
        <v>74</v>
      </c>
      <c r="BQ404" t="s">
        <v>74</v>
      </c>
      <c r="BR404" t="s">
        <v>106</v>
      </c>
      <c r="BS404" t="s">
        <v>8372</v>
      </c>
      <c r="BT404" t="str">
        <f>HYPERLINK("https%3A%2F%2Fwww.webofscience.com%2Fwos%2Fwoscc%2Ffull-record%2FWOS:000371793500082","View Full Record in Web of Science")</f>
        <v>View Full Record in Web of Science</v>
      </c>
    </row>
    <row r="405" spans="1:72" x14ac:dyDescent="0.25">
      <c r="A405" t="s">
        <v>72</v>
      </c>
      <c r="B405" t="s">
        <v>8373</v>
      </c>
      <c r="C405" t="s">
        <v>74</v>
      </c>
      <c r="D405" t="s">
        <v>74</v>
      </c>
      <c r="E405" t="s">
        <v>74</v>
      </c>
      <c r="F405" t="s">
        <v>8374</v>
      </c>
      <c r="G405" t="s">
        <v>74</v>
      </c>
      <c r="H405" t="s">
        <v>74</v>
      </c>
      <c r="I405" t="s">
        <v>8375</v>
      </c>
      <c r="J405" t="s">
        <v>2523</v>
      </c>
      <c r="K405" t="s">
        <v>74</v>
      </c>
      <c r="L405" t="s">
        <v>74</v>
      </c>
      <c r="M405" t="s">
        <v>78</v>
      </c>
      <c r="N405" t="s">
        <v>79</v>
      </c>
      <c r="O405" t="s">
        <v>74</v>
      </c>
      <c r="P405" t="s">
        <v>74</v>
      </c>
      <c r="Q405" t="s">
        <v>74</v>
      </c>
      <c r="R405" t="s">
        <v>74</v>
      </c>
      <c r="S405" t="s">
        <v>74</v>
      </c>
      <c r="T405" t="s">
        <v>8376</v>
      </c>
      <c r="U405" t="s">
        <v>8377</v>
      </c>
      <c r="V405" t="s">
        <v>8378</v>
      </c>
      <c r="W405" t="s">
        <v>8379</v>
      </c>
      <c r="X405" t="s">
        <v>8380</v>
      </c>
      <c r="Y405" t="s">
        <v>8381</v>
      </c>
      <c r="Z405" t="s">
        <v>8382</v>
      </c>
      <c r="AA405" t="s">
        <v>8383</v>
      </c>
      <c r="AB405" t="s">
        <v>8384</v>
      </c>
      <c r="AC405" t="s">
        <v>8385</v>
      </c>
      <c r="AD405" t="s">
        <v>8386</v>
      </c>
      <c r="AE405" t="s">
        <v>8387</v>
      </c>
      <c r="AF405" t="s">
        <v>74</v>
      </c>
      <c r="AG405">
        <v>80</v>
      </c>
      <c r="AH405">
        <v>20</v>
      </c>
      <c r="AI405">
        <v>24</v>
      </c>
      <c r="AJ405">
        <v>1</v>
      </c>
      <c r="AK405">
        <v>28</v>
      </c>
      <c r="AL405" t="s">
        <v>291</v>
      </c>
      <c r="AM405" t="s">
        <v>92</v>
      </c>
      <c r="AN405" t="s">
        <v>2534</v>
      </c>
      <c r="AO405" t="s">
        <v>2535</v>
      </c>
      <c r="AP405" t="s">
        <v>2536</v>
      </c>
      <c r="AQ405" t="s">
        <v>74</v>
      </c>
      <c r="AR405" t="s">
        <v>2537</v>
      </c>
      <c r="AS405" t="s">
        <v>2538</v>
      </c>
      <c r="AT405" t="s">
        <v>368</v>
      </c>
      <c r="AU405">
        <v>2022</v>
      </c>
      <c r="AV405">
        <v>16</v>
      </c>
      <c r="AW405">
        <v>2</v>
      </c>
      <c r="AX405" t="s">
        <v>74</v>
      </c>
      <c r="AY405" t="s">
        <v>74</v>
      </c>
      <c r="AZ405" t="s">
        <v>74</v>
      </c>
      <c r="BA405" t="s">
        <v>74</v>
      </c>
      <c r="BB405" t="s">
        <v>74</v>
      </c>
      <c r="BC405" t="s">
        <v>74</v>
      </c>
      <c r="BD405">
        <v>10</v>
      </c>
      <c r="BE405" t="s">
        <v>8388</v>
      </c>
      <c r="BF405" t="str">
        <f>HYPERLINK("http://dx.doi.org/10.1145/3523749","http://dx.doi.org/10.1145/3523749")</f>
        <v>http://dx.doi.org/10.1145/3523749</v>
      </c>
      <c r="BG405" t="s">
        <v>74</v>
      </c>
      <c r="BH405" t="s">
        <v>74</v>
      </c>
      <c r="BI405">
        <v>26</v>
      </c>
      <c r="BJ405" t="s">
        <v>2540</v>
      </c>
      <c r="BK405" t="s">
        <v>902</v>
      </c>
      <c r="BL405" t="s">
        <v>103</v>
      </c>
      <c r="BM405" t="s">
        <v>8389</v>
      </c>
      <c r="BN405" t="s">
        <v>74</v>
      </c>
      <c r="BO405" t="s">
        <v>105</v>
      </c>
      <c r="BP405" t="s">
        <v>74</v>
      </c>
      <c r="BQ405" t="s">
        <v>74</v>
      </c>
      <c r="BR405" t="s">
        <v>106</v>
      </c>
      <c r="BS405" t="s">
        <v>8390</v>
      </c>
      <c r="BT405" t="str">
        <f>HYPERLINK("https%3A%2F%2Fwww.webofscience.com%2Fwos%2Fwoscc%2Ffull-record%2FWOS:000799310500005","View Full Record in Web of Science")</f>
        <v>View Full Record in Web of Science</v>
      </c>
    </row>
    <row r="406" spans="1:72" x14ac:dyDescent="0.25">
      <c r="A406" t="s">
        <v>72</v>
      </c>
      <c r="B406" t="s">
        <v>8391</v>
      </c>
      <c r="C406" t="s">
        <v>74</v>
      </c>
      <c r="D406" t="s">
        <v>74</v>
      </c>
      <c r="E406" t="s">
        <v>74</v>
      </c>
      <c r="F406" t="s">
        <v>8392</v>
      </c>
      <c r="G406" t="s">
        <v>74</v>
      </c>
      <c r="H406" t="s">
        <v>74</v>
      </c>
      <c r="I406" t="s">
        <v>8393</v>
      </c>
      <c r="J406" t="s">
        <v>3418</v>
      </c>
      <c r="K406" t="s">
        <v>74</v>
      </c>
      <c r="L406" t="s">
        <v>74</v>
      </c>
      <c r="M406" t="s">
        <v>78</v>
      </c>
      <c r="N406" t="s">
        <v>79</v>
      </c>
      <c r="O406" t="s">
        <v>74</v>
      </c>
      <c r="P406" t="s">
        <v>74</v>
      </c>
      <c r="Q406" t="s">
        <v>74</v>
      </c>
      <c r="R406" t="s">
        <v>74</v>
      </c>
      <c r="S406" t="s">
        <v>74</v>
      </c>
      <c r="T406" t="s">
        <v>8394</v>
      </c>
      <c r="U406" t="s">
        <v>74</v>
      </c>
      <c r="V406" t="s">
        <v>8395</v>
      </c>
      <c r="W406" t="s">
        <v>8396</v>
      </c>
      <c r="X406" t="s">
        <v>8397</v>
      </c>
      <c r="Y406" t="s">
        <v>8398</v>
      </c>
      <c r="Z406" t="s">
        <v>8399</v>
      </c>
      <c r="AA406" t="s">
        <v>8400</v>
      </c>
      <c r="AB406" t="s">
        <v>8401</v>
      </c>
      <c r="AC406" t="s">
        <v>74</v>
      </c>
      <c r="AD406" t="s">
        <v>74</v>
      </c>
      <c r="AE406" t="s">
        <v>74</v>
      </c>
      <c r="AF406" t="s">
        <v>74</v>
      </c>
      <c r="AG406">
        <v>48</v>
      </c>
      <c r="AH406">
        <v>15</v>
      </c>
      <c r="AI406">
        <v>16</v>
      </c>
      <c r="AJ406">
        <v>0</v>
      </c>
      <c r="AK406">
        <v>8</v>
      </c>
      <c r="AL406" t="s">
        <v>3427</v>
      </c>
      <c r="AM406" t="s">
        <v>3769</v>
      </c>
      <c r="AN406" t="s">
        <v>3770</v>
      </c>
      <c r="AO406" t="s">
        <v>3430</v>
      </c>
      <c r="AP406" t="s">
        <v>3431</v>
      </c>
      <c r="AQ406" t="s">
        <v>74</v>
      </c>
      <c r="AR406" t="s">
        <v>3432</v>
      </c>
      <c r="AS406" t="s">
        <v>3433</v>
      </c>
      <c r="AT406" t="s">
        <v>98</v>
      </c>
      <c r="AU406">
        <v>2015</v>
      </c>
      <c r="AV406">
        <v>5</v>
      </c>
      <c r="AW406">
        <v>1</v>
      </c>
      <c r="AX406" t="s">
        <v>74</v>
      </c>
      <c r="AY406" t="s">
        <v>74</v>
      </c>
      <c r="AZ406" t="s">
        <v>74</v>
      </c>
      <c r="BA406" t="s">
        <v>74</v>
      </c>
      <c r="BB406" t="s">
        <v>74</v>
      </c>
      <c r="BC406" t="s">
        <v>74</v>
      </c>
      <c r="BD406">
        <v>25</v>
      </c>
      <c r="BE406" t="s">
        <v>8402</v>
      </c>
      <c r="BF406" t="str">
        <f>HYPERLINK("http://dx.doi.org/10.1007/s13278-015-0264-2","http://dx.doi.org/10.1007/s13278-015-0264-2")</f>
        <v>http://dx.doi.org/10.1007/s13278-015-0264-2</v>
      </c>
      <c r="BG406" t="s">
        <v>74</v>
      </c>
      <c r="BH406" t="s">
        <v>74</v>
      </c>
      <c r="BI406">
        <v>23</v>
      </c>
      <c r="BJ406" t="s">
        <v>852</v>
      </c>
      <c r="BK406" t="s">
        <v>102</v>
      </c>
      <c r="BL406" t="s">
        <v>103</v>
      </c>
      <c r="BM406" t="s">
        <v>8403</v>
      </c>
      <c r="BN406" t="s">
        <v>74</v>
      </c>
      <c r="BO406" t="s">
        <v>74</v>
      </c>
      <c r="BP406" t="s">
        <v>74</v>
      </c>
      <c r="BQ406" t="s">
        <v>74</v>
      </c>
      <c r="BR406" t="s">
        <v>106</v>
      </c>
      <c r="BS406" t="s">
        <v>8404</v>
      </c>
      <c r="BT406" t="str">
        <f>HYPERLINK("https%3A%2F%2Fwww.webofscience.com%2Fwos%2Fwoscc%2Ffull-record%2FWOS:000355743100025","View Full Record in Web of Science")</f>
        <v>View Full Record in Web of Science</v>
      </c>
    </row>
    <row r="407" spans="1:72" x14ac:dyDescent="0.25">
      <c r="A407" t="s">
        <v>72</v>
      </c>
      <c r="B407" t="s">
        <v>8405</v>
      </c>
      <c r="C407" t="s">
        <v>74</v>
      </c>
      <c r="D407" t="s">
        <v>74</v>
      </c>
      <c r="E407" t="s">
        <v>74</v>
      </c>
      <c r="F407" t="s">
        <v>8406</v>
      </c>
      <c r="G407" t="s">
        <v>74</v>
      </c>
      <c r="H407" t="s">
        <v>74</v>
      </c>
      <c r="I407" t="s">
        <v>8407</v>
      </c>
      <c r="J407" t="s">
        <v>1532</v>
      </c>
      <c r="K407" t="s">
        <v>74</v>
      </c>
      <c r="L407" t="s">
        <v>74</v>
      </c>
      <c r="M407" t="s">
        <v>78</v>
      </c>
      <c r="N407" t="s">
        <v>79</v>
      </c>
      <c r="O407" t="s">
        <v>74</v>
      </c>
      <c r="P407" t="s">
        <v>74</v>
      </c>
      <c r="Q407" t="s">
        <v>74</v>
      </c>
      <c r="R407" t="s">
        <v>74</v>
      </c>
      <c r="S407" t="s">
        <v>74</v>
      </c>
      <c r="T407" t="s">
        <v>8408</v>
      </c>
      <c r="U407" t="s">
        <v>74</v>
      </c>
      <c r="V407" t="s">
        <v>8409</v>
      </c>
      <c r="W407" t="s">
        <v>8410</v>
      </c>
      <c r="X407" t="s">
        <v>8411</v>
      </c>
      <c r="Y407" t="s">
        <v>8412</v>
      </c>
      <c r="Z407" t="s">
        <v>8413</v>
      </c>
      <c r="AA407" t="s">
        <v>8414</v>
      </c>
      <c r="AB407" t="s">
        <v>8415</v>
      </c>
      <c r="AC407" t="s">
        <v>8416</v>
      </c>
      <c r="AD407" t="s">
        <v>8417</v>
      </c>
      <c r="AE407" t="s">
        <v>8418</v>
      </c>
      <c r="AF407" t="s">
        <v>74</v>
      </c>
      <c r="AG407">
        <v>45</v>
      </c>
      <c r="AH407">
        <v>1</v>
      </c>
      <c r="AI407">
        <v>1</v>
      </c>
      <c r="AJ407">
        <v>2</v>
      </c>
      <c r="AK407">
        <v>2</v>
      </c>
      <c r="AL407" t="s">
        <v>895</v>
      </c>
      <c r="AM407" t="s">
        <v>896</v>
      </c>
      <c r="AN407" t="s">
        <v>897</v>
      </c>
      <c r="AO407" t="s">
        <v>1541</v>
      </c>
      <c r="AP407" t="s">
        <v>74</v>
      </c>
      <c r="AQ407" t="s">
        <v>74</v>
      </c>
      <c r="AR407" t="s">
        <v>1542</v>
      </c>
      <c r="AS407" t="s">
        <v>1543</v>
      </c>
      <c r="AT407" t="s">
        <v>1375</v>
      </c>
      <c r="AU407">
        <v>2026</v>
      </c>
      <c r="AV407">
        <v>13</v>
      </c>
      <c r="AW407">
        <v>3</v>
      </c>
      <c r="AX407" t="s">
        <v>74</v>
      </c>
      <c r="AY407" t="s">
        <v>74</v>
      </c>
      <c r="AZ407" t="s">
        <v>74</v>
      </c>
      <c r="BA407" t="s">
        <v>74</v>
      </c>
      <c r="BB407">
        <v>2764</v>
      </c>
      <c r="BC407">
        <v>2778</v>
      </c>
      <c r="BD407" t="s">
        <v>74</v>
      </c>
      <c r="BE407" t="s">
        <v>8419</v>
      </c>
      <c r="BF407" t="str">
        <f>HYPERLINK("http://dx.doi.org/10.1109/TCSS.2026.3675313","http://dx.doi.org/10.1109/TCSS.2026.3675313")</f>
        <v>http://dx.doi.org/10.1109/TCSS.2026.3675313</v>
      </c>
      <c r="BG407" t="s">
        <v>74</v>
      </c>
      <c r="BH407" t="s">
        <v>8420</v>
      </c>
      <c r="BI407">
        <v>15</v>
      </c>
      <c r="BJ407" t="s">
        <v>1546</v>
      </c>
      <c r="BK407" t="s">
        <v>902</v>
      </c>
      <c r="BL407" t="s">
        <v>103</v>
      </c>
      <c r="BM407" t="s">
        <v>8421</v>
      </c>
      <c r="BN407" t="s">
        <v>74</v>
      </c>
      <c r="BO407" t="s">
        <v>74</v>
      </c>
      <c r="BP407" t="s">
        <v>74</v>
      </c>
      <c r="BQ407" t="s">
        <v>74</v>
      </c>
      <c r="BR407" t="s">
        <v>106</v>
      </c>
      <c r="BS407" t="s">
        <v>8422</v>
      </c>
      <c r="BT407" t="str">
        <f>HYPERLINK("https%3A%2F%2Fwww.webofscience.com%2Fwos%2Fwoscc%2Ffull-record%2FWOS:001737587200001","View Full Record in Web of Science")</f>
        <v>View Full Record in Web of Science</v>
      </c>
    </row>
    <row r="408" spans="1:72" x14ac:dyDescent="0.25">
      <c r="A408" t="s">
        <v>108</v>
      </c>
      <c r="B408" t="s">
        <v>8423</v>
      </c>
      <c r="C408" t="s">
        <v>74</v>
      </c>
      <c r="D408" t="s">
        <v>8424</v>
      </c>
      <c r="E408" t="s">
        <v>74</v>
      </c>
      <c r="F408" t="s">
        <v>8425</v>
      </c>
      <c r="G408" t="s">
        <v>74</v>
      </c>
      <c r="H408" t="s">
        <v>74</v>
      </c>
      <c r="I408" t="s">
        <v>8426</v>
      </c>
      <c r="J408" t="s">
        <v>8427</v>
      </c>
      <c r="K408" t="s">
        <v>74</v>
      </c>
      <c r="L408" t="s">
        <v>74</v>
      </c>
      <c r="M408" t="s">
        <v>78</v>
      </c>
      <c r="N408" t="s">
        <v>115</v>
      </c>
      <c r="O408" t="s">
        <v>8428</v>
      </c>
      <c r="P408" t="s">
        <v>8429</v>
      </c>
      <c r="Q408" t="s">
        <v>1767</v>
      </c>
      <c r="R408" t="s">
        <v>74</v>
      </c>
      <c r="S408" t="s">
        <v>74</v>
      </c>
      <c r="T408" t="s">
        <v>8430</v>
      </c>
      <c r="U408" t="s">
        <v>74</v>
      </c>
      <c r="V408" t="s">
        <v>8431</v>
      </c>
      <c r="W408" t="s">
        <v>8432</v>
      </c>
      <c r="X408" t="s">
        <v>8433</v>
      </c>
      <c r="Y408" t="s">
        <v>8434</v>
      </c>
      <c r="Z408" t="s">
        <v>74</v>
      </c>
      <c r="AA408" t="s">
        <v>74</v>
      </c>
      <c r="AB408" t="s">
        <v>8435</v>
      </c>
      <c r="AC408" t="s">
        <v>8436</v>
      </c>
      <c r="AD408" t="s">
        <v>8437</v>
      </c>
      <c r="AE408" t="s">
        <v>8438</v>
      </c>
      <c r="AF408" t="s">
        <v>74</v>
      </c>
      <c r="AG408">
        <v>22</v>
      </c>
      <c r="AH408">
        <v>1</v>
      </c>
      <c r="AI408">
        <v>1</v>
      </c>
      <c r="AJ408">
        <v>0</v>
      </c>
      <c r="AK408">
        <v>1</v>
      </c>
      <c r="AL408" t="s">
        <v>2558</v>
      </c>
      <c r="AM408" t="s">
        <v>2559</v>
      </c>
      <c r="AN408" t="s">
        <v>2560</v>
      </c>
      <c r="AO408" t="s">
        <v>74</v>
      </c>
      <c r="AP408" t="s">
        <v>74</v>
      </c>
      <c r="AQ408" t="s">
        <v>8439</v>
      </c>
      <c r="AR408" t="s">
        <v>74</v>
      </c>
      <c r="AS408" t="s">
        <v>74</v>
      </c>
      <c r="AT408" t="s">
        <v>74</v>
      </c>
      <c r="AU408">
        <v>2019</v>
      </c>
      <c r="AV408" t="s">
        <v>74</v>
      </c>
      <c r="AW408" t="s">
        <v>74</v>
      </c>
      <c r="AX408" t="s">
        <v>74</v>
      </c>
      <c r="AY408" t="s">
        <v>74</v>
      </c>
      <c r="AZ408" t="s">
        <v>74</v>
      </c>
      <c r="BA408" t="s">
        <v>74</v>
      </c>
      <c r="BB408">
        <v>357</v>
      </c>
      <c r="BC408">
        <v>366</v>
      </c>
      <c r="BD408" t="s">
        <v>74</v>
      </c>
      <c r="BE408" t="s">
        <v>8440</v>
      </c>
      <c r="BF408" t="str">
        <f>HYPERLINK("http://dx.doi.org/10.5220/0007681203570366","http://dx.doi.org/10.5220/0007681203570366")</f>
        <v>http://dx.doi.org/10.5220/0007681203570366</v>
      </c>
      <c r="BG408" t="s">
        <v>74</v>
      </c>
      <c r="BH408" t="s">
        <v>74</v>
      </c>
      <c r="BI408">
        <v>10</v>
      </c>
      <c r="BJ408" t="s">
        <v>807</v>
      </c>
      <c r="BK408" t="s">
        <v>203</v>
      </c>
      <c r="BL408" t="s">
        <v>103</v>
      </c>
      <c r="BM408" t="s">
        <v>8441</v>
      </c>
      <c r="BN408" t="s">
        <v>74</v>
      </c>
      <c r="BO408" t="s">
        <v>372</v>
      </c>
      <c r="BP408" t="s">
        <v>74</v>
      </c>
      <c r="BQ408" t="s">
        <v>74</v>
      </c>
      <c r="BR408" t="s">
        <v>106</v>
      </c>
      <c r="BS408" t="s">
        <v>8442</v>
      </c>
      <c r="BT408" t="str">
        <f>HYPERLINK("https%3A%2F%2Fwww.webofscience.com%2Fwos%2Fwoscc%2Ffull-record%2FWOS:000671841000033","View Full Record in Web of Science")</f>
        <v>View Full Record in Web of Science</v>
      </c>
    </row>
    <row r="409" spans="1:72" x14ac:dyDescent="0.25">
      <c r="A409" t="s">
        <v>72</v>
      </c>
      <c r="B409" t="s">
        <v>3348</v>
      </c>
      <c r="C409" t="s">
        <v>74</v>
      </c>
      <c r="D409" t="s">
        <v>74</v>
      </c>
      <c r="E409" t="s">
        <v>74</v>
      </c>
      <c r="F409" t="s">
        <v>3350</v>
      </c>
      <c r="G409" t="s">
        <v>74</v>
      </c>
      <c r="H409" t="s">
        <v>74</v>
      </c>
      <c r="I409" t="s">
        <v>8443</v>
      </c>
      <c r="J409" t="s">
        <v>4685</v>
      </c>
      <c r="K409" t="s">
        <v>74</v>
      </c>
      <c r="L409" t="s">
        <v>74</v>
      </c>
      <c r="M409" t="s">
        <v>78</v>
      </c>
      <c r="N409" t="s">
        <v>79</v>
      </c>
      <c r="O409" t="s">
        <v>74</v>
      </c>
      <c r="P409" t="s">
        <v>74</v>
      </c>
      <c r="Q409" t="s">
        <v>74</v>
      </c>
      <c r="R409" t="s">
        <v>74</v>
      </c>
      <c r="S409" t="s">
        <v>74</v>
      </c>
      <c r="T409" t="s">
        <v>3358</v>
      </c>
      <c r="U409" t="s">
        <v>8444</v>
      </c>
      <c r="V409" t="s">
        <v>8445</v>
      </c>
      <c r="W409" t="s">
        <v>8446</v>
      </c>
      <c r="X409" t="s">
        <v>8447</v>
      </c>
      <c r="Y409" t="s">
        <v>8448</v>
      </c>
      <c r="Z409" t="s">
        <v>8449</v>
      </c>
      <c r="AA409" t="s">
        <v>8450</v>
      </c>
      <c r="AB409" t="s">
        <v>3365</v>
      </c>
      <c r="AC409" t="s">
        <v>8451</v>
      </c>
      <c r="AD409" t="s">
        <v>8452</v>
      </c>
      <c r="AE409" t="s">
        <v>8453</v>
      </c>
      <c r="AF409" t="s">
        <v>74</v>
      </c>
      <c r="AG409">
        <v>42</v>
      </c>
      <c r="AH409">
        <v>20</v>
      </c>
      <c r="AI409">
        <v>22</v>
      </c>
      <c r="AJ409">
        <v>0</v>
      </c>
      <c r="AK409">
        <v>25</v>
      </c>
      <c r="AL409" t="s">
        <v>178</v>
      </c>
      <c r="AM409" t="s">
        <v>1005</v>
      </c>
      <c r="AN409" t="s">
        <v>1006</v>
      </c>
      <c r="AO409" t="s">
        <v>4692</v>
      </c>
      <c r="AP409" t="s">
        <v>4693</v>
      </c>
      <c r="AQ409" t="s">
        <v>74</v>
      </c>
      <c r="AR409" t="s">
        <v>4694</v>
      </c>
      <c r="AS409" t="s">
        <v>4695</v>
      </c>
      <c r="AT409" t="s">
        <v>4318</v>
      </c>
      <c r="AU409">
        <v>2016</v>
      </c>
      <c r="AV409">
        <v>47</v>
      </c>
      <c r="AW409">
        <v>2</v>
      </c>
      <c r="AX409" t="s">
        <v>74</v>
      </c>
      <c r="AY409" t="s">
        <v>74</v>
      </c>
      <c r="AZ409" t="s">
        <v>74</v>
      </c>
      <c r="BA409" t="s">
        <v>74</v>
      </c>
      <c r="BB409">
        <v>313</v>
      </c>
      <c r="BC409">
        <v>344</v>
      </c>
      <c r="BD409" t="s">
        <v>74</v>
      </c>
      <c r="BE409" t="s">
        <v>8454</v>
      </c>
      <c r="BF409" t="str">
        <f>HYPERLINK("http://dx.doi.org/10.1007/s10844-016-0402-y","http://dx.doi.org/10.1007/s10844-016-0402-y")</f>
        <v>http://dx.doi.org/10.1007/s10844-016-0402-y</v>
      </c>
      <c r="BG409" t="s">
        <v>74</v>
      </c>
      <c r="BH409" t="s">
        <v>74</v>
      </c>
      <c r="BI409">
        <v>32</v>
      </c>
      <c r="BJ409" t="s">
        <v>202</v>
      </c>
      <c r="BK409" t="s">
        <v>902</v>
      </c>
      <c r="BL409" t="s">
        <v>103</v>
      </c>
      <c r="BM409" t="s">
        <v>4697</v>
      </c>
      <c r="BN409" t="s">
        <v>74</v>
      </c>
      <c r="BO409" t="s">
        <v>74</v>
      </c>
      <c r="BP409" t="s">
        <v>74</v>
      </c>
      <c r="BQ409" t="s">
        <v>74</v>
      </c>
      <c r="BR409" t="s">
        <v>106</v>
      </c>
      <c r="BS409" t="s">
        <v>8455</v>
      </c>
      <c r="BT409" t="str">
        <f>HYPERLINK("https%3A%2F%2Fwww.webofscience.com%2Fwos%2Fwoscc%2Ffull-record%2FWOS:000383574500008","View Full Record in Web of Science")</f>
        <v>View Full Record in Web of Science</v>
      </c>
    </row>
    <row r="410" spans="1:72" x14ac:dyDescent="0.25">
      <c r="A410" t="s">
        <v>72</v>
      </c>
      <c r="B410" t="s">
        <v>8456</v>
      </c>
      <c r="C410" t="s">
        <v>74</v>
      </c>
      <c r="D410" t="s">
        <v>74</v>
      </c>
      <c r="E410" t="s">
        <v>74</v>
      </c>
      <c r="F410" t="s">
        <v>8457</v>
      </c>
      <c r="G410" t="s">
        <v>74</v>
      </c>
      <c r="H410" t="s">
        <v>74</v>
      </c>
      <c r="I410" t="s">
        <v>8458</v>
      </c>
      <c r="J410" t="s">
        <v>8459</v>
      </c>
      <c r="K410" t="s">
        <v>74</v>
      </c>
      <c r="L410" t="s">
        <v>74</v>
      </c>
      <c r="M410" t="s">
        <v>78</v>
      </c>
      <c r="N410" t="s">
        <v>79</v>
      </c>
      <c r="O410" t="s">
        <v>74</v>
      </c>
      <c r="P410" t="s">
        <v>74</v>
      </c>
      <c r="Q410" t="s">
        <v>74</v>
      </c>
      <c r="R410" t="s">
        <v>74</v>
      </c>
      <c r="S410" t="s">
        <v>74</v>
      </c>
      <c r="T410" t="s">
        <v>74</v>
      </c>
      <c r="U410" t="s">
        <v>8460</v>
      </c>
      <c r="V410" t="s">
        <v>8461</v>
      </c>
      <c r="W410" t="s">
        <v>8462</v>
      </c>
      <c r="X410" t="s">
        <v>8463</v>
      </c>
      <c r="Y410" t="s">
        <v>8464</v>
      </c>
      <c r="Z410" t="s">
        <v>8465</v>
      </c>
      <c r="AA410" t="s">
        <v>8466</v>
      </c>
      <c r="AB410" t="s">
        <v>8467</v>
      </c>
      <c r="AC410" t="s">
        <v>8468</v>
      </c>
      <c r="AD410" t="s">
        <v>8469</v>
      </c>
      <c r="AE410" t="s">
        <v>8470</v>
      </c>
      <c r="AF410" t="s">
        <v>74</v>
      </c>
      <c r="AG410">
        <v>39</v>
      </c>
      <c r="AH410">
        <v>15</v>
      </c>
      <c r="AI410">
        <v>15</v>
      </c>
      <c r="AJ410">
        <v>0</v>
      </c>
      <c r="AK410">
        <v>45</v>
      </c>
      <c r="AL410" t="s">
        <v>8471</v>
      </c>
      <c r="AM410" t="s">
        <v>632</v>
      </c>
      <c r="AN410" t="s">
        <v>633</v>
      </c>
      <c r="AO410" t="s">
        <v>8472</v>
      </c>
      <c r="AP410" t="s">
        <v>8473</v>
      </c>
      <c r="AQ410" t="s">
        <v>74</v>
      </c>
      <c r="AR410" t="s">
        <v>8474</v>
      </c>
      <c r="AS410" t="s">
        <v>74</v>
      </c>
      <c r="AT410" t="s">
        <v>98</v>
      </c>
      <c r="AU410">
        <v>2014</v>
      </c>
      <c r="AV410">
        <v>65</v>
      </c>
      <c r="AW410">
        <v>12</v>
      </c>
      <c r="AX410" t="s">
        <v>74</v>
      </c>
      <c r="AY410" t="s">
        <v>74</v>
      </c>
      <c r="AZ410" t="s">
        <v>74</v>
      </c>
      <c r="BA410" t="s">
        <v>74</v>
      </c>
      <c r="BB410">
        <v>2444</v>
      </c>
      <c r="BC410">
        <v>2458</v>
      </c>
      <c r="BD410" t="s">
        <v>74</v>
      </c>
      <c r="BE410" t="s">
        <v>8475</v>
      </c>
      <c r="BF410" t="str">
        <f>HYPERLINK("http://dx.doi.org/10.1002/asi.23144","http://dx.doi.org/10.1002/asi.23144")</f>
        <v>http://dx.doi.org/10.1002/asi.23144</v>
      </c>
      <c r="BG410" t="s">
        <v>74</v>
      </c>
      <c r="BH410" t="s">
        <v>74</v>
      </c>
      <c r="BI410">
        <v>15</v>
      </c>
      <c r="BJ410" t="s">
        <v>295</v>
      </c>
      <c r="BK410" t="s">
        <v>745</v>
      </c>
      <c r="BL410" t="s">
        <v>296</v>
      </c>
      <c r="BM410" t="s">
        <v>8476</v>
      </c>
      <c r="BN410" t="s">
        <v>74</v>
      </c>
      <c r="BO410" t="s">
        <v>74</v>
      </c>
      <c r="BP410" t="s">
        <v>74</v>
      </c>
      <c r="BQ410" t="s">
        <v>74</v>
      </c>
      <c r="BR410" t="s">
        <v>106</v>
      </c>
      <c r="BS410" t="s">
        <v>8477</v>
      </c>
      <c r="BT410" t="str">
        <f>HYPERLINK("https%3A%2F%2Fwww.webofscience.com%2Fwos%2Fwoscc%2Ffull-record%2FWOS:000345441600005","View Full Record in Web of Science")</f>
        <v>View Full Record in Web of Science</v>
      </c>
    </row>
    <row r="411" spans="1:72" x14ac:dyDescent="0.25">
      <c r="A411" t="s">
        <v>72</v>
      </c>
      <c r="B411" t="s">
        <v>8478</v>
      </c>
      <c r="C411" t="s">
        <v>74</v>
      </c>
      <c r="D411" t="s">
        <v>74</v>
      </c>
      <c r="E411" t="s">
        <v>74</v>
      </c>
      <c r="F411" t="s">
        <v>8479</v>
      </c>
      <c r="G411" t="s">
        <v>74</v>
      </c>
      <c r="H411" t="s">
        <v>74</v>
      </c>
      <c r="I411" t="s">
        <v>8480</v>
      </c>
      <c r="J411" t="s">
        <v>3777</v>
      </c>
      <c r="K411" t="s">
        <v>74</v>
      </c>
      <c r="L411" t="s">
        <v>74</v>
      </c>
      <c r="M411" t="s">
        <v>78</v>
      </c>
      <c r="N411" t="s">
        <v>79</v>
      </c>
      <c r="O411" t="s">
        <v>74</v>
      </c>
      <c r="P411" t="s">
        <v>74</v>
      </c>
      <c r="Q411" t="s">
        <v>74</v>
      </c>
      <c r="R411" t="s">
        <v>74</v>
      </c>
      <c r="S411" t="s">
        <v>74</v>
      </c>
      <c r="T411" t="s">
        <v>8481</v>
      </c>
      <c r="U411" t="s">
        <v>8482</v>
      </c>
      <c r="V411" t="s">
        <v>8483</v>
      </c>
      <c r="W411" t="s">
        <v>8484</v>
      </c>
      <c r="X411" t="s">
        <v>8485</v>
      </c>
      <c r="Y411" t="s">
        <v>8486</v>
      </c>
      <c r="Z411" t="s">
        <v>8487</v>
      </c>
      <c r="AA411" t="s">
        <v>8488</v>
      </c>
      <c r="AB411" t="s">
        <v>8489</v>
      </c>
      <c r="AC411" t="s">
        <v>8490</v>
      </c>
      <c r="AD411" t="s">
        <v>8491</v>
      </c>
      <c r="AE411" t="s">
        <v>8492</v>
      </c>
      <c r="AF411" t="s">
        <v>74</v>
      </c>
      <c r="AG411">
        <v>36</v>
      </c>
      <c r="AH411">
        <v>18</v>
      </c>
      <c r="AI411">
        <v>20</v>
      </c>
      <c r="AJ411">
        <v>4</v>
      </c>
      <c r="AK411">
        <v>87</v>
      </c>
      <c r="AL411" t="s">
        <v>947</v>
      </c>
      <c r="AM411" t="s">
        <v>948</v>
      </c>
      <c r="AN411" t="s">
        <v>2346</v>
      </c>
      <c r="AO411" t="s">
        <v>3790</v>
      </c>
      <c r="AP411" t="s">
        <v>74</v>
      </c>
      <c r="AQ411" t="s">
        <v>74</v>
      </c>
      <c r="AR411" t="s">
        <v>3791</v>
      </c>
      <c r="AS411" t="s">
        <v>3792</v>
      </c>
      <c r="AT411" t="s">
        <v>246</v>
      </c>
      <c r="AU411">
        <v>2023</v>
      </c>
      <c r="AV411">
        <v>10</v>
      </c>
      <c r="AW411">
        <v>6</v>
      </c>
      <c r="AX411" t="s">
        <v>74</v>
      </c>
      <c r="AY411" t="s">
        <v>74</v>
      </c>
      <c r="AZ411" t="s">
        <v>74</v>
      </c>
      <c r="BA411" t="s">
        <v>74</v>
      </c>
      <c r="BB411">
        <v>3320</v>
      </c>
      <c r="BC411">
        <v>3330</v>
      </c>
      <c r="BD411" t="s">
        <v>74</v>
      </c>
      <c r="BE411" t="s">
        <v>8493</v>
      </c>
      <c r="BF411" t="str">
        <f>HYPERLINK("http://dx.doi.org/10.1109/TNSE.2023.3258427","http://dx.doi.org/10.1109/TNSE.2023.3258427")</f>
        <v>http://dx.doi.org/10.1109/TNSE.2023.3258427</v>
      </c>
      <c r="BG411" t="s">
        <v>74</v>
      </c>
      <c r="BH411" t="s">
        <v>74</v>
      </c>
      <c r="BI411">
        <v>11</v>
      </c>
      <c r="BJ411" t="s">
        <v>3795</v>
      </c>
      <c r="BK411" t="s">
        <v>902</v>
      </c>
      <c r="BL411" t="s">
        <v>3796</v>
      </c>
      <c r="BM411" t="s">
        <v>8494</v>
      </c>
      <c r="BN411" t="s">
        <v>74</v>
      </c>
      <c r="BO411" t="s">
        <v>74</v>
      </c>
      <c r="BP411" t="s">
        <v>74</v>
      </c>
      <c r="BQ411" t="s">
        <v>74</v>
      </c>
      <c r="BR411" t="s">
        <v>106</v>
      </c>
      <c r="BS411" t="s">
        <v>8495</v>
      </c>
      <c r="BT411" t="str">
        <f>HYPERLINK("https%3A%2F%2Fwww.webofscience.com%2Fwos%2Fwoscc%2Ffull-record%2FWOS:001089300800018","View Full Record in Web of Science")</f>
        <v>View Full Record in Web of Science</v>
      </c>
    </row>
    <row r="412" spans="1:72" x14ac:dyDescent="0.25">
      <c r="A412" t="s">
        <v>72</v>
      </c>
      <c r="B412" t="s">
        <v>8496</v>
      </c>
      <c r="C412" t="s">
        <v>74</v>
      </c>
      <c r="D412" t="s">
        <v>74</v>
      </c>
      <c r="E412" t="s">
        <v>74</v>
      </c>
      <c r="F412" t="s">
        <v>8497</v>
      </c>
      <c r="G412" t="s">
        <v>74</v>
      </c>
      <c r="H412" t="s">
        <v>74</v>
      </c>
      <c r="I412" t="s">
        <v>8498</v>
      </c>
      <c r="J412" t="s">
        <v>8499</v>
      </c>
      <c r="K412" t="s">
        <v>74</v>
      </c>
      <c r="L412" t="s">
        <v>74</v>
      </c>
      <c r="M412" t="s">
        <v>78</v>
      </c>
      <c r="N412" t="s">
        <v>79</v>
      </c>
      <c r="O412" t="s">
        <v>74</v>
      </c>
      <c r="P412" t="s">
        <v>74</v>
      </c>
      <c r="Q412" t="s">
        <v>74</v>
      </c>
      <c r="R412" t="s">
        <v>74</v>
      </c>
      <c r="S412" t="s">
        <v>74</v>
      </c>
      <c r="T412" t="s">
        <v>74</v>
      </c>
      <c r="U412" t="s">
        <v>74</v>
      </c>
      <c r="V412" t="s">
        <v>8500</v>
      </c>
      <c r="W412" t="s">
        <v>8501</v>
      </c>
      <c r="X412" t="s">
        <v>8502</v>
      </c>
      <c r="Y412" t="s">
        <v>8503</v>
      </c>
      <c r="Z412" t="s">
        <v>8504</v>
      </c>
      <c r="AA412" t="s">
        <v>8505</v>
      </c>
      <c r="AB412" t="s">
        <v>8506</v>
      </c>
      <c r="AC412" t="s">
        <v>8507</v>
      </c>
      <c r="AD412" t="s">
        <v>8508</v>
      </c>
      <c r="AE412" t="s">
        <v>8509</v>
      </c>
      <c r="AF412" t="s">
        <v>74</v>
      </c>
      <c r="AG412">
        <v>34</v>
      </c>
      <c r="AH412">
        <v>46</v>
      </c>
      <c r="AI412">
        <v>56</v>
      </c>
      <c r="AJ412">
        <v>0</v>
      </c>
      <c r="AK412">
        <v>19</v>
      </c>
      <c r="AL412" t="s">
        <v>8510</v>
      </c>
      <c r="AM412" t="s">
        <v>8511</v>
      </c>
      <c r="AN412" t="s">
        <v>8512</v>
      </c>
      <c r="AO412" t="s">
        <v>8513</v>
      </c>
      <c r="AP412" t="s">
        <v>74</v>
      </c>
      <c r="AQ412" t="s">
        <v>74</v>
      </c>
      <c r="AR412" t="s">
        <v>8499</v>
      </c>
      <c r="AS412" t="s">
        <v>8514</v>
      </c>
      <c r="AT412" t="s">
        <v>8515</v>
      </c>
      <c r="AU412">
        <v>2015</v>
      </c>
      <c r="AV412">
        <v>10</v>
      </c>
      <c r="AW412">
        <v>5</v>
      </c>
      <c r="AX412" t="s">
        <v>74</v>
      </c>
      <c r="AY412" t="s">
        <v>74</v>
      </c>
      <c r="AZ412" t="s">
        <v>74</v>
      </c>
      <c r="BA412" t="s">
        <v>74</v>
      </c>
      <c r="BB412" t="s">
        <v>74</v>
      </c>
      <c r="BC412" t="s">
        <v>74</v>
      </c>
      <c r="BD412" t="s">
        <v>8516</v>
      </c>
      <c r="BE412" t="s">
        <v>8517</v>
      </c>
      <c r="BF412" t="str">
        <f>HYPERLINK("http://dx.doi.org/10.1371/journal.pone.0124819","http://dx.doi.org/10.1371/journal.pone.0124819")</f>
        <v>http://dx.doi.org/10.1371/journal.pone.0124819</v>
      </c>
      <c r="BG412" t="s">
        <v>74</v>
      </c>
      <c r="BH412" t="s">
        <v>74</v>
      </c>
      <c r="BI412">
        <v>19</v>
      </c>
      <c r="BJ412" t="s">
        <v>5861</v>
      </c>
      <c r="BK412" t="s">
        <v>745</v>
      </c>
      <c r="BL412" t="s">
        <v>5862</v>
      </c>
      <c r="BM412" t="s">
        <v>8518</v>
      </c>
      <c r="BN412">
        <v>25970430</v>
      </c>
      <c r="BO412" t="s">
        <v>398</v>
      </c>
      <c r="BP412" t="s">
        <v>74</v>
      </c>
      <c r="BQ412" t="s">
        <v>74</v>
      </c>
      <c r="BR412" t="s">
        <v>106</v>
      </c>
      <c r="BS412" t="s">
        <v>8519</v>
      </c>
      <c r="BT412" t="str">
        <f>HYPERLINK("https%3A%2F%2Fwww.webofscience.com%2Fwos%2Fwoscc%2Ffull-record%2FWOS:000354544200052","View Full Record in Web of Science")</f>
        <v>View Full Record in Web of Science</v>
      </c>
    </row>
    <row r="413" spans="1:72" x14ac:dyDescent="0.25">
      <c r="A413" t="s">
        <v>72</v>
      </c>
      <c r="B413" t="s">
        <v>8520</v>
      </c>
      <c r="C413" t="s">
        <v>74</v>
      </c>
      <c r="D413" t="s">
        <v>74</v>
      </c>
      <c r="E413" t="s">
        <v>74</v>
      </c>
      <c r="F413" t="s">
        <v>8521</v>
      </c>
      <c r="G413" t="s">
        <v>74</v>
      </c>
      <c r="H413" t="s">
        <v>74</v>
      </c>
      <c r="I413" t="s">
        <v>8522</v>
      </c>
      <c r="J413" t="s">
        <v>8523</v>
      </c>
      <c r="K413" t="s">
        <v>74</v>
      </c>
      <c r="L413" t="s">
        <v>74</v>
      </c>
      <c r="M413" t="s">
        <v>78</v>
      </c>
      <c r="N413" t="s">
        <v>79</v>
      </c>
      <c r="O413" t="s">
        <v>74</v>
      </c>
      <c r="P413" t="s">
        <v>74</v>
      </c>
      <c r="Q413" t="s">
        <v>74</v>
      </c>
      <c r="R413" t="s">
        <v>74</v>
      </c>
      <c r="S413" t="s">
        <v>74</v>
      </c>
      <c r="T413" t="s">
        <v>8524</v>
      </c>
      <c r="U413" t="s">
        <v>74</v>
      </c>
      <c r="V413" t="s">
        <v>8525</v>
      </c>
      <c r="W413" t="s">
        <v>8526</v>
      </c>
      <c r="X413" t="s">
        <v>8527</v>
      </c>
      <c r="Y413" t="s">
        <v>8528</v>
      </c>
      <c r="Z413" t="s">
        <v>8529</v>
      </c>
      <c r="AA413" t="s">
        <v>8530</v>
      </c>
      <c r="AB413" t="s">
        <v>8531</v>
      </c>
      <c r="AC413" t="s">
        <v>74</v>
      </c>
      <c r="AD413" t="s">
        <v>74</v>
      </c>
      <c r="AE413" t="s">
        <v>74</v>
      </c>
      <c r="AF413" t="s">
        <v>74</v>
      </c>
      <c r="AG413">
        <v>34</v>
      </c>
      <c r="AH413">
        <v>19</v>
      </c>
      <c r="AI413">
        <v>20</v>
      </c>
      <c r="AJ413">
        <v>0</v>
      </c>
      <c r="AK413">
        <v>18</v>
      </c>
      <c r="AL413" t="s">
        <v>2946</v>
      </c>
      <c r="AM413" t="s">
        <v>5023</v>
      </c>
      <c r="AN413" t="s">
        <v>5024</v>
      </c>
      <c r="AO413" t="s">
        <v>8532</v>
      </c>
      <c r="AP413" t="s">
        <v>74</v>
      </c>
      <c r="AQ413" t="s">
        <v>74</v>
      </c>
      <c r="AR413" t="s">
        <v>8533</v>
      </c>
      <c r="AS413" t="s">
        <v>8534</v>
      </c>
      <c r="AT413" t="s">
        <v>74</v>
      </c>
      <c r="AU413">
        <v>2017</v>
      </c>
      <c r="AV413">
        <v>45</v>
      </c>
      <c r="AW413">
        <v>3</v>
      </c>
      <c r="AX413" t="s">
        <v>74</v>
      </c>
      <c r="AY413" t="s">
        <v>74</v>
      </c>
      <c r="AZ413" t="s">
        <v>247</v>
      </c>
      <c r="BA413" t="s">
        <v>74</v>
      </c>
      <c r="BB413">
        <v>130</v>
      </c>
      <c r="BC413">
        <v>138</v>
      </c>
      <c r="BD413" t="s">
        <v>74</v>
      </c>
      <c r="BE413" t="s">
        <v>8535</v>
      </c>
      <c r="BF413" t="str">
        <f>HYPERLINK("http://dx.doi.org/10.1108/IDD-03-2017-0023","http://dx.doi.org/10.1108/IDD-03-2017-0023")</f>
        <v>http://dx.doi.org/10.1108/IDD-03-2017-0023</v>
      </c>
      <c r="BG413" t="s">
        <v>74</v>
      </c>
      <c r="BH413" t="s">
        <v>74</v>
      </c>
      <c r="BI413">
        <v>9</v>
      </c>
      <c r="BJ413" t="s">
        <v>1041</v>
      </c>
      <c r="BK413" t="s">
        <v>102</v>
      </c>
      <c r="BL413" t="s">
        <v>1041</v>
      </c>
      <c r="BM413" t="s">
        <v>8536</v>
      </c>
      <c r="BN413" t="s">
        <v>74</v>
      </c>
      <c r="BO413" t="s">
        <v>74</v>
      </c>
      <c r="BP413" t="s">
        <v>74</v>
      </c>
      <c r="BQ413" t="s">
        <v>74</v>
      </c>
      <c r="BR413" t="s">
        <v>106</v>
      </c>
      <c r="BS413" t="s">
        <v>8537</v>
      </c>
      <c r="BT413" t="str">
        <f>HYPERLINK("https%3A%2F%2Fwww.webofscience.com%2Fwos%2Fwoscc%2Ffull-record%2FWOS:000414163000004","View Full Record in Web of Science")</f>
        <v>View Full Record in Web of Science</v>
      </c>
    </row>
    <row r="414" spans="1:72" x14ac:dyDescent="0.25">
      <c r="A414" t="s">
        <v>108</v>
      </c>
      <c r="B414" t="s">
        <v>8538</v>
      </c>
      <c r="C414" t="s">
        <v>74</v>
      </c>
      <c r="D414" t="s">
        <v>74</v>
      </c>
      <c r="E414" t="s">
        <v>322</v>
      </c>
      <c r="F414" t="s">
        <v>8539</v>
      </c>
      <c r="G414" t="s">
        <v>74</v>
      </c>
      <c r="H414" t="s">
        <v>74</v>
      </c>
      <c r="I414" t="s">
        <v>8540</v>
      </c>
      <c r="J414" t="s">
        <v>8541</v>
      </c>
      <c r="K414" t="s">
        <v>74</v>
      </c>
      <c r="L414" t="s">
        <v>74</v>
      </c>
      <c r="M414" t="s">
        <v>78</v>
      </c>
      <c r="N414" t="s">
        <v>115</v>
      </c>
      <c r="O414" t="s">
        <v>8542</v>
      </c>
      <c r="P414" t="s">
        <v>8543</v>
      </c>
      <c r="Q414" t="s">
        <v>8544</v>
      </c>
      <c r="R414" t="s">
        <v>8545</v>
      </c>
      <c r="S414" t="s">
        <v>74</v>
      </c>
      <c r="T414" t="s">
        <v>8546</v>
      </c>
      <c r="U414" t="s">
        <v>74</v>
      </c>
      <c r="V414" t="s">
        <v>8547</v>
      </c>
      <c r="W414" t="s">
        <v>8548</v>
      </c>
      <c r="X414" t="s">
        <v>8549</v>
      </c>
      <c r="Y414" t="s">
        <v>8550</v>
      </c>
      <c r="Z414" t="s">
        <v>8551</v>
      </c>
      <c r="AA414" t="s">
        <v>8552</v>
      </c>
      <c r="AB414" t="s">
        <v>8553</v>
      </c>
      <c r="AC414" t="s">
        <v>74</v>
      </c>
      <c r="AD414" t="s">
        <v>74</v>
      </c>
      <c r="AE414" t="s">
        <v>74</v>
      </c>
      <c r="AF414" t="s">
        <v>74</v>
      </c>
      <c r="AG414">
        <v>20</v>
      </c>
      <c r="AH414">
        <v>3</v>
      </c>
      <c r="AI414">
        <v>3</v>
      </c>
      <c r="AJ414">
        <v>0</v>
      </c>
      <c r="AK414">
        <v>2</v>
      </c>
      <c r="AL414" t="s">
        <v>291</v>
      </c>
      <c r="AM414" t="s">
        <v>92</v>
      </c>
      <c r="AN414" t="s">
        <v>292</v>
      </c>
      <c r="AO414" t="s">
        <v>74</v>
      </c>
      <c r="AP414" t="s">
        <v>74</v>
      </c>
      <c r="AQ414" t="s">
        <v>8554</v>
      </c>
      <c r="AR414" t="s">
        <v>74</v>
      </c>
      <c r="AS414" t="s">
        <v>74</v>
      </c>
      <c r="AT414" t="s">
        <v>74</v>
      </c>
      <c r="AU414">
        <v>2019</v>
      </c>
      <c r="AV414" t="s">
        <v>74</v>
      </c>
      <c r="AW414" t="s">
        <v>74</v>
      </c>
      <c r="AX414" t="s">
        <v>74</v>
      </c>
      <c r="AY414" t="s">
        <v>74</v>
      </c>
      <c r="AZ414" t="s">
        <v>74</v>
      </c>
      <c r="BA414" t="s">
        <v>74</v>
      </c>
      <c r="BB414">
        <v>257</v>
      </c>
      <c r="BC414">
        <v>261</v>
      </c>
      <c r="BD414" t="s">
        <v>74</v>
      </c>
      <c r="BE414" t="s">
        <v>8555</v>
      </c>
      <c r="BF414" t="str">
        <f>HYPERLINK("http://dx.doi.org/10.1145/3314183.3323460","http://dx.doi.org/10.1145/3314183.3323460")</f>
        <v>http://dx.doi.org/10.1145/3314183.3323460</v>
      </c>
      <c r="BG414" t="s">
        <v>74</v>
      </c>
      <c r="BH414" t="s">
        <v>74</v>
      </c>
      <c r="BI414">
        <v>5</v>
      </c>
      <c r="BJ414" t="s">
        <v>925</v>
      </c>
      <c r="BK414" t="s">
        <v>203</v>
      </c>
      <c r="BL414" t="s">
        <v>103</v>
      </c>
      <c r="BM414" t="s">
        <v>8556</v>
      </c>
      <c r="BN414" t="s">
        <v>74</v>
      </c>
      <c r="BO414" t="s">
        <v>74</v>
      </c>
      <c r="BP414" t="s">
        <v>74</v>
      </c>
      <c r="BQ414" t="s">
        <v>74</v>
      </c>
      <c r="BR414" t="s">
        <v>106</v>
      </c>
      <c r="BS414" t="s">
        <v>8557</v>
      </c>
      <c r="BT414" t="str">
        <f>HYPERLINK("https%3A%2F%2Fwww.webofscience.com%2Fwos%2Fwoscc%2Ffull-record%2FWOS:000507579500045","View Full Record in Web of Science")</f>
        <v>View Full Record in Web of Science</v>
      </c>
    </row>
    <row r="415" spans="1:72" x14ac:dyDescent="0.25">
      <c r="A415" t="s">
        <v>72</v>
      </c>
      <c r="B415" t="s">
        <v>8558</v>
      </c>
      <c r="C415" t="s">
        <v>74</v>
      </c>
      <c r="D415" t="s">
        <v>74</v>
      </c>
      <c r="E415" t="s">
        <v>74</v>
      </c>
      <c r="F415" t="s">
        <v>8559</v>
      </c>
      <c r="G415" t="s">
        <v>74</v>
      </c>
      <c r="H415" t="s">
        <v>74</v>
      </c>
      <c r="I415" t="s">
        <v>8560</v>
      </c>
      <c r="J415" t="s">
        <v>8561</v>
      </c>
      <c r="K415" t="s">
        <v>74</v>
      </c>
      <c r="L415" t="s">
        <v>74</v>
      </c>
      <c r="M415" t="s">
        <v>78</v>
      </c>
      <c r="N415" t="s">
        <v>79</v>
      </c>
      <c r="O415" t="s">
        <v>74</v>
      </c>
      <c r="P415" t="s">
        <v>74</v>
      </c>
      <c r="Q415" t="s">
        <v>74</v>
      </c>
      <c r="R415" t="s">
        <v>74</v>
      </c>
      <c r="S415" t="s">
        <v>74</v>
      </c>
      <c r="T415" t="s">
        <v>8562</v>
      </c>
      <c r="U415" t="s">
        <v>8563</v>
      </c>
      <c r="V415" t="s">
        <v>8564</v>
      </c>
      <c r="W415" t="s">
        <v>8565</v>
      </c>
      <c r="X415" t="s">
        <v>8566</v>
      </c>
      <c r="Y415" t="s">
        <v>8567</v>
      </c>
      <c r="Z415" t="s">
        <v>8568</v>
      </c>
      <c r="AA415" t="s">
        <v>8569</v>
      </c>
      <c r="AB415" t="s">
        <v>8570</v>
      </c>
      <c r="AC415" t="s">
        <v>74</v>
      </c>
      <c r="AD415" t="s">
        <v>74</v>
      </c>
      <c r="AE415" t="s">
        <v>74</v>
      </c>
      <c r="AF415" t="s">
        <v>74</v>
      </c>
      <c r="AG415">
        <v>123</v>
      </c>
      <c r="AH415">
        <v>12</v>
      </c>
      <c r="AI415">
        <v>15</v>
      </c>
      <c r="AJ415">
        <v>0</v>
      </c>
      <c r="AK415">
        <v>4</v>
      </c>
      <c r="AL415" t="s">
        <v>5214</v>
      </c>
      <c r="AM415" t="s">
        <v>1320</v>
      </c>
      <c r="AN415" t="s">
        <v>5215</v>
      </c>
      <c r="AO415" t="s">
        <v>8571</v>
      </c>
      <c r="AP415" t="s">
        <v>8572</v>
      </c>
      <c r="AQ415" t="s">
        <v>74</v>
      </c>
      <c r="AR415" t="s">
        <v>8573</v>
      </c>
      <c r="AS415" t="s">
        <v>8574</v>
      </c>
      <c r="AT415" t="s">
        <v>1251</v>
      </c>
      <c r="AU415">
        <v>2022</v>
      </c>
      <c r="AV415">
        <v>34</v>
      </c>
      <c r="AW415">
        <v>4</v>
      </c>
      <c r="AX415" t="s">
        <v>74</v>
      </c>
      <c r="AY415" t="s">
        <v>74</v>
      </c>
      <c r="AZ415" t="s">
        <v>74</v>
      </c>
      <c r="BA415" t="s">
        <v>74</v>
      </c>
      <c r="BB415">
        <v>1047</v>
      </c>
      <c r="BC415">
        <v>1059</v>
      </c>
      <c r="BD415" t="s">
        <v>74</v>
      </c>
      <c r="BE415" t="s">
        <v>8575</v>
      </c>
      <c r="BF415" t="str">
        <f>HYPERLINK("http://dx.doi.org/10.1016/j.jksuci.2019.06.008","http://dx.doi.org/10.1016/j.jksuci.2019.06.008")</f>
        <v>http://dx.doi.org/10.1016/j.jksuci.2019.06.008</v>
      </c>
      <c r="BG415" t="s">
        <v>74</v>
      </c>
      <c r="BH415" t="s">
        <v>8576</v>
      </c>
      <c r="BI415">
        <v>13</v>
      </c>
      <c r="BJ415" t="s">
        <v>852</v>
      </c>
      <c r="BK415" t="s">
        <v>902</v>
      </c>
      <c r="BL415" t="s">
        <v>103</v>
      </c>
      <c r="BM415" t="s">
        <v>8577</v>
      </c>
      <c r="BN415" t="s">
        <v>74</v>
      </c>
      <c r="BO415" t="s">
        <v>105</v>
      </c>
      <c r="BP415" t="s">
        <v>74</v>
      </c>
      <c r="BQ415" t="s">
        <v>74</v>
      </c>
      <c r="BR415" t="s">
        <v>106</v>
      </c>
      <c r="BS415" t="s">
        <v>8578</v>
      </c>
      <c r="BT415" t="str">
        <f>HYPERLINK("https%3A%2F%2Fwww.webofscience.com%2Fwos%2Fwoscc%2Ffull-record%2FWOS:000782989300002","View Full Record in Web of Science")</f>
        <v>View Full Record in Web of Science</v>
      </c>
    </row>
    <row r="416" spans="1:72" x14ac:dyDescent="0.25">
      <c r="A416" t="s">
        <v>108</v>
      </c>
      <c r="B416" t="s">
        <v>8579</v>
      </c>
      <c r="C416" t="s">
        <v>74</v>
      </c>
      <c r="D416" t="s">
        <v>74</v>
      </c>
      <c r="E416" t="s">
        <v>465</v>
      </c>
      <c r="F416" t="s">
        <v>8580</v>
      </c>
      <c r="G416" t="s">
        <v>74</v>
      </c>
      <c r="H416" t="s">
        <v>74</v>
      </c>
      <c r="I416" t="s">
        <v>8581</v>
      </c>
      <c r="J416" t="s">
        <v>8582</v>
      </c>
      <c r="K416" t="s">
        <v>8583</v>
      </c>
      <c r="L416" t="s">
        <v>74</v>
      </c>
      <c r="M416" t="s">
        <v>78</v>
      </c>
      <c r="N416" t="s">
        <v>115</v>
      </c>
      <c r="O416" t="s">
        <v>8584</v>
      </c>
      <c r="P416" t="s">
        <v>8585</v>
      </c>
      <c r="Q416" t="s">
        <v>6294</v>
      </c>
      <c r="R416" t="s">
        <v>8586</v>
      </c>
      <c r="S416" t="s">
        <v>74</v>
      </c>
      <c r="T416" t="s">
        <v>8587</v>
      </c>
      <c r="U416" t="s">
        <v>74</v>
      </c>
      <c r="V416" t="s">
        <v>8588</v>
      </c>
      <c r="W416" t="s">
        <v>8589</v>
      </c>
      <c r="X416" t="s">
        <v>8590</v>
      </c>
      <c r="Y416" t="s">
        <v>8591</v>
      </c>
      <c r="Z416" t="s">
        <v>8592</v>
      </c>
      <c r="AA416" t="s">
        <v>8593</v>
      </c>
      <c r="AB416" t="s">
        <v>8594</v>
      </c>
      <c r="AC416" t="s">
        <v>74</v>
      </c>
      <c r="AD416" t="s">
        <v>74</v>
      </c>
      <c r="AE416" t="s">
        <v>74</v>
      </c>
      <c r="AF416" t="s">
        <v>74</v>
      </c>
      <c r="AG416">
        <v>15</v>
      </c>
      <c r="AH416">
        <v>3</v>
      </c>
      <c r="AI416">
        <v>8</v>
      </c>
      <c r="AJ416">
        <v>0</v>
      </c>
      <c r="AK416">
        <v>16</v>
      </c>
      <c r="AL416" t="s">
        <v>465</v>
      </c>
      <c r="AM416" t="s">
        <v>92</v>
      </c>
      <c r="AN416" t="s">
        <v>480</v>
      </c>
      <c r="AO416" t="s">
        <v>8595</v>
      </c>
      <c r="AP416" t="s">
        <v>74</v>
      </c>
      <c r="AQ416" t="s">
        <v>8596</v>
      </c>
      <c r="AR416" t="s">
        <v>8597</v>
      </c>
      <c r="AS416" t="s">
        <v>74</v>
      </c>
      <c r="AT416" t="s">
        <v>74</v>
      </c>
      <c r="AU416">
        <v>2014</v>
      </c>
      <c r="AV416" t="s">
        <v>74</v>
      </c>
      <c r="AW416" t="s">
        <v>74</v>
      </c>
      <c r="AX416" t="s">
        <v>74</v>
      </c>
      <c r="AY416" t="s">
        <v>74</v>
      </c>
      <c r="AZ416" t="s">
        <v>74</v>
      </c>
      <c r="BA416" t="s">
        <v>74</v>
      </c>
      <c r="BB416" t="s">
        <v>74</v>
      </c>
      <c r="BC416" t="s">
        <v>74</v>
      </c>
      <c r="BD416" t="s">
        <v>74</v>
      </c>
      <c r="BE416" t="s">
        <v>8598</v>
      </c>
      <c r="BF416" t="str">
        <f>HYPERLINK("http://dx.doi.org/10.1109/ISCID.2014.187","http://dx.doi.org/10.1109/ISCID.2014.187")</f>
        <v>http://dx.doi.org/10.1109/ISCID.2014.187</v>
      </c>
      <c r="BG416" t="s">
        <v>74</v>
      </c>
      <c r="BH416" t="s">
        <v>74</v>
      </c>
      <c r="BI416">
        <v>4</v>
      </c>
      <c r="BJ416" t="s">
        <v>1796</v>
      </c>
      <c r="BK416" t="s">
        <v>203</v>
      </c>
      <c r="BL416" t="s">
        <v>953</v>
      </c>
      <c r="BM416" t="s">
        <v>8599</v>
      </c>
      <c r="BN416" t="s">
        <v>74</v>
      </c>
      <c r="BO416" t="s">
        <v>74</v>
      </c>
      <c r="BP416" t="s">
        <v>74</v>
      </c>
      <c r="BQ416" t="s">
        <v>74</v>
      </c>
      <c r="BR416" t="s">
        <v>106</v>
      </c>
      <c r="BS416" t="s">
        <v>8600</v>
      </c>
      <c r="BT416" t="str">
        <f>HYPERLINK("https%3A%2F%2Fwww.webofscience.com%2Fwos%2Fwoscc%2Ffull-record%2FWOS:000380534100146","View Full Record in Web of Science")</f>
        <v>View Full Record in Web of Science</v>
      </c>
    </row>
    <row r="417" spans="1:72" x14ac:dyDescent="0.25">
      <c r="A417" t="s">
        <v>108</v>
      </c>
      <c r="B417" t="s">
        <v>8601</v>
      </c>
      <c r="C417" t="s">
        <v>74</v>
      </c>
      <c r="D417" t="s">
        <v>74</v>
      </c>
      <c r="E417" t="s">
        <v>273</v>
      </c>
      <c r="F417" t="s">
        <v>8602</v>
      </c>
      <c r="G417" t="s">
        <v>74</v>
      </c>
      <c r="H417" t="s">
        <v>74</v>
      </c>
      <c r="I417" t="s">
        <v>8603</v>
      </c>
      <c r="J417" t="s">
        <v>8604</v>
      </c>
      <c r="K417" t="s">
        <v>74</v>
      </c>
      <c r="L417" t="s">
        <v>74</v>
      </c>
      <c r="M417" t="s">
        <v>78</v>
      </c>
      <c r="N417" t="s">
        <v>115</v>
      </c>
      <c r="O417" t="s">
        <v>8605</v>
      </c>
      <c r="P417" t="s">
        <v>8606</v>
      </c>
      <c r="Q417" t="s">
        <v>8607</v>
      </c>
      <c r="R417" t="s">
        <v>1768</v>
      </c>
      <c r="S417" t="s">
        <v>8608</v>
      </c>
      <c r="T417" t="s">
        <v>8609</v>
      </c>
      <c r="U417" t="s">
        <v>8610</v>
      </c>
      <c r="V417" t="s">
        <v>8611</v>
      </c>
      <c r="W417" t="s">
        <v>8612</v>
      </c>
      <c r="X417" t="s">
        <v>8613</v>
      </c>
      <c r="Y417" t="s">
        <v>8614</v>
      </c>
      <c r="Z417" t="s">
        <v>8615</v>
      </c>
      <c r="AA417" t="s">
        <v>74</v>
      </c>
      <c r="AB417" t="s">
        <v>74</v>
      </c>
      <c r="AC417" t="s">
        <v>74</v>
      </c>
      <c r="AD417" t="s">
        <v>74</v>
      </c>
      <c r="AE417" t="s">
        <v>74</v>
      </c>
      <c r="AF417" t="s">
        <v>74</v>
      </c>
      <c r="AG417">
        <v>48</v>
      </c>
      <c r="AH417">
        <v>41</v>
      </c>
      <c r="AI417">
        <v>46</v>
      </c>
      <c r="AJ417">
        <v>0</v>
      </c>
      <c r="AK417">
        <v>3</v>
      </c>
      <c r="AL417" t="s">
        <v>291</v>
      </c>
      <c r="AM417" t="s">
        <v>92</v>
      </c>
      <c r="AN417" t="s">
        <v>292</v>
      </c>
      <c r="AO417" t="s">
        <v>74</v>
      </c>
      <c r="AP417" t="s">
        <v>74</v>
      </c>
      <c r="AQ417" t="s">
        <v>8616</v>
      </c>
      <c r="AR417" t="s">
        <v>74</v>
      </c>
      <c r="AS417" t="s">
        <v>74</v>
      </c>
      <c r="AT417" t="s">
        <v>74</v>
      </c>
      <c r="AU417">
        <v>2018</v>
      </c>
      <c r="AV417" t="s">
        <v>74</v>
      </c>
      <c r="AW417" t="s">
        <v>74</v>
      </c>
      <c r="AX417" t="s">
        <v>74</v>
      </c>
      <c r="AY417" t="s">
        <v>74</v>
      </c>
      <c r="AZ417" t="s">
        <v>74</v>
      </c>
      <c r="BA417" t="s">
        <v>74</v>
      </c>
      <c r="BB417">
        <v>20</v>
      </c>
      <c r="BC417">
        <v>24</v>
      </c>
      <c r="BD417" t="s">
        <v>74</v>
      </c>
      <c r="BE417" t="s">
        <v>8617</v>
      </c>
      <c r="BF417" t="str">
        <f>HYPERLINK("http://dx.doi.org/10.1145/3209542.3209577","http://dx.doi.org/10.1145/3209542.3209577")</f>
        <v>http://dx.doi.org/10.1145/3209542.3209577</v>
      </c>
      <c r="BG417" t="s">
        <v>74</v>
      </c>
      <c r="BH417" t="s">
        <v>74</v>
      </c>
      <c r="BI417">
        <v>5</v>
      </c>
      <c r="BJ417" t="s">
        <v>6154</v>
      </c>
      <c r="BK417" t="s">
        <v>203</v>
      </c>
      <c r="BL417" t="s">
        <v>103</v>
      </c>
      <c r="BM417" t="s">
        <v>8618</v>
      </c>
      <c r="BN417" t="s">
        <v>74</v>
      </c>
      <c r="BO417" t="s">
        <v>346</v>
      </c>
      <c r="BP417" t="s">
        <v>74</v>
      </c>
      <c r="BQ417" t="s">
        <v>74</v>
      </c>
      <c r="BR417" t="s">
        <v>106</v>
      </c>
      <c r="BS417" t="s">
        <v>8619</v>
      </c>
      <c r="BT417" t="str">
        <f>HYPERLINK("https%3A%2F%2Fwww.webofscience.com%2Fwos%2Fwoscc%2Ffull-record%2FWOS:000629030500004","View Full Record in Web of Science")</f>
        <v>View Full Record in Web of Science</v>
      </c>
    </row>
    <row r="418" spans="1:72" x14ac:dyDescent="0.25">
      <c r="A418" t="s">
        <v>72</v>
      </c>
      <c r="B418" t="s">
        <v>8620</v>
      </c>
      <c r="C418" t="s">
        <v>74</v>
      </c>
      <c r="D418" t="s">
        <v>74</v>
      </c>
      <c r="E418" t="s">
        <v>74</v>
      </c>
      <c r="F418" t="s">
        <v>8621</v>
      </c>
      <c r="G418" t="s">
        <v>74</v>
      </c>
      <c r="H418" t="s">
        <v>74</v>
      </c>
      <c r="I418" t="s">
        <v>8622</v>
      </c>
      <c r="J418" t="s">
        <v>8623</v>
      </c>
      <c r="K418" t="s">
        <v>74</v>
      </c>
      <c r="L418" t="s">
        <v>74</v>
      </c>
      <c r="M418" t="s">
        <v>78</v>
      </c>
      <c r="N418" t="s">
        <v>79</v>
      </c>
      <c r="O418" t="s">
        <v>74</v>
      </c>
      <c r="P418" t="s">
        <v>74</v>
      </c>
      <c r="Q418" t="s">
        <v>74</v>
      </c>
      <c r="R418" t="s">
        <v>74</v>
      </c>
      <c r="S418" t="s">
        <v>74</v>
      </c>
      <c r="T418" t="s">
        <v>74</v>
      </c>
      <c r="U418" t="s">
        <v>8624</v>
      </c>
      <c r="V418" t="s">
        <v>8625</v>
      </c>
      <c r="W418" t="s">
        <v>8626</v>
      </c>
      <c r="X418" t="s">
        <v>777</v>
      </c>
      <c r="Y418" t="s">
        <v>8627</v>
      </c>
      <c r="Z418" t="s">
        <v>8628</v>
      </c>
      <c r="AA418" t="s">
        <v>8629</v>
      </c>
      <c r="AB418" t="s">
        <v>74</v>
      </c>
      <c r="AC418" t="s">
        <v>74</v>
      </c>
      <c r="AD418" t="s">
        <v>74</v>
      </c>
      <c r="AE418" t="s">
        <v>74</v>
      </c>
      <c r="AF418" t="s">
        <v>74</v>
      </c>
      <c r="AG418">
        <v>76</v>
      </c>
      <c r="AH418">
        <v>59</v>
      </c>
      <c r="AI418">
        <v>136</v>
      </c>
      <c r="AJ418">
        <v>0</v>
      </c>
      <c r="AK418">
        <v>4</v>
      </c>
      <c r="AL418" t="s">
        <v>8630</v>
      </c>
      <c r="AM418" t="s">
        <v>8631</v>
      </c>
      <c r="AN418" t="s">
        <v>8632</v>
      </c>
      <c r="AO418" t="s">
        <v>8633</v>
      </c>
      <c r="AP418" t="s">
        <v>74</v>
      </c>
      <c r="AQ418" t="s">
        <v>74</v>
      </c>
      <c r="AR418" t="s">
        <v>8634</v>
      </c>
      <c r="AS418" t="s">
        <v>8635</v>
      </c>
      <c r="AT418" t="s">
        <v>74</v>
      </c>
      <c r="AU418">
        <v>2011</v>
      </c>
      <c r="AV418">
        <v>5</v>
      </c>
      <c r="AW418">
        <v>2</v>
      </c>
      <c r="AX418" t="s">
        <v>74</v>
      </c>
      <c r="AY418" t="s">
        <v>74</v>
      </c>
      <c r="AZ418" t="s">
        <v>74</v>
      </c>
      <c r="BA418" t="s">
        <v>74</v>
      </c>
      <c r="BB418">
        <v>37</v>
      </c>
      <c r="BC418">
        <v>69</v>
      </c>
      <c r="BD418" t="s">
        <v>74</v>
      </c>
      <c r="BE418" t="s">
        <v>8636</v>
      </c>
      <c r="BF418" t="str">
        <f>HYPERLINK("http://dx.doi.org/10.7771/1541-5015.1254","http://dx.doi.org/10.7771/1541-5015.1254")</f>
        <v>http://dx.doi.org/10.7771/1541-5015.1254</v>
      </c>
      <c r="BG418" t="s">
        <v>74</v>
      </c>
      <c r="BH418" t="s">
        <v>74</v>
      </c>
      <c r="BI418">
        <v>33</v>
      </c>
      <c r="BJ418" t="s">
        <v>318</v>
      </c>
      <c r="BK418" t="s">
        <v>102</v>
      </c>
      <c r="BL418" t="s">
        <v>318</v>
      </c>
      <c r="BM418" t="s">
        <v>8637</v>
      </c>
      <c r="BN418" t="s">
        <v>74</v>
      </c>
      <c r="BO418" t="s">
        <v>398</v>
      </c>
      <c r="BP418" t="s">
        <v>74</v>
      </c>
      <c r="BQ418" t="s">
        <v>74</v>
      </c>
      <c r="BR418" t="s">
        <v>106</v>
      </c>
      <c r="BS418" t="s">
        <v>8638</v>
      </c>
      <c r="BT418" t="str">
        <f>HYPERLINK("https%3A%2F%2Fwww.webofscience.com%2Fwos%2Fwoscc%2Ffull-record%2FWOS:000410394000004","View Full Record in Web of Science")</f>
        <v>View Full Record in Web of Science</v>
      </c>
    </row>
    <row r="419" spans="1:72" x14ac:dyDescent="0.25">
      <c r="A419" t="s">
        <v>72</v>
      </c>
      <c r="B419" t="s">
        <v>8639</v>
      </c>
      <c r="C419" t="s">
        <v>74</v>
      </c>
      <c r="D419" t="s">
        <v>74</v>
      </c>
      <c r="E419" t="s">
        <v>74</v>
      </c>
      <c r="F419" t="s">
        <v>8640</v>
      </c>
      <c r="G419" t="s">
        <v>74</v>
      </c>
      <c r="H419" t="s">
        <v>74</v>
      </c>
      <c r="I419" t="s">
        <v>8641</v>
      </c>
      <c r="J419" t="s">
        <v>8642</v>
      </c>
      <c r="K419" t="s">
        <v>74</v>
      </c>
      <c r="L419" t="s">
        <v>74</v>
      </c>
      <c r="M419" t="s">
        <v>78</v>
      </c>
      <c r="N419" t="s">
        <v>79</v>
      </c>
      <c r="O419" t="s">
        <v>74</v>
      </c>
      <c r="P419" t="s">
        <v>74</v>
      </c>
      <c r="Q419" t="s">
        <v>74</v>
      </c>
      <c r="R419" t="s">
        <v>74</v>
      </c>
      <c r="S419" t="s">
        <v>74</v>
      </c>
      <c r="T419" t="s">
        <v>8643</v>
      </c>
      <c r="U419" t="s">
        <v>1308</v>
      </c>
      <c r="V419" t="s">
        <v>8644</v>
      </c>
      <c r="W419" t="s">
        <v>8645</v>
      </c>
      <c r="X419" t="s">
        <v>8646</v>
      </c>
      <c r="Y419" t="s">
        <v>8647</v>
      </c>
      <c r="Z419" t="s">
        <v>8648</v>
      </c>
      <c r="AA419" t="s">
        <v>74</v>
      </c>
      <c r="AB419" t="s">
        <v>74</v>
      </c>
      <c r="AC419" t="s">
        <v>74</v>
      </c>
      <c r="AD419" t="s">
        <v>74</v>
      </c>
      <c r="AE419" t="s">
        <v>74</v>
      </c>
      <c r="AF419" t="s">
        <v>74</v>
      </c>
      <c r="AG419">
        <v>36</v>
      </c>
      <c r="AH419">
        <v>0</v>
      </c>
      <c r="AI419">
        <v>0</v>
      </c>
      <c r="AJ419">
        <v>1</v>
      </c>
      <c r="AK419">
        <v>8</v>
      </c>
      <c r="AL419" t="s">
        <v>1136</v>
      </c>
      <c r="AM419" t="s">
        <v>1137</v>
      </c>
      <c r="AN419" t="s">
        <v>1138</v>
      </c>
      <c r="AO419" t="s">
        <v>8649</v>
      </c>
      <c r="AP419" t="s">
        <v>8650</v>
      </c>
      <c r="AQ419" t="s">
        <v>74</v>
      </c>
      <c r="AR419" t="s">
        <v>8651</v>
      </c>
      <c r="AS419" t="s">
        <v>8652</v>
      </c>
      <c r="AT419" t="s">
        <v>509</v>
      </c>
      <c r="AU419">
        <v>2025</v>
      </c>
      <c r="AV419">
        <v>19</v>
      </c>
      <c r="AW419">
        <v>5</v>
      </c>
      <c r="AX419" t="s">
        <v>74</v>
      </c>
      <c r="AY419" t="s">
        <v>74</v>
      </c>
      <c r="AZ419" t="s">
        <v>74</v>
      </c>
      <c r="BA419" t="s">
        <v>74</v>
      </c>
      <c r="BB419">
        <v>3384</v>
      </c>
      <c r="BC419">
        <v>3399</v>
      </c>
      <c r="BD419" t="s">
        <v>74</v>
      </c>
      <c r="BE419" t="s">
        <v>8653</v>
      </c>
      <c r="BF419" t="str">
        <f>HYPERLINK("http://dx.doi.org/10.1177/18724981251346889","http://dx.doi.org/10.1177/18724981251346889")</f>
        <v>http://dx.doi.org/10.1177/18724981251346889</v>
      </c>
      <c r="BG419" t="s">
        <v>74</v>
      </c>
      <c r="BH419" t="s">
        <v>8654</v>
      </c>
      <c r="BI419">
        <v>16</v>
      </c>
      <c r="BJ419" t="s">
        <v>807</v>
      </c>
      <c r="BK419" t="s">
        <v>102</v>
      </c>
      <c r="BL419" t="s">
        <v>103</v>
      </c>
      <c r="BM419" t="s">
        <v>8655</v>
      </c>
      <c r="BN419" t="s">
        <v>74</v>
      </c>
      <c r="BO419" t="s">
        <v>74</v>
      </c>
      <c r="BP419" t="s">
        <v>74</v>
      </c>
      <c r="BQ419" t="s">
        <v>74</v>
      </c>
      <c r="BR419" t="s">
        <v>106</v>
      </c>
      <c r="BS419" t="s">
        <v>8656</v>
      </c>
      <c r="BT419" t="str">
        <f>HYPERLINK("https%3A%2F%2Fwww.webofscience.com%2Fwos%2Fwoscc%2Ffull-record%2FWOS:001507193100001","View Full Record in Web of Science")</f>
        <v>View Full Record in Web of Science</v>
      </c>
    </row>
    <row r="420" spans="1:72" x14ac:dyDescent="0.25">
      <c r="A420" t="s">
        <v>72</v>
      </c>
      <c r="B420" t="s">
        <v>8657</v>
      </c>
      <c r="C420" t="s">
        <v>74</v>
      </c>
      <c r="D420" t="s">
        <v>74</v>
      </c>
      <c r="E420" t="s">
        <v>74</v>
      </c>
      <c r="F420" t="s">
        <v>8658</v>
      </c>
      <c r="G420" t="s">
        <v>74</v>
      </c>
      <c r="H420" t="s">
        <v>74</v>
      </c>
      <c r="I420" t="s">
        <v>8659</v>
      </c>
      <c r="J420" t="s">
        <v>2058</v>
      </c>
      <c r="K420" t="s">
        <v>74</v>
      </c>
      <c r="L420" t="s">
        <v>74</v>
      </c>
      <c r="M420" t="s">
        <v>78</v>
      </c>
      <c r="N420" t="s">
        <v>79</v>
      </c>
      <c r="O420" t="s">
        <v>74</v>
      </c>
      <c r="P420" t="s">
        <v>74</v>
      </c>
      <c r="Q420" t="s">
        <v>74</v>
      </c>
      <c r="R420" t="s">
        <v>74</v>
      </c>
      <c r="S420" t="s">
        <v>74</v>
      </c>
      <c r="T420" t="s">
        <v>8660</v>
      </c>
      <c r="U420" t="s">
        <v>8661</v>
      </c>
      <c r="V420" t="s">
        <v>8662</v>
      </c>
      <c r="W420" t="s">
        <v>8663</v>
      </c>
      <c r="X420" t="s">
        <v>8664</v>
      </c>
      <c r="Y420" t="s">
        <v>8665</v>
      </c>
      <c r="Z420" t="s">
        <v>8666</v>
      </c>
      <c r="AA420" t="s">
        <v>74</v>
      </c>
      <c r="AB420" t="s">
        <v>74</v>
      </c>
      <c r="AC420" t="s">
        <v>8667</v>
      </c>
      <c r="AD420" t="s">
        <v>8668</v>
      </c>
      <c r="AE420" t="s">
        <v>8669</v>
      </c>
      <c r="AF420" t="s">
        <v>74</v>
      </c>
      <c r="AG420">
        <v>25</v>
      </c>
      <c r="AH420">
        <v>1</v>
      </c>
      <c r="AI420">
        <v>1</v>
      </c>
      <c r="AJ420">
        <v>0</v>
      </c>
      <c r="AK420">
        <v>6</v>
      </c>
      <c r="AL420" t="s">
        <v>1272</v>
      </c>
      <c r="AM420" t="s">
        <v>1273</v>
      </c>
      <c r="AN420" t="s">
        <v>1274</v>
      </c>
      <c r="AO420" t="s">
        <v>74</v>
      </c>
      <c r="AP420" t="s">
        <v>2070</v>
      </c>
      <c r="AQ420" t="s">
        <v>74</v>
      </c>
      <c r="AR420" t="s">
        <v>2071</v>
      </c>
      <c r="AS420" t="s">
        <v>2072</v>
      </c>
      <c r="AT420" t="s">
        <v>1166</v>
      </c>
      <c r="AU420">
        <v>2022</v>
      </c>
      <c r="AV420">
        <v>12</v>
      </c>
      <c r="AW420">
        <v>14</v>
      </c>
      <c r="AX420" t="s">
        <v>74</v>
      </c>
      <c r="AY420" t="s">
        <v>74</v>
      </c>
      <c r="AZ420" t="s">
        <v>74</v>
      </c>
      <c r="BA420" t="s">
        <v>74</v>
      </c>
      <c r="BB420" t="s">
        <v>74</v>
      </c>
      <c r="BC420" t="s">
        <v>74</v>
      </c>
      <c r="BD420">
        <v>7077</v>
      </c>
      <c r="BE420" t="s">
        <v>8670</v>
      </c>
      <c r="BF420" t="str">
        <f>HYPERLINK("http://dx.doi.org/10.3390/app12147077","http://dx.doi.org/10.3390/app12147077")</f>
        <v>http://dx.doi.org/10.3390/app12147077</v>
      </c>
      <c r="BG420" t="s">
        <v>74</v>
      </c>
      <c r="BH420" t="s">
        <v>74</v>
      </c>
      <c r="BI420">
        <v>15</v>
      </c>
      <c r="BJ420" t="s">
        <v>2075</v>
      </c>
      <c r="BK420" t="s">
        <v>902</v>
      </c>
      <c r="BL420" t="s">
        <v>2076</v>
      </c>
      <c r="BM420" t="s">
        <v>8671</v>
      </c>
      <c r="BN420" t="s">
        <v>74</v>
      </c>
      <c r="BO420" t="s">
        <v>398</v>
      </c>
      <c r="BP420" t="s">
        <v>74</v>
      </c>
      <c r="BQ420" t="s">
        <v>74</v>
      </c>
      <c r="BR420" t="s">
        <v>106</v>
      </c>
      <c r="BS420" t="s">
        <v>8672</v>
      </c>
      <c r="BT420" t="str">
        <f>HYPERLINK("https%3A%2F%2Fwww.webofscience.com%2Fwos%2Fwoscc%2Ffull-record%2FWOS:000831637900001","View Full Record in Web of Science")</f>
        <v>View Full Record in Web of Science</v>
      </c>
    </row>
    <row r="421" spans="1:72" x14ac:dyDescent="0.25">
      <c r="A421" t="s">
        <v>72</v>
      </c>
      <c r="B421" t="s">
        <v>8673</v>
      </c>
      <c r="C421" t="s">
        <v>74</v>
      </c>
      <c r="D421" t="s">
        <v>74</v>
      </c>
      <c r="E421" t="s">
        <v>74</v>
      </c>
      <c r="F421" t="s">
        <v>8674</v>
      </c>
      <c r="G421" t="s">
        <v>74</v>
      </c>
      <c r="H421" t="s">
        <v>74</v>
      </c>
      <c r="I421" t="s">
        <v>8675</v>
      </c>
      <c r="J421" t="s">
        <v>8676</v>
      </c>
      <c r="K421" t="s">
        <v>74</v>
      </c>
      <c r="L421" t="s">
        <v>74</v>
      </c>
      <c r="M421" t="s">
        <v>78</v>
      </c>
      <c r="N421" t="s">
        <v>79</v>
      </c>
      <c r="O421" t="s">
        <v>74</v>
      </c>
      <c r="P421" t="s">
        <v>74</v>
      </c>
      <c r="Q421" t="s">
        <v>74</v>
      </c>
      <c r="R421" t="s">
        <v>74</v>
      </c>
      <c r="S421" t="s">
        <v>74</v>
      </c>
      <c r="T421" t="s">
        <v>8677</v>
      </c>
      <c r="U421" t="s">
        <v>8678</v>
      </c>
      <c r="V421" t="s">
        <v>8679</v>
      </c>
      <c r="W421" t="s">
        <v>8680</v>
      </c>
      <c r="X421" t="s">
        <v>74</v>
      </c>
      <c r="Y421" t="s">
        <v>8681</v>
      </c>
      <c r="Z421" t="s">
        <v>8682</v>
      </c>
      <c r="AA421" t="s">
        <v>74</v>
      </c>
      <c r="AB421" t="s">
        <v>74</v>
      </c>
      <c r="AC421" t="s">
        <v>74</v>
      </c>
      <c r="AD421" t="s">
        <v>74</v>
      </c>
      <c r="AE421" t="s">
        <v>74</v>
      </c>
      <c r="AF421" t="s">
        <v>74</v>
      </c>
      <c r="AG421">
        <v>37</v>
      </c>
      <c r="AH421">
        <v>0</v>
      </c>
      <c r="AI421">
        <v>0</v>
      </c>
      <c r="AJ421">
        <v>1</v>
      </c>
      <c r="AK421">
        <v>1</v>
      </c>
      <c r="AL421" t="s">
        <v>362</v>
      </c>
      <c r="AM421" t="s">
        <v>363</v>
      </c>
      <c r="AN421" t="s">
        <v>364</v>
      </c>
      <c r="AO421" t="s">
        <v>8683</v>
      </c>
      <c r="AP421" t="s">
        <v>8684</v>
      </c>
      <c r="AQ421" t="s">
        <v>74</v>
      </c>
      <c r="AR421" t="s">
        <v>8685</v>
      </c>
      <c r="AS421" t="s">
        <v>8686</v>
      </c>
      <c r="AT421" t="s">
        <v>1251</v>
      </c>
      <c r="AU421">
        <v>2026</v>
      </c>
      <c r="AV421">
        <v>53</v>
      </c>
      <c r="AW421">
        <v>2</v>
      </c>
      <c r="AX421" t="s">
        <v>74</v>
      </c>
      <c r="AY421" t="s">
        <v>74</v>
      </c>
      <c r="AZ421" t="s">
        <v>74</v>
      </c>
      <c r="BA421" t="s">
        <v>74</v>
      </c>
      <c r="BB421" t="s">
        <v>74</v>
      </c>
      <c r="BC421" t="s">
        <v>74</v>
      </c>
      <c r="BD421">
        <v>100560</v>
      </c>
      <c r="BE421" t="s">
        <v>8687</v>
      </c>
      <c r="BF421" t="str">
        <f>HYPERLINK("http://dx.doi.org/10.1016/j.kjs.2026.100560","http://dx.doi.org/10.1016/j.kjs.2026.100560")</f>
        <v>http://dx.doi.org/10.1016/j.kjs.2026.100560</v>
      </c>
      <c r="BG421" t="s">
        <v>74</v>
      </c>
      <c r="BH421" t="s">
        <v>74</v>
      </c>
      <c r="BI421">
        <v>13</v>
      </c>
      <c r="BJ421" t="s">
        <v>5861</v>
      </c>
      <c r="BK421" t="s">
        <v>902</v>
      </c>
      <c r="BL421" t="s">
        <v>5862</v>
      </c>
      <c r="BM421" t="s">
        <v>8688</v>
      </c>
      <c r="BN421" t="s">
        <v>74</v>
      </c>
      <c r="BO421" t="s">
        <v>372</v>
      </c>
      <c r="BP421" t="s">
        <v>74</v>
      </c>
      <c r="BQ421" t="s">
        <v>74</v>
      </c>
      <c r="BR421" t="s">
        <v>106</v>
      </c>
      <c r="BS421" t="s">
        <v>8689</v>
      </c>
      <c r="BT421" t="str">
        <f>HYPERLINK("https%3A%2F%2Fwww.webofscience.com%2Fwos%2Fwoscc%2Ffull-record%2FWOS:001725176200001","View Full Record in Web of Science")</f>
        <v>View Full Record in Web of Science</v>
      </c>
    </row>
    <row r="422" spans="1:72" x14ac:dyDescent="0.25">
      <c r="A422" t="s">
        <v>72</v>
      </c>
      <c r="B422" t="s">
        <v>8690</v>
      </c>
      <c r="C422" t="s">
        <v>74</v>
      </c>
      <c r="D422" t="s">
        <v>74</v>
      </c>
      <c r="E422" t="s">
        <v>74</v>
      </c>
      <c r="F422" t="s">
        <v>8691</v>
      </c>
      <c r="G422" t="s">
        <v>74</v>
      </c>
      <c r="H422" t="s">
        <v>74</v>
      </c>
      <c r="I422" t="s">
        <v>8692</v>
      </c>
      <c r="J422" t="s">
        <v>8693</v>
      </c>
      <c r="K422" t="s">
        <v>74</v>
      </c>
      <c r="L422" t="s">
        <v>74</v>
      </c>
      <c r="M422" t="s">
        <v>78</v>
      </c>
      <c r="N422" t="s">
        <v>79</v>
      </c>
      <c r="O422" t="s">
        <v>74</v>
      </c>
      <c r="P422" t="s">
        <v>74</v>
      </c>
      <c r="Q422" t="s">
        <v>74</v>
      </c>
      <c r="R422" t="s">
        <v>74</v>
      </c>
      <c r="S422" t="s">
        <v>74</v>
      </c>
      <c r="T422" t="s">
        <v>8694</v>
      </c>
      <c r="U422" t="s">
        <v>74</v>
      </c>
      <c r="V422" t="s">
        <v>8695</v>
      </c>
      <c r="W422" t="s">
        <v>8696</v>
      </c>
      <c r="X422" t="s">
        <v>8697</v>
      </c>
      <c r="Y422" t="s">
        <v>8698</v>
      </c>
      <c r="Z422" t="s">
        <v>8699</v>
      </c>
      <c r="AA422" t="s">
        <v>8700</v>
      </c>
      <c r="AB422" t="s">
        <v>8701</v>
      </c>
      <c r="AC422" t="s">
        <v>8702</v>
      </c>
      <c r="AD422" t="s">
        <v>8703</v>
      </c>
      <c r="AE422" t="s">
        <v>8704</v>
      </c>
      <c r="AF422" t="s">
        <v>74</v>
      </c>
      <c r="AG422">
        <v>90</v>
      </c>
      <c r="AH422">
        <v>18</v>
      </c>
      <c r="AI422">
        <v>22</v>
      </c>
      <c r="AJ422">
        <v>0</v>
      </c>
      <c r="AK422">
        <v>21</v>
      </c>
      <c r="AL422" t="s">
        <v>8705</v>
      </c>
      <c r="AM422" t="s">
        <v>8706</v>
      </c>
      <c r="AN422" t="s">
        <v>8707</v>
      </c>
      <c r="AO422" t="s">
        <v>8708</v>
      </c>
      <c r="AP422" t="s">
        <v>8709</v>
      </c>
      <c r="AQ422" t="s">
        <v>74</v>
      </c>
      <c r="AR422" t="s">
        <v>8710</v>
      </c>
      <c r="AS422" t="s">
        <v>8711</v>
      </c>
      <c r="AT422" t="s">
        <v>74</v>
      </c>
      <c r="AU422">
        <v>2017</v>
      </c>
      <c r="AV422">
        <v>21</v>
      </c>
      <c r="AW422">
        <v>2</v>
      </c>
      <c r="AX422" t="s">
        <v>74</v>
      </c>
      <c r="AY422" t="s">
        <v>74</v>
      </c>
      <c r="AZ422" t="s">
        <v>74</v>
      </c>
      <c r="BA422" t="s">
        <v>74</v>
      </c>
      <c r="BB422">
        <v>203</v>
      </c>
      <c r="BC422">
        <v>226</v>
      </c>
      <c r="BD422" t="s">
        <v>74</v>
      </c>
      <c r="BE422" t="s">
        <v>8712</v>
      </c>
      <c r="BF422" t="str">
        <f>HYPERLINK("http://dx.doi.org/10.13053/CyS-21-2-2734","http://dx.doi.org/10.13053/CyS-21-2-2734")</f>
        <v>http://dx.doi.org/10.13053/CyS-21-2-2734</v>
      </c>
      <c r="BG422" t="s">
        <v>74</v>
      </c>
      <c r="BH422" t="s">
        <v>74</v>
      </c>
      <c r="BI422">
        <v>24</v>
      </c>
      <c r="BJ422" t="s">
        <v>852</v>
      </c>
      <c r="BK422" t="s">
        <v>102</v>
      </c>
      <c r="BL422" t="s">
        <v>103</v>
      </c>
      <c r="BM422" t="s">
        <v>8713</v>
      </c>
      <c r="BN422" t="s">
        <v>74</v>
      </c>
      <c r="BO422" t="s">
        <v>346</v>
      </c>
      <c r="BP422" t="s">
        <v>74</v>
      </c>
      <c r="BQ422" t="s">
        <v>74</v>
      </c>
      <c r="BR422" t="s">
        <v>106</v>
      </c>
      <c r="BS422" t="s">
        <v>8714</v>
      </c>
      <c r="BT422" t="str">
        <f>HYPERLINK("https%3A%2F%2Fwww.webofscience.com%2Fwos%2Fwoscc%2Ffull-record%2FWOS:000405912800004","View Full Record in Web of Science")</f>
        <v>View Full Record in Web of Science</v>
      </c>
    </row>
    <row r="423" spans="1:72" x14ac:dyDescent="0.25">
      <c r="A423" t="s">
        <v>108</v>
      </c>
      <c r="B423" t="s">
        <v>6216</v>
      </c>
      <c r="C423" t="s">
        <v>74</v>
      </c>
      <c r="D423" t="s">
        <v>8715</v>
      </c>
      <c r="E423" t="s">
        <v>74</v>
      </c>
      <c r="F423" t="s">
        <v>6218</v>
      </c>
      <c r="G423" t="s">
        <v>74</v>
      </c>
      <c r="H423" t="s">
        <v>74</v>
      </c>
      <c r="I423" t="s">
        <v>8716</v>
      </c>
      <c r="J423" t="s">
        <v>8717</v>
      </c>
      <c r="K423" t="s">
        <v>74</v>
      </c>
      <c r="L423" t="s">
        <v>74</v>
      </c>
      <c r="M423" t="s">
        <v>78</v>
      </c>
      <c r="N423" t="s">
        <v>115</v>
      </c>
      <c r="O423" t="s">
        <v>6221</v>
      </c>
      <c r="P423" t="s">
        <v>6222</v>
      </c>
      <c r="Q423" t="s">
        <v>4669</v>
      </c>
      <c r="R423" t="s">
        <v>6223</v>
      </c>
      <c r="S423" t="s">
        <v>74</v>
      </c>
      <c r="T423" t="s">
        <v>8718</v>
      </c>
      <c r="U423" t="s">
        <v>74</v>
      </c>
      <c r="V423" t="s">
        <v>8719</v>
      </c>
      <c r="W423" t="s">
        <v>6226</v>
      </c>
      <c r="X423" t="s">
        <v>6227</v>
      </c>
      <c r="Y423" t="s">
        <v>6228</v>
      </c>
      <c r="Z423" t="s">
        <v>74</v>
      </c>
      <c r="AA423" t="s">
        <v>8720</v>
      </c>
      <c r="AB423" t="s">
        <v>8721</v>
      </c>
      <c r="AC423" t="s">
        <v>8722</v>
      </c>
      <c r="AD423" t="s">
        <v>6233</v>
      </c>
      <c r="AE423" t="s">
        <v>8723</v>
      </c>
      <c r="AF423" t="s">
        <v>74</v>
      </c>
      <c r="AG423">
        <v>32</v>
      </c>
      <c r="AH423">
        <v>4</v>
      </c>
      <c r="AI423">
        <v>4</v>
      </c>
      <c r="AJ423">
        <v>0</v>
      </c>
      <c r="AK423">
        <v>4</v>
      </c>
      <c r="AL423" t="s">
        <v>2558</v>
      </c>
      <c r="AM423" t="s">
        <v>2559</v>
      </c>
      <c r="AN423" t="s">
        <v>2560</v>
      </c>
      <c r="AO423" t="s">
        <v>74</v>
      </c>
      <c r="AP423" t="s">
        <v>74</v>
      </c>
      <c r="AQ423" t="s">
        <v>8724</v>
      </c>
      <c r="AR423" t="s">
        <v>74</v>
      </c>
      <c r="AS423" t="s">
        <v>74</v>
      </c>
      <c r="AT423" t="s">
        <v>74</v>
      </c>
      <c r="AU423">
        <v>2021</v>
      </c>
      <c r="AV423" t="s">
        <v>74</v>
      </c>
      <c r="AW423" t="s">
        <v>74</v>
      </c>
      <c r="AX423" t="s">
        <v>74</v>
      </c>
      <c r="AY423" t="s">
        <v>74</v>
      </c>
      <c r="AZ423" t="s">
        <v>74</v>
      </c>
      <c r="BA423" t="s">
        <v>74</v>
      </c>
      <c r="BB423">
        <v>103</v>
      </c>
      <c r="BC423">
        <v>113</v>
      </c>
      <c r="BD423" t="s">
        <v>74</v>
      </c>
      <c r="BE423" t="s">
        <v>8725</v>
      </c>
      <c r="BF423" t="str">
        <f>HYPERLINK("http://dx.doi.org/10.5220/0010431901030113","http://dx.doi.org/10.5220/0010431901030113")</f>
        <v>http://dx.doi.org/10.5220/0010431901030113</v>
      </c>
      <c r="BG423" t="s">
        <v>74</v>
      </c>
      <c r="BH423" t="s">
        <v>74</v>
      </c>
      <c r="BI423">
        <v>11</v>
      </c>
      <c r="BJ423" t="s">
        <v>1190</v>
      </c>
      <c r="BK423" t="s">
        <v>203</v>
      </c>
      <c r="BL423" t="s">
        <v>103</v>
      </c>
      <c r="BM423" t="s">
        <v>8726</v>
      </c>
      <c r="BN423" t="s">
        <v>74</v>
      </c>
      <c r="BO423" t="s">
        <v>398</v>
      </c>
      <c r="BP423" t="s">
        <v>74</v>
      </c>
      <c r="BQ423" t="s">
        <v>74</v>
      </c>
      <c r="BR423" t="s">
        <v>106</v>
      </c>
      <c r="BS423" t="s">
        <v>8727</v>
      </c>
      <c r="BT423" t="str">
        <f>HYPERLINK("https%3A%2F%2Fwww.webofscience.com%2Fwos%2Fwoscc%2Ffull-record%2FWOS:000783843700009","View Full Record in Web of Science")</f>
        <v>View Full Record in Web of Science</v>
      </c>
    </row>
    <row r="424" spans="1:72" x14ac:dyDescent="0.25">
      <c r="A424" t="s">
        <v>72</v>
      </c>
      <c r="B424" t="s">
        <v>8728</v>
      </c>
      <c r="C424" t="s">
        <v>74</v>
      </c>
      <c r="D424" t="s">
        <v>74</v>
      </c>
      <c r="E424" t="s">
        <v>74</v>
      </c>
      <c r="F424" t="s">
        <v>8729</v>
      </c>
      <c r="G424" t="s">
        <v>74</v>
      </c>
      <c r="H424" t="s">
        <v>74</v>
      </c>
      <c r="I424" t="s">
        <v>8730</v>
      </c>
      <c r="J424" t="s">
        <v>3087</v>
      </c>
      <c r="K424" t="s">
        <v>74</v>
      </c>
      <c r="L424" t="s">
        <v>74</v>
      </c>
      <c r="M424" t="s">
        <v>78</v>
      </c>
      <c r="N424" t="s">
        <v>79</v>
      </c>
      <c r="O424" t="s">
        <v>74</v>
      </c>
      <c r="P424" t="s">
        <v>74</v>
      </c>
      <c r="Q424" t="s">
        <v>74</v>
      </c>
      <c r="R424" t="s">
        <v>74</v>
      </c>
      <c r="S424" t="s">
        <v>74</v>
      </c>
      <c r="T424" t="s">
        <v>8731</v>
      </c>
      <c r="U424" t="s">
        <v>74</v>
      </c>
      <c r="V424" t="s">
        <v>8732</v>
      </c>
      <c r="W424" t="s">
        <v>8733</v>
      </c>
      <c r="X424" t="s">
        <v>8734</v>
      </c>
      <c r="Y424" t="s">
        <v>8735</v>
      </c>
      <c r="Z424" t="s">
        <v>8736</v>
      </c>
      <c r="AA424" t="s">
        <v>8737</v>
      </c>
      <c r="AB424" t="s">
        <v>8738</v>
      </c>
      <c r="AC424" t="s">
        <v>8739</v>
      </c>
      <c r="AD424" t="s">
        <v>8740</v>
      </c>
      <c r="AE424" t="s">
        <v>8741</v>
      </c>
      <c r="AF424" t="s">
        <v>74</v>
      </c>
      <c r="AG424">
        <v>40</v>
      </c>
      <c r="AH424">
        <v>7</v>
      </c>
      <c r="AI424">
        <v>9</v>
      </c>
      <c r="AJ424">
        <v>2</v>
      </c>
      <c r="AK424">
        <v>7</v>
      </c>
      <c r="AL424" t="s">
        <v>1272</v>
      </c>
      <c r="AM424" t="s">
        <v>1273</v>
      </c>
      <c r="AN424" t="s">
        <v>1274</v>
      </c>
      <c r="AO424" t="s">
        <v>74</v>
      </c>
      <c r="AP424" t="s">
        <v>3099</v>
      </c>
      <c r="AQ424" t="s">
        <v>74</v>
      </c>
      <c r="AR424" t="s">
        <v>3100</v>
      </c>
      <c r="AS424" t="s">
        <v>3101</v>
      </c>
      <c r="AT424" t="s">
        <v>246</v>
      </c>
      <c r="AU424">
        <v>2022</v>
      </c>
      <c r="AV424">
        <v>24</v>
      </c>
      <c r="AW424">
        <v>11</v>
      </c>
      <c r="AX424" t="s">
        <v>74</v>
      </c>
      <c r="AY424" t="s">
        <v>74</v>
      </c>
      <c r="AZ424" t="s">
        <v>74</v>
      </c>
      <c r="BA424" t="s">
        <v>74</v>
      </c>
      <c r="BB424" t="s">
        <v>74</v>
      </c>
      <c r="BC424" t="s">
        <v>74</v>
      </c>
      <c r="BD424">
        <v>1603</v>
      </c>
      <c r="BE424" t="s">
        <v>8742</v>
      </c>
      <c r="BF424" t="str">
        <f>HYPERLINK("http://dx.doi.org/10.3390/e24111603","http://dx.doi.org/10.3390/e24111603")</f>
        <v>http://dx.doi.org/10.3390/e24111603</v>
      </c>
      <c r="BG424" t="s">
        <v>74</v>
      </c>
      <c r="BH424" t="s">
        <v>74</v>
      </c>
      <c r="BI424">
        <v>22</v>
      </c>
      <c r="BJ424" t="s">
        <v>3103</v>
      </c>
      <c r="BK424" t="s">
        <v>902</v>
      </c>
      <c r="BL424" t="s">
        <v>3104</v>
      </c>
      <c r="BM424" t="s">
        <v>8743</v>
      </c>
      <c r="BN424" t="s">
        <v>74</v>
      </c>
      <c r="BO424" t="s">
        <v>398</v>
      </c>
      <c r="BP424" t="s">
        <v>74</v>
      </c>
      <c r="BQ424" t="s">
        <v>74</v>
      </c>
      <c r="BR424" t="s">
        <v>106</v>
      </c>
      <c r="BS424" t="s">
        <v>8744</v>
      </c>
      <c r="BT424" t="str">
        <f>HYPERLINK("https%3A%2F%2Fwww.webofscience.com%2Fwos%2Fwoscc%2Ffull-record%2FWOS:000883467800001","View Full Record in Web of Science")</f>
        <v>View Full Record in Web of Science</v>
      </c>
    </row>
    <row r="425" spans="1:72" x14ac:dyDescent="0.25">
      <c r="A425" t="s">
        <v>72</v>
      </c>
      <c r="B425" t="s">
        <v>8745</v>
      </c>
      <c r="C425" t="s">
        <v>74</v>
      </c>
      <c r="D425" t="s">
        <v>74</v>
      </c>
      <c r="E425" t="s">
        <v>74</v>
      </c>
      <c r="F425" t="s">
        <v>8746</v>
      </c>
      <c r="G425" t="s">
        <v>74</v>
      </c>
      <c r="H425" t="s">
        <v>74</v>
      </c>
      <c r="I425" t="s">
        <v>8747</v>
      </c>
      <c r="J425" t="s">
        <v>8748</v>
      </c>
      <c r="K425" t="s">
        <v>74</v>
      </c>
      <c r="L425" t="s">
        <v>74</v>
      </c>
      <c r="M425" t="s">
        <v>78</v>
      </c>
      <c r="N425" t="s">
        <v>79</v>
      </c>
      <c r="O425" t="s">
        <v>74</v>
      </c>
      <c r="P425" t="s">
        <v>74</v>
      </c>
      <c r="Q425" t="s">
        <v>74</v>
      </c>
      <c r="R425" t="s">
        <v>74</v>
      </c>
      <c r="S425" t="s">
        <v>74</v>
      </c>
      <c r="T425" t="s">
        <v>8749</v>
      </c>
      <c r="U425" t="s">
        <v>8750</v>
      </c>
      <c r="V425" t="s">
        <v>8751</v>
      </c>
      <c r="W425" t="s">
        <v>8752</v>
      </c>
      <c r="X425" t="s">
        <v>8753</v>
      </c>
      <c r="Y425" t="s">
        <v>8754</v>
      </c>
      <c r="Z425" t="s">
        <v>8755</v>
      </c>
      <c r="AA425" t="s">
        <v>8756</v>
      </c>
      <c r="AB425" t="s">
        <v>8757</v>
      </c>
      <c r="AC425" t="s">
        <v>8753</v>
      </c>
      <c r="AD425" t="s">
        <v>8753</v>
      </c>
      <c r="AE425" t="s">
        <v>8758</v>
      </c>
      <c r="AF425" t="s">
        <v>74</v>
      </c>
      <c r="AG425">
        <v>77</v>
      </c>
      <c r="AH425">
        <v>3</v>
      </c>
      <c r="AI425">
        <v>3</v>
      </c>
      <c r="AJ425">
        <v>2</v>
      </c>
      <c r="AK425">
        <v>3</v>
      </c>
      <c r="AL425" t="s">
        <v>5214</v>
      </c>
      <c r="AM425" t="s">
        <v>1320</v>
      </c>
      <c r="AN425" t="s">
        <v>5215</v>
      </c>
      <c r="AO425" t="s">
        <v>8759</v>
      </c>
      <c r="AP425" t="s">
        <v>8760</v>
      </c>
      <c r="AQ425" t="s">
        <v>74</v>
      </c>
      <c r="AR425" t="s">
        <v>8761</v>
      </c>
      <c r="AS425" t="s">
        <v>8762</v>
      </c>
      <c r="AT425" t="s">
        <v>4318</v>
      </c>
      <c r="AU425">
        <v>2024</v>
      </c>
      <c r="AV425">
        <v>7</v>
      </c>
      <c r="AW425">
        <v>2</v>
      </c>
      <c r="AX425" t="s">
        <v>74</v>
      </c>
      <c r="AY425" t="s">
        <v>74</v>
      </c>
      <c r="AZ425" t="s">
        <v>74</v>
      </c>
      <c r="BA425" t="s">
        <v>74</v>
      </c>
      <c r="BB425">
        <v>1187</v>
      </c>
      <c r="BC425">
        <v>1222</v>
      </c>
      <c r="BD425" t="s">
        <v>74</v>
      </c>
      <c r="BE425" t="s">
        <v>8763</v>
      </c>
      <c r="BF425" t="str">
        <f>HYPERLINK("http://dx.doi.org/10.1007/s42001-024-00269-4","http://dx.doi.org/10.1007/s42001-024-00269-4")</f>
        <v>http://dx.doi.org/10.1007/s42001-024-00269-4</v>
      </c>
      <c r="BG425" t="s">
        <v>74</v>
      </c>
      <c r="BH425" t="s">
        <v>8764</v>
      </c>
      <c r="BI425">
        <v>36</v>
      </c>
      <c r="BJ425" t="s">
        <v>8765</v>
      </c>
      <c r="BK425" t="s">
        <v>102</v>
      </c>
      <c r="BL425" t="s">
        <v>8766</v>
      </c>
      <c r="BM425" t="s">
        <v>8767</v>
      </c>
      <c r="BN425" t="s">
        <v>74</v>
      </c>
      <c r="BO425" t="s">
        <v>105</v>
      </c>
      <c r="BP425" t="s">
        <v>74</v>
      </c>
      <c r="BQ425" t="s">
        <v>74</v>
      </c>
      <c r="BR425" t="s">
        <v>106</v>
      </c>
      <c r="BS425" t="s">
        <v>8768</v>
      </c>
      <c r="BT425" t="str">
        <f>HYPERLINK("https%3A%2F%2Fwww.webofscience.com%2Fwos%2Fwoscc%2Ffull-record%2FWOS:001201483800001","View Full Record in Web of Science")</f>
        <v>View Full Record in Web of Science</v>
      </c>
    </row>
    <row r="426" spans="1:72" x14ac:dyDescent="0.25">
      <c r="A426" t="s">
        <v>72</v>
      </c>
      <c r="B426" t="s">
        <v>8769</v>
      </c>
      <c r="C426" t="s">
        <v>74</v>
      </c>
      <c r="D426" t="s">
        <v>74</v>
      </c>
      <c r="E426" t="s">
        <v>74</v>
      </c>
      <c r="F426" t="s">
        <v>8770</v>
      </c>
      <c r="G426" t="s">
        <v>74</v>
      </c>
      <c r="H426" t="s">
        <v>74</v>
      </c>
      <c r="I426" t="s">
        <v>8771</v>
      </c>
      <c r="J426" t="s">
        <v>8772</v>
      </c>
      <c r="K426" t="s">
        <v>74</v>
      </c>
      <c r="L426" t="s">
        <v>74</v>
      </c>
      <c r="M426" t="s">
        <v>78</v>
      </c>
      <c r="N426" t="s">
        <v>79</v>
      </c>
      <c r="O426" t="s">
        <v>74</v>
      </c>
      <c r="P426" t="s">
        <v>74</v>
      </c>
      <c r="Q426" t="s">
        <v>74</v>
      </c>
      <c r="R426" t="s">
        <v>74</v>
      </c>
      <c r="S426" t="s">
        <v>74</v>
      </c>
      <c r="T426" t="s">
        <v>8773</v>
      </c>
      <c r="U426" t="s">
        <v>74</v>
      </c>
      <c r="V426" t="s">
        <v>8774</v>
      </c>
      <c r="W426" t="s">
        <v>8775</v>
      </c>
      <c r="X426" t="s">
        <v>8776</v>
      </c>
      <c r="Y426" t="s">
        <v>8777</v>
      </c>
      <c r="Z426" t="s">
        <v>8778</v>
      </c>
      <c r="AA426" t="s">
        <v>8779</v>
      </c>
      <c r="AB426" t="s">
        <v>8780</v>
      </c>
      <c r="AC426" t="s">
        <v>8781</v>
      </c>
      <c r="AD426" t="s">
        <v>8782</v>
      </c>
      <c r="AE426" t="s">
        <v>8783</v>
      </c>
      <c r="AF426" t="s">
        <v>74</v>
      </c>
      <c r="AG426">
        <v>77</v>
      </c>
      <c r="AH426">
        <v>13</v>
      </c>
      <c r="AI426">
        <v>15</v>
      </c>
      <c r="AJ426">
        <v>0</v>
      </c>
      <c r="AK426">
        <v>25</v>
      </c>
      <c r="AL426" t="s">
        <v>389</v>
      </c>
      <c r="AM426" t="s">
        <v>390</v>
      </c>
      <c r="AN426" t="s">
        <v>391</v>
      </c>
      <c r="AO426" t="s">
        <v>74</v>
      </c>
      <c r="AP426" t="s">
        <v>8784</v>
      </c>
      <c r="AQ426" t="s">
        <v>74</v>
      </c>
      <c r="AR426" t="s">
        <v>8785</v>
      </c>
      <c r="AS426" t="s">
        <v>8786</v>
      </c>
      <c r="AT426" t="s">
        <v>8787</v>
      </c>
      <c r="AU426">
        <v>2022</v>
      </c>
      <c r="AV426">
        <v>5</v>
      </c>
      <c r="AW426" t="s">
        <v>74</v>
      </c>
      <c r="AX426" t="s">
        <v>74</v>
      </c>
      <c r="AY426" t="s">
        <v>74</v>
      </c>
      <c r="AZ426" t="s">
        <v>74</v>
      </c>
      <c r="BA426" t="s">
        <v>74</v>
      </c>
      <c r="BB426" t="s">
        <v>74</v>
      </c>
      <c r="BC426" t="s">
        <v>74</v>
      </c>
      <c r="BD426">
        <v>931206</v>
      </c>
      <c r="BE426" t="s">
        <v>8788</v>
      </c>
      <c r="BF426" t="str">
        <f>HYPERLINK("http://dx.doi.org/10.3389/fdata.2022.931206","http://dx.doi.org/10.3389/fdata.2022.931206")</f>
        <v>http://dx.doi.org/10.3389/fdata.2022.931206</v>
      </c>
      <c r="BG426" t="s">
        <v>74</v>
      </c>
      <c r="BH426" t="s">
        <v>74</v>
      </c>
      <c r="BI426">
        <v>16</v>
      </c>
      <c r="BJ426" t="s">
        <v>8789</v>
      </c>
      <c r="BK426" t="s">
        <v>102</v>
      </c>
      <c r="BL426" t="s">
        <v>8790</v>
      </c>
      <c r="BM426" t="s">
        <v>8791</v>
      </c>
      <c r="BN426" t="s">
        <v>74</v>
      </c>
      <c r="BO426" t="s">
        <v>398</v>
      </c>
      <c r="BP426" t="s">
        <v>74</v>
      </c>
      <c r="BQ426" t="s">
        <v>74</v>
      </c>
      <c r="BR426" t="s">
        <v>106</v>
      </c>
      <c r="BS426" t="s">
        <v>8792</v>
      </c>
      <c r="BT426" t="str">
        <f>HYPERLINK("https%3A%2F%2Fwww.webofscience.com%2Fwos%2Fwoscc%2Ffull-record%2FWOS:000841240600001","View Full Record in Web of Science")</f>
        <v>View Full Record in Web of Science</v>
      </c>
    </row>
    <row r="427" spans="1:72" x14ac:dyDescent="0.25">
      <c r="A427" t="s">
        <v>108</v>
      </c>
      <c r="B427" t="s">
        <v>8793</v>
      </c>
      <c r="C427" t="s">
        <v>74</v>
      </c>
      <c r="D427" t="s">
        <v>74</v>
      </c>
      <c r="E427" t="s">
        <v>322</v>
      </c>
      <c r="F427" t="s">
        <v>8794</v>
      </c>
      <c r="G427" t="s">
        <v>74</v>
      </c>
      <c r="H427" t="s">
        <v>74</v>
      </c>
      <c r="I427" t="s">
        <v>8795</v>
      </c>
      <c r="J427" t="s">
        <v>8796</v>
      </c>
      <c r="K427" t="s">
        <v>74</v>
      </c>
      <c r="L427" t="s">
        <v>74</v>
      </c>
      <c r="M427" t="s">
        <v>78</v>
      </c>
      <c r="N427" t="s">
        <v>115</v>
      </c>
      <c r="O427" t="s">
        <v>8797</v>
      </c>
      <c r="P427" t="s">
        <v>8798</v>
      </c>
      <c r="Q427" t="s">
        <v>8799</v>
      </c>
      <c r="R427" t="s">
        <v>8800</v>
      </c>
      <c r="S427" t="s">
        <v>74</v>
      </c>
      <c r="T427" t="s">
        <v>8801</v>
      </c>
      <c r="U427" t="s">
        <v>8802</v>
      </c>
      <c r="V427" t="s">
        <v>8803</v>
      </c>
      <c r="W427" t="s">
        <v>8804</v>
      </c>
      <c r="X427" t="s">
        <v>8805</v>
      </c>
      <c r="Y427" t="s">
        <v>8806</v>
      </c>
      <c r="Z427" t="s">
        <v>8807</v>
      </c>
      <c r="AA427" t="s">
        <v>8808</v>
      </c>
      <c r="AB427" t="s">
        <v>74</v>
      </c>
      <c r="AC427" t="s">
        <v>8809</v>
      </c>
      <c r="AD427" t="s">
        <v>8810</v>
      </c>
      <c r="AE427" t="s">
        <v>8811</v>
      </c>
      <c r="AF427" t="s">
        <v>74</v>
      </c>
      <c r="AG427">
        <v>26</v>
      </c>
      <c r="AH427">
        <v>10</v>
      </c>
      <c r="AI427">
        <v>11</v>
      </c>
      <c r="AJ427">
        <v>0</v>
      </c>
      <c r="AK427">
        <v>0</v>
      </c>
      <c r="AL427" t="s">
        <v>291</v>
      </c>
      <c r="AM427" t="s">
        <v>92</v>
      </c>
      <c r="AN427" t="s">
        <v>341</v>
      </c>
      <c r="AO427" t="s">
        <v>74</v>
      </c>
      <c r="AP427" t="s">
        <v>74</v>
      </c>
      <c r="AQ427" t="s">
        <v>8812</v>
      </c>
      <c r="AR427" t="s">
        <v>74</v>
      </c>
      <c r="AS427" t="s">
        <v>74</v>
      </c>
      <c r="AT427" t="s">
        <v>74</v>
      </c>
      <c r="AU427">
        <v>2018</v>
      </c>
      <c r="AV427" t="s">
        <v>74</v>
      </c>
      <c r="AW427" t="s">
        <v>74</v>
      </c>
      <c r="AX427" t="s">
        <v>74</v>
      </c>
      <c r="AY427" t="s">
        <v>74</v>
      </c>
      <c r="AZ427" t="s">
        <v>74</v>
      </c>
      <c r="BA427" t="s">
        <v>74</v>
      </c>
      <c r="BB427">
        <v>51</v>
      </c>
      <c r="BC427">
        <v>58</v>
      </c>
      <c r="BD427" t="s">
        <v>74</v>
      </c>
      <c r="BE427" t="s">
        <v>8813</v>
      </c>
      <c r="BF427" t="str">
        <f>HYPERLINK("http://dx.doi.org/10.1145/3265863.3265873","http://dx.doi.org/10.1145/3265863.3265873")</f>
        <v>http://dx.doi.org/10.1145/3265863.3265873</v>
      </c>
      <c r="BG427" t="s">
        <v>74</v>
      </c>
      <c r="BH427" t="s">
        <v>74</v>
      </c>
      <c r="BI427">
        <v>8</v>
      </c>
      <c r="BJ427" t="s">
        <v>3649</v>
      </c>
      <c r="BK427" t="s">
        <v>203</v>
      </c>
      <c r="BL427" t="s">
        <v>953</v>
      </c>
      <c r="BM427" t="s">
        <v>8814</v>
      </c>
      <c r="BN427" t="s">
        <v>74</v>
      </c>
      <c r="BO427" t="s">
        <v>74</v>
      </c>
      <c r="BP427" t="s">
        <v>74</v>
      </c>
      <c r="BQ427" t="s">
        <v>74</v>
      </c>
      <c r="BR427" t="s">
        <v>106</v>
      </c>
      <c r="BS427" t="s">
        <v>8815</v>
      </c>
      <c r="BT427" t="str">
        <f>HYPERLINK("https%3A%2F%2Fwww.webofscience.com%2Fwos%2Fwoscc%2Ffull-record%2FWOS:000473335200007","View Full Record in Web of Science")</f>
        <v>View Full Record in Web of Science</v>
      </c>
    </row>
    <row r="428" spans="1:72" x14ac:dyDescent="0.25">
      <c r="A428" t="s">
        <v>108</v>
      </c>
      <c r="B428" t="s">
        <v>990</v>
      </c>
      <c r="C428" t="s">
        <v>74</v>
      </c>
      <c r="D428" t="s">
        <v>74</v>
      </c>
      <c r="E428" t="s">
        <v>322</v>
      </c>
      <c r="F428" t="s">
        <v>991</v>
      </c>
      <c r="G428" t="s">
        <v>74</v>
      </c>
      <c r="H428" t="s">
        <v>74</v>
      </c>
      <c r="I428" t="s">
        <v>8816</v>
      </c>
      <c r="J428" t="s">
        <v>6699</v>
      </c>
      <c r="K428" t="s">
        <v>74</v>
      </c>
      <c r="L428" t="s">
        <v>74</v>
      </c>
      <c r="M428" t="s">
        <v>78</v>
      </c>
      <c r="N428" t="s">
        <v>115</v>
      </c>
      <c r="O428" t="s">
        <v>6700</v>
      </c>
      <c r="P428" t="s">
        <v>6701</v>
      </c>
      <c r="Q428" t="s">
        <v>6702</v>
      </c>
      <c r="R428" t="s">
        <v>6703</v>
      </c>
      <c r="S428" t="s">
        <v>6704</v>
      </c>
      <c r="T428" t="s">
        <v>8817</v>
      </c>
      <c r="U428" t="s">
        <v>74</v>
      </c>
      <c r="V428" t="s">
        <v>8818</v>
      </c>
      <c r="W428" t="s">
        <v>8819</v>
      </c>
      <c r="X428" t="s">
        <v>997</v>
      </c>
      <c r="Y428" t="s">
        <v>8820</v>
      </c>
      <c r="Z428" t="s">
        <v>1773</v>
      </c>
      <c r="AA428" t="s">
        <v>1000</v>
      </c>
      <c r="AB428" t="s">
        <v>1001</v>
      </c>
      <c r="AC428" t="s">
        <v>74</v>
      </c>
      <c r="AD428" t="s">
        <v>74</v>
      </c>
      <c r="AE428" t="s">
        <v>74</v>
      </c>
      <c r="AF428" t="s">
        <v>74</v>
      </c>
      <c r="AG428">
        <v>10</v>
      </c>
      <c r="AH428">
        <v>15</v>
      </c>
      <c r="AI428">
        <v>16</v>
      </c>
      <c r="AJ428">
        <v>0</v>
      </c>
      <c r="AK428">
        <v>5</v>
      </c>
      <c r="AL428" t="s">
        <v>291</v>
      </c>
      <c r="AM428" t="s">
        <v>92</v>
      </c>
      <c r="AN428" t="s">
        <v>292</v>
      </c>
      <c r="AO428" t="s">
        <v>74</v>
      </c>
      <c r="AP428" t="s">
        <v>74</v>
      </c>
      <c r="AQ428" t="s">
        <v>6713</v>
      </c>
      <c r="AR428" t="s">
        <v>74</v>
      </c>
      <c r="AS428" t="s">
        <v>74</v>
      </c>
      <c r="AT428" t="s">
        <v>74</v>
      </c>
      <c r="AU428">
        <v>2016</v>
      </c>
      <c r="AV428" t="s">
        <v>74</v>
      </c>
      <c r="AW428" t="s">
        <v>74</v>
      </c>
      <c r="AX428" t="s">
        <v>74</v>
      </c>
      <c r="AY428" t="s">
        <v>74</v>
      </c>
      <c r="AZ428" t="s">
        <v>74</v>
      </c>
      <c r="BA428" t="s">
        <v>74</v>
      </c>
      <c r="BB428">
        <v>2057</v>
      </c>
      <c r="BC428">
        <v>2060</v>
      </c>
      <c r="BD428" t="s">
        <v>74</v>
      </c>
      <c r="BE428" t="s">
        <v>8821</v>
      </c>
      <c r="BF428" t="str">
        <f>HYPERLINK("http://dx.doi.org/10.1145/2983323.2983908","http://dx.doi.org/10.1145/2983323.2983908")</f>
        <v>http://dx.doi.org/10.1145/2983323.2983908</v>
      </c>
      <c r="BG428" t="s">
        <v>74</v>
      </c>
      <c r="BH428" t="s">
        <v>74</v>
      </c>
      <c r="BI428">
        <v>4</v>
      </c>
      <c r="BJ428" t="s">
        <v>852</v>
      </c>
      <c r="BK428" t="s">
        <v>203</v>
      </c>
      <c r="BL428" t="s">
        <v>103</v>
      </c>
      <c r="BM428" t="s">
        <v>6715</v>
      </c>
      <c r="BN428" t="s">
        <v>74</v>
      </c>
      <c r="BO428" t="s">
        <v>74</v>
      </c>
      <c r="BP428" t="s">
        <v>74</v>
      </c>
      <c r="BQ428" t="s">
        <v>74</v>
      </c>
      <c r="BR428" t="s">
        <v>106</v>
      </c>
      <c r="BS428" t="s">
        <v>8822</v>
      </c>
      <c r="BT428" t="str">
        <f>HYPERLINK("https%3A%2F%2Fwww.webofscience.com%2Fwos%2Fwoscc%2Ffull-record%2FWOS:000390890800237","View Full Record in Web of Science")</f>
        <v>View Full Record in Web of Science</v>
      </c>
    </row>
    <row r="429" spans="1:72" x14ac:dyDescent="0.25">
      <c r="A429" t="s">
        <v>108</v>
      </c>
      <c r="B429" t="s">
        <v>8823</v>
      </c>
      <c r="C429" t="s">
        <v>74</v>
      </c>
      <c r="D429" t="s">
        <v>8824</v>
      </c>
      <c r="E429" t="s">
        <v>74</v>
      </c>
      <c r="F429" t="s">
        <v>8825</v>
      </c>
      <c r="G429" t="s">
        <v>74</v>
      </c>
      <c r="H429" t="s">
        <v>74</v>
      </c>
      <c r="I429" t="s">
        <v>8826</v>
      </c>
      <c r="J429" t="s">
        <v>8827</v>
      </c>
      <c r="K429" t="s">
        <v>147</v>
      </c>
      <c r="L429" t="s">
        <v>74</v>
      </c>
      <c r="M429" t="s">
        <v>78</v>
      </c>
      <c r="N429" t="s">
        <v>115</v>
      </c>
      <c r="O429" t="s">
        <v>8828</v>
      </c>
      <c r="P429" t="s">
        <v>8829</v>
      </c>
      <c r="Q429" t="s">
        <v>8303</v>
      </c>
      <c r="R429" t="s">
        <v>8830</v>
      </c>
      <c r="S429" t="s">
        <v>74</v>
      </c>
      <c r="T429" t="s">
        <v>8831</v>
      </c>
      <c r="U429" t="s">
        <v>8832</v>
      </c>
      <c r="V429" t="s">
        <v>8833</v>
      </c>
      <c r="W429" t="s">
        <v>8834</v>
      </c>
      <c r="X429" t="s">
        <v>8835</v>
      </c>
      <c r="Y429" t="s">
        <v>8836</v>
      </c>
      <c r="Z429" t="s">
        <v>8837</v>
      </c>
      <c r="AA429" t="s">
        <v>8838</v>
      </c>
      <c r="AB429" t="s">
        <v>8839</v>
      </c>
      <c r="AC429" t="s">
        <v>74</v>
      </c>
      <c r="AD429" t="s">
        <v>74</v>
      </c>
      <c r="AE429" t="s">
        <v>74</v>
      </c>
      <c r="AF429" t="s">
        <v>74</v>
      </c>
      <c r="AG429">
        <v>16</v>
      </c>
      <c r="AH429">
        <v>0</v>
      </c>
      <c r="AI429">
        <v>0</v>
      </c>
      <c r="AJ429">
        <v>0</v>
      </c>
      <c r="AK429">
        <v>5</v>
      </c>
      <c r="AL429" t="s">
        <v>129</v>
      </c>
      <c r="AM429" t="s">
        <v>130</v>
      </c>
      <c r="AN429" t="s">
        <v>131</v>
      </c>
      <c r="AO429" t="s">
        <v>159</v>
      </c>
      <c r="AP429" t="s">
        <v>133</v>
      </c>
      <c r="AQ429" t="s">
        <v>8840</v>
      </c>
      <c r="AR429" t="s">
        <v>161</v>
      </c>
      <c r="AS429" t="s">
        <v>74</v>
      </c>
      <c r="AT429" t="s">
        <v>74</v>
      </c>
      <c r="AU429">
        <v>2016</v>
      </c>
      <c r="AV429">
        <v>9877</v>
      </c>
      <c r="AW429" t="s">
        <v>74</v>
      </c>
      <c r="AX429" t="s">
        <v>74</v>
      </c>
      <c r="AY429" t="s">
        <v>74</v>
      </c>
      <c r="AZ429" t="s">
        <v>74</v>
      </c>
      <c r="BA429" t="s">
        <v>74</v>
      </c>
      <c r="BB429">
        <v>31</v>
      </c>
      <c r="BC429">
        <v>42</v>
      </c>
      <c r="BD429" t="s">
        <v>74</v>
      </c>
      <c r="BE429" t="s">
        <v>8841</v>
      </c>
      <c r="BF429" t="str">
        <f>HYPERLINK("http://dx.doi.org/10.1007/978-3-319-46922-5_3","http://dx.doi.org/10.1007/978-3-319-46922-5_3")</f>
        <v>http://dx.doi.org/10.1007/978-3-319-46922-5_3</v>
      </c>
      <c r="BG429" t="s">
        <v>74</v>
      </c>
      <c r="BH429" t="s">
        <v>74</v>
      </c>
      <c r="BI429">
        <v>12</v>
      </c>
      <c r="BJ429" t="s">
        <v>461</v>
      </c>
      <c r="BK429" t="s">
        <v>203</v>
      </c>
      <c r="BL429" t="s">
        <v>103</v>
      </c>
      <c r="BM429" t="s">
        <v>8842</v>
      </c>
      <c r="BN429" t="s">
        <v>74</v>
      </c>
      <c r="BO429" t="s">
        <v>74</v>
      </c>
      <c r="BP429" t="s">
        <v>74</v>
      </c>
      <c r="BQ429" t="s">
        <v>74</v>
      </c>
      <c r="BR429" t="s">
        <v>106</v>
      </c>
      <c r="BS429" t="s">
        <v>8843</v>
      </c>
      <c r="BT429" t="str">
        <f>HYPERLINK("https%3A%2F%2Fwww.webofscience.com%2Fwos%2Fwoscc%2Ffull-record%2FWOS:000388923200003","View Full Record in Web of Science")</f>
        <v>View Full Record in Web of Science</v>
      </c>
    </row>
    <row r="430" spans="1:72" x14ac:dyDescent="0.25">
      <c r="A430" t="s">
        <v>108</v>
      </c>
      <c r="B430" t="s">
        <v>8844</v>
      </c>
      <c r="C430" t="s">
        <v>74</v>
      </c>
      <c r="D430" t="s">
        <v>74</v>
      </c>
      <c r="E430" t="s">
        <v>273</v>
      </c>
      <c r="F430" t="s">
        <v>8845</v>
      </c>
      <c r="G430" t="s">
        <v>74</v>
      </c>
      <c r="H430" t="s">
        <v>74</v>
      </c>
      <c r="I430" t="s">
        <v>8846</v>
      </c>
      <c r="J430" t="s">
        <v>8847</v>
      </c>
      <c r="K430" t="s">
        <v>74</v>
      </c>
      <c r="L430" t="s">
        <v>74</v>
      </c>
      <c r="M430" t="s">
        <v>78</v>
      </c>
      <c r="N430" t="s">
        <v>115</v>
      </c>
      <c r="O430" t="s">
        <v>8848</v>
      </c>
      <c r="P430" t="s">
        <v>8849</v>
      </c>
      <c r="Q430" t="s">
        <v>8850</v>
      </c>
      <c r="R430" t="s">
        <v>8851</v>
      </c>
      <c r="S430" t="s">
        <v>8852</v>
      </c>
      <c r="T430" t="s">
        <v>8853</v>
      </c>
      <c r="U430" t="s">
        <v>8854</v>
      </c>
      <c r="V430" t="s">
        <v>8855</v>
      </c>
      <c r="W430" t="s">
        <v>8856</v>
      </c>
      <c r="X430" t="s">
        <v>8857</v>
      </c>
      <c r="Y430" t="s">
        <v>8858</v>
      </c>
      <c r="Z430" t="s">
        <v>8859</v>
      </c>
      <c r="AA430" t="s">
        <v>8860</v>
      </c>
      <c r="AB430" t="s">
        <v>8861</v>
      </c>
      <c r="AC430" t="s">
        <v>74</v>
      </c>
      <c r="AD430" t="s">
        <v>74</v>
      </c>
      <c r="AE430" t="s">
        <v>74</v>
      </c>
      <c r="AF430" t="s">
        <v>74</v>
      </c>
      <c r="AG430">
        <v>22</v>
      </c>
      <c r="AH430">
        <v>7</v>
      </c>
      <c r="AI430">
        <v>7</v>
      </c>
      <c r="AJ430">
        <v>0</v>
      </c>
      <c r="AK430">
        <v>2</v>
      </c>
      <c r="AL430" t="s">
        <v>291</v>
      </c>
      <c r="AM430" t="s">
        <v>92</v>
      </c>
      <c r="AN430" t="s">
        <v>341</v>
      </c>
      <c r="AO430" t="s">
        <v>74</v>
      </c>
      <c r="AP430" t="s">
        <v>74</v>
      </c>
      <c r="AQ430" t="s">
        <v>8862</v>
      </c>
      <c r="AR430" t="s">
        <v>74</v>
      </c>
      <c r="AS430" t="s">
        <v>74</v>
      </c>
      <c r="AT430" t="s">
        <v>74</v>
      </c>
      <c r="AU430">
        <v>2018</v>
      </c>
      <c r="AV430" t="s">
        <v>74</v>
      </c>
      <c r="AW430" t="s">
        <v>74</v>
      </c>
      <c r="AX430" t="s">
        <v>74</v>
      </c>
      <c r="AY430" t="s">
        <v>74</v>
      </c>
      <c r="AZ430" t="s">
        <v>74</v>
      </c>
      <c r="BA430" t="s">
        <v>74</v>
      </c>
      <c r="BB430">
        <v>97</v>
      </c>
      <c r="BC430">
        <v>101</v>
      </c>
      <c r="BD430" t="s">
        <v>74</v>
      </c>
      <c r="BE430" t="s">
        <v>8863</v>
      </c>
      <c r="BF430" t="str">
        <f>HYPERLINK("http://dx.doi.org/10.1145/3213586.3226218","http://dx.doi.org/10.1145/3213586.3226218")</f>
        <v>http://dx.doi.org/10.1145/3213586.3226218</v>
      </c>
      <c r="BG430" t="s">
        <v>74</v>
      </c>
      <c r="BH430" t="s">
        <v>74</v>
      </c>
      <c r="BI430">
        <v>5</v>
      </c>
      <c r="BJ430" t="s">
        <v>7124</v>
      </c>
      <c r="BK430" t="s">
        <v>203</v>
      </c>
      <c r="BL430" t="s">
        <v>103</v>
      </c>
      <c r="BM430" t="s">
        <v>8864</v>
      </c>
      <c r="BN430" t="s">
        <v>74</v>
      </c>
      <c r="BO430" t="s">
        <v>74</v>
      </c>
      <c r="BP430" t="s">
        <v>74</v>
      </c>
      <c r="BQ430" t="s">
        <v>74</v>
      </c>
      <c r="BR430" t="s">
        <v>106</v>
      </c>
      <c r="BS430" t="s">
        <v>8865</v>
      </c>
      <c r="BT430" t="str">
        <f>HYPERLINK("https%3A%2F%2Fwww.webofscience.com%2Fwos%2Fwoscc%2Ffull-record%2FWOS:000861551600015","View Full Record in Web of Science")</f>
        <v>View Full Record in Web of Science</v>
      </c>
    </row>
    <row r="431" spans="1:72" x14ac:dyDescent="0.25">
      <c r="A431" t="s">
        <v>108</v>
      </c>
      <c r="B431" t="s">
        <v>8866</v>
      </c>
      <c r="C431" t="s">
        <v>74</v>
      </c>
      <c r="D431" t="s">
        <v>74</v>
      </c>
      <c r="E431" t="s">
        <v>273</v>
      </c>
      <c r="F431" t="s">
        <v>8867</v>
      </c>
      <c r="G431" t="s">
        <v>74</v>
      </c>
      <c r="H431" t="s">
        <v>74</v>
      </c>
      <c r="I431" t="s">
        <v>8868</v>
      </c>
      <c r="J431" t="s">
        <v>8869</v>
      </c>
      <c r="K431" t="s">
        <v>74</v>
      </c>
      <c r="L431" t="s">
        <v>74</v>
      </c>
      <c r="M431" t="s">
        <v>78</v>
      </c>
      <c r="N431" t="s">
        <v>115</v>
      </c>
      <c r="O431" t="s">
        <v>2763</v>
      </c>
      <c r="P431" t="s">
        <v>2764</v>
      </c>
      <c r="Q431" t="s">
        <v>2765</v>
      </c>
      <c r="R431" t="s">
        <v>2766</v>
      </c>
      <c r="S431" t="s">
        <v>74</v>
      </c>
      <c r="T431" t="s">
        <v>8870</v>
      </c>
      <c r="U431" t="s">
        <v>74</v>
      </c>
      <c r="V431" t="s">
        <v>8871</v>
      </c>
      <c r="W431" t="s">
        <v>8872</v>
      </c>
      <c r="X431" t="s">
        <v>8873</v>
      </c>
      <c r="Y431" t="s">
        <v>8874</v>
      </c>
      <c r="Z431" t="s">
        <v>8875</v>
      </c>
      <c r="AA431" t="s">
        <v>74</v>
      </c>
      <c r="AB431" t="s">
        <v>74</v>
      </c>
      <c r="AC431" t="s">
        <v>8876</v>
      </c>
      <c r="AD431" t="s">
        <v>8877</v>
      </c>
      <c r="AE431" t="s">
        <v>8878</v>
      </c>
      <c r="AF431" t="s">
        <v>74</v>
      </c>
      <c r="AG431">
        <v>25</v>
      </c>
      <c r="AH431">
        <v>57</v>
      </c>
      <c r="AI431">
        <v>74</v>
      </c>
      <c r="AJ431">
        <v>1</v>
      </c>
      <c r="AK431">
        <v>5</v>
      </c>
      <c r="AL431" t="s">
        <v>291</v>
      </c>
      <c r="AM431" t="s">
        <v>92</v>
      </c>
      <c r="AN431" t="s">
        <v>341</v>
      </c>
      <c r="AO431" t="s">
        <v>74</v>
      </c>
      <c r="AP431" t="s">
        <v>74</v>
      </c>
      <c r="AQ431" t="s">
        <v>8879</v>
      </c>
      <c r="AR431" t="s">
        <v>74</v>
      </c>
      <c r="AS431" t="s">
        <v>74</v>
      </c>
      <c r="AT431" t="s">
        <v>74</v>
      </c>
      <c r="AU431">
        <v>2014</v>
      </c>
      <c r="AV431" t="s">
        <v>74</v>
      </c>
      <c r="AW431" t="s">
        <v>74</v>
      </c>
      <c r="AX431" t="s">
        <v>74</v>
      </c>
      <c r="AY431" t="s">
        <v>74</v>
      </c>
      <c r="AZ431" t="s">
        <v>74</v>
      </c>
      <c r="BA431" t="s">
        <v>74</v>
      </c>
      <c r="BB431">
        <v>819</v>
      </c>
      <c r="BC431">
        <v>829</v>
      </c>
      <c r="BD431" t="s">
        <v>74</v>
      </c>
      <c r="BE431" t="s">
        <v>8880</v>
      </c>
      <c r="BF431" t="str">
        <f>HYPERLINK("http://dx.doi.org/10.1145/2566486.2568045","http://dx.doi.org/10.1145/2566486.2568045")</f>
        <v>http://dx.doi.org/10.1145/2566486.2568045</v>
      </c>
      <c r="BG431" t="s">
        <v>74</v>
      </c>
      <c r="BH431" t="s">
        <v>74</v>
      </c>
      <c r="BI431">
        <v>11</v>
      </c>
      <c r="BJ431" t="s">
        <v>696</v>
      </c>
      <c r="BK431" t="s">
        <v>203</v>
      </c>
      <c r="BL431" t="s">
        <v>103</v>
      </c>
      <c r="BM431" t="s">
        <v>8881</v>
      </c>
      <c r="BN431" t="s">
        <v>74</v>
      </c>
      <c r="BO431" t="s">
        <v>74</v>
      </c>
      <c r="BP431" t="s">
        <v>74</v>
      </c>
      <c r="BQ431" t="s">
        <v>74</v>
      </c>
      <c r="BR431" t="s">
        <v>106</v>
      </c>
      <c r="BS431" t="s">
        <v>8882</v>
      </c>
      <c r="BT431" t="str">
        <f>HYPERLINK("https%3A%2F%2Fwww.webofscience.com%2Fwos%2Fwoscc%2Ffull-record%2FWOS:000455945100074","View Full Record in Web of Science")</f>
        <v>View Full Record in Web of Science</v>
      </c>
    </row>
    <row r="432" spans="1:72" x14ac:dyDescent="0.25">
      <c r="A432" t="s">
        <v>72</v>
      </c>
      <c r="B432" t="s">
        <v>8883</v>
      </c>
      <c r="C432" t="s">
        <v>74</v>
      </c>
      <c r="D432" t="s">
        <v>74</v>
      </c>
      <c r="E432" t="s">
        <v>74</v>
      </c>
      <c r="F432" t="s">
        <v>8884</v>
      </c>
      <c r="G432" t="s">
        <v>74</v>
      </c>
      <c r="H432" t="s">
        <v>74</v>
      </c>
      <c r="I432" t="s">
        <v>8885</v>
      </c>
      <c r="J432" t="s">
        <v>8886</v>
      </c>
      <c r="K432" t="s">
        <v>74</v>
      </c>
      <c r="L432" t="s">
        <v>74</v>
      </c>
      <c r="M432" t="s">
        <v>78</v>
      </c>
      <c r="N432" t="s">
        <v>79</v>
      </c>
      <c r="O432" t="s">
        <v>74</v>
      </c>
      <c r="P432" t="s">
        <v>74</v>
      </c>
      <c r="Q432" t="s">
        <v>74</v>
      </c>
      <c r="R432" t="s">
        <v>74</v>
      </c>
      <c r="S432" t="s">
        <v>74</v>
      </c>
      <c r="T432" t="s">
        <v>8887</v>
      </c>
      <c r="U432" t="s">
        <v>74</v>
      </c>
      <c r="V432" t="s">
        <v>8888</v>
      </c>
      <c r="W432" t="s">
        <v>8889</v>
      </c>
      <c r="X432" t="s">
        <v>8890</v>
      </c>
      <c r="Y432" t="s">
        <v>8891</v>
      </c>
      <c r="Z432" t="s">
        <v>8892</v>
      </c>
      <c r="AA432" t="s">
        <v>74</v>
      </c>
      <c r="AB432" t="s">
        <v>74</v>
      </c>
      <c r="AC432" t="s">
        <v>74</v>
      </c>
      <c r="AD432" t="s">
        <v>74</v>
      </c>
      <c r="AE432" t="s">
        <v>74</v>
      </c>
      <c r="AF432" t="s">
        <v>74</v>
      </c>
      <c r="AG432">
        <v>34</v>
      </c>
      <c r="AH432">
        <v>2</v>
      </c>
      <c r="AI432">
        <v>2</v>
      </c>
      <c r="AJ432">
        <v>6</v>
      </c>
      <c r="AK432">
        <v>21</v>
      </c>
      <c r="AL432" t="s">
        <v>389</v>
      </c>
      <c r="AM432" t="s">
        <v>390</v>
      </c>
      <c r="AN432" t="s">
        <v>391</v>
      </c>
      <c r="AO432" t="s">
        <v>8893</v>
      </c>
      <c r="AP432" t="s">
        <v>74</v>
      </c>
      <c r="AQ432" t="s">
        <v>74</v>
      </c>
      <c r="AR432" t="s">
        <v>8894</v>
      </c>
      <c r="AS432" t="s">
        <v>8895</v>
      </c>
      <c r="AT432" t="s">
        <v>8896</v>
      </c>
      <c r="AU432">
        <v>2025</v>
      </c>
      <c r="AV432">
        <v>19</v>
      </c>
      <c r="AW432" t="s">
        <v>74</v>
      </c>
      <c r="AX432" t="s">
        <v>74</v>
      </c>
      <c r="AY432" t="s">
        <v>74</v>
      </c>
      <c r="AZ432" t="s">
        <v>74</v>
      </c>
      <c r="BA432" t="s">
        <v>74</v>
      </c>
      <c r="BB432" t="s">
        <v>74</v>
      </c>
      <c r="BC432" t="s">
        <v>74</v>
      </c>
      <c r="BD432">
        <v>1587973</v>
      </c>
      <c r="BE432" t="s">
        <v>8897</v>
      </c>
      <c r="BF432" t="str">
        <f>HYPERLINK("http://dx.doi.org/10.3389/fnbot.2025.1587973","http://dx.doi.org/10.3389/fnbot.2025.1587973")</f>
        <v>http://dx.doi.org/10.3389/fnbot.2025.1587973</v>
      </c>
      <c r="BG432" t="s">
        <v>74</v>
      </c>
      <c r="BH432" t="s">
        <v>74</v>
      </c>
      <c r="BI432">
        <v>14</v>
      </c>
      <c r="BJ432" t="s">
        <v>8898</v>
      </c>
      <c r="BK432" t="s">
        <v>902</v>
      </c>
      <c r="BL432" t="s">
        <v>8899</v>
      </c>
      <c r="BM432" t="s">
        <v>8900</v>
      </c>
      <c r="BN432" t="s">
        <v>74</v>
      </c>
      <c r="BO432" t="s">
        <v>398</v>
      </c>
      <c r="BP432" t="s">
        <v>74</v>
      </c>
      <c r="BQ432" t="s">
        <v>74</v>
      </c>
      <c r="BR432" t="s">
        <v>106</v>
      </c>
      <c r="BS432" t="s">
        <v>8901</v>
      </c>
      <c r="BT432" t="str">
        <f>HYPERLINK("https%3A%2F%2Fwww.webofscience.com%2Fwos%2Fwoscc%2Ffull-record%2FWOS:001521094700001","View Full Record in Web of Science")</f>
        <v>View Full Record in Web of Science</v>
      </c>
    </row>
    <row r="433" spans="1:72" x14ac:dyDescent="0.25">
      <c r="A433" t="s">
        <v>72</v>
      </c>
      <c r="B433" t="s">
        <v>2401</v>
      </c>
      <c r="C433" t="s">
        <v>74</v>
      </c>
      <c r="D433" t="s">
        <v>74</v>
      </c>
      <c r="E433" t="s">
        <v>74</v>
      </c>
      <c r="F433" t="s">
        <v>2403</v>
      </c>
      <c r="G433" t="s">
        <v>74</v>
      </c>
      <c r="H433" t="s">
        <v>74</v>
      </c>
      <c r="I433" t="s">
        <v>8902</v>
      </c>
      <c r="J433" t="s">
        <v>8903</v>
      </c>
      <c r="K433" t="s">
        <v>74</v>
      </c>
      <c r="L433" t="s">
        <v>74</v>
      </c>
      <c r="M433" t="s">
        <v>78</v>
      </c>
      <c r="N433" t="s">
        <v>79</v>
      </c>
      <c r="O433" t="s">
        <v>74</v>
      </c>
      <c r="P433" t="s">
        <v>74</v>
      </c>
      <c r="Q433" t="s">
        <v>74</v>
      </c>
      <c r="R433" t="s">
        <v>74</v>
      </c>
      <c r="S433" t="s">
        <v>74</v>
      </c>
      <c r="T433" t="s">
        <v>8904</v>
      </c>
      <c r="U433" t="s">
        <v>74</v>
      </c>
      <c r="V433" t="s">
        <v>8905</v>
      </c>
      <c r="W433" t="s">
        <v>8906</v>
      </c>
      <c r="X433" t="s">
        <v>74</v>
      </c>
      <c r="Y433" t="s">
        <v>8907</v>
      </c>
      <c r="Z433" t="s">
        <v>2412</v>
      </c>
      <c r="AA433" t="s">
        <v>2413</v>
      </c>
      <c r="AB433" t="s">
        <v>3946</v>
      </c>
      <c r="AC433" t="s">
        <v>74</v>
      </c>
      <c r="AD433" t="s">
        <v>74</v>
      </c>
      <c r="AE433" t="s">
        <v>74</v>
      </c>
      <c r="AF433" t="s">
        <v>74</v>
      </c>
      <c r="AG433">
        <v>39</v>
      </c>
      <c r="AH433">
        <v>13</v>
      </c>
      <c r="AI433">
        <v>13</v>
      </c>
      <c r="AJ433">
        <v>0</v>
      </c>
      <c r="AK433">
        <v>6</v>
      </c>
      <c r="AL433" t="s">
        <v>2179</v>
      </c>
      <c r="AM433" t="s">
        <v>363</v>
      </c>
      <c r="AN433" t="s">
        <v>2180</v>
      </c>
      <c r="AO433" t="s">
        <v>8908</v>
      </c>
      <c r="AP433" t="s">
        <v>8909</v>
      </c>
      <c r="AQ433" t="s">
        <v>74</v>
      </c>
      <c r="AR433" t="s">
        <v>8910</v>
      </c>
      <c r="AS433" t="s">
        <v>8911</v>
      </c>
      <c r="AT433" t="s">
        <v>74</v>
      </c>
      <c r="AU433">
        <v>2006</v>
      </c>
      <c r="AV433">
        <v>19</v>
      </c>
      <c r="AW433">
        <v>3</v>
      </c>
      <c r="AX433" t="s">
        <v>74</v>
      </c>
      <c r="AY433" t="s">
        <v>74</v>
      </c>
      <c r="AZ433" t="s">
        <v>74</v>
      </c>
      <c r="BA433" t="s">
        <v>74</v>
      </c>
      <c r="BB433">
        <v>207</v>
      </c>
      <c r="BC433">
        <v>227</v>
      </c>
      <c r="BD433" t="s">
        <v>74</v>
      </c>
      <c r="BE433" t="s">
        <v>74</v>
      </c>
      <c r="BF433" t="s">
        <v>74</v>
      </c>
      <c r="BG433" t="s">
        <v>74</v>
      </c>
      <c r="BH433" t="s">
        <v>74</v>
      </c>
      <c r="BI433">
        <v>21</v>
      </c>
      <c r="BJ433" t="s">
        <v>807</v>
      </c>
      <c r="BK433" t="s">
        <v>902</v>
      </c>
      <c r="BL433" t="s">
        <v>103</v>
      </c>
      <c r="BM433" t="s">
        <v>8912</v>
      </c>
      <c r="BN433" t="s">
        <v>74</v>
      </c>
      <c r="BO433" t="s">
        <v>74</v>
      </c>
      <c r="BP433" t="s">
        <v>74</v>
      </c>
      <c r="BQ433" t="s">
        <v>74</v>
      </c>
      <c r="BR433" t="s">
        <v>106</v>
      </c>
      <c r="BS433" t="s">
        <v>8913</v>
      </c>
      <c r="BT433" t="str">
        <f>HYPERLINK("https%3A%2F%2Fwww.webofscience.com%2Fwos%2Fwoscc%2Ffull-record%2FWOS:000240601100002","View Full Record in Web of Science")</f>
        <v>View Full Record in Web of Science</v>
      </c>
    </row>
    <row r="434" spans="1:72" x14ac:dyDescent="0.25">
      <c r="A434" t="s">
        <v>108</v>
      </c>
      <c r="B434" t="s">
        <v>8914</v>
      </c>
      <c r="C434" t="s">
        <v>74</v>
      </c>
      <c r="D434" t="s">
        <v>6158</v>
      </c>
      <c r="E434" t="s">
        <v>74</v>
      </c>
      <c r="F434" t="s">
        <v>8915</v>
      </c>
      <c r="G434" t="s">
        <v>74</v>
      </c>
      <c r="H434" t="s">
        <v>74</v>
      </c>
      <c r="I434" t="s">
        <v>8916</v>
      </c>
      <c r="J434" t="s">
        <v>6161</v>
      </c>
      <c r="K434" t="s">
        <v>74</v>
      </c>
      <c r="L434" t="s">
        <v>74</v>
      </c>
      <c r="M434" t="s">
        <v>78</v>
      </c>
      <c r="N434" t="s">
        <v>115</v>
      </c>
      <c r="O434" t="s">
        <v>6162</v>
      </c>
      <c r="P434" t="s">
        <v>6163</v>
      </c>
      <c r="Q434" t="s">
        <v>6164</v>
      </c>
      <c r="R434" t="s">
        <v>6165</v>
      </c>
      <c r="S434" t="s">
        <v>74</v>
      </c>
      <c r="T434" t="s">
        <v>8917</v>
      </c>
      <c r="U434" t="s">
        <v>74</v>
      </c>
      <c r="V434" t="s">
        <v>8918</v>
      </c>
      <c r="W434" t="s">
        <v>8919</v>
      </c>
      <c r="X434" t="s">
        <v>8920</v>
      </c>
      <c r="Y434" t="s">
        <v>8921</v>
      </c>
      <c r="Z434" t="s">
        <v>8922</v>
      </c>
      <c r="AA434" t="s">
        <v>74</v>
      </c>
      <c r="AB434" t="s">
        <v>74</v>
      </c>
      <c r="AC434" t="s">
        <v>74</v>
      </c>
      <c r="AD434" t="s">
        <v>74</v>
      </c>
      <c r="AE434" t="s">
        <v>74</v>
      </c>
      <c r="AF434" t="s">
        <v>74</v>
      </c>
      <c r="AG434">
        <v>30</v>
      </c>
      <c r="AH434">
        <v>4</v>
      </c>
      <c r="AI434">
        <v>5</v>
      </c>
      <c r="AJ434">
        <v>0</v>
      </c>
      <c r="AK434">
        <v>0</v>
      </c>
      <c r="AL434" t="s">
        <v>465</v>
      </c>
      <c r="AM434" t="s">
        <v>92</v>
      </c>
      <c r="AN434" t="s">
        <v>480</v>
      </c>
      <c r="AO434" t="s">
        <v>74</v>
      </c>
      <c r="AP434" t="s">
        <v>74</v>
      </c>
      <c r="AQ434" t="s">
        <v>6176</v>
      </c>
      <c r="AR434" t="s">
        <v>74</v>
      </c>
      <c r="AS434" t="s">
        <v>74</v>
      </c>
      <c r="AT434" t="s">
        <v>74</v>
      </c>
      <c r="AU434">
        <v>2015</v>
      </c>
      <c r="AV434" t="s">
        <v>74</v>
      </c>
      <c r="AW434" t="s">
        <v>74</v>
      </c>
      <c r="AX434" t="s">
        <v>74</v>
      </c>
      <c r="AY434" t="s">
        <v>74</v>
      </c>
      <c r="AZ434" t="s">
        <v>74</v>
      </c>
      <c r="BA434" t="s">
        <v>74</v>
      </c>
      <c r="BB434">
        <v>767</v>
      </c>
      <c r="BC434">
        <v>775</v>
      </c>
      <c r="BD434" t="s">
        <v>74</v>
      </c>
      <c r="BE434" t="s">
        <v>74</v>
      </c>
      <c r="BF434" t="s">
        <v>74</v>
      </c>
      <c r="BG434" t="s">
        <v>74</v>
      </c>
      <c r="BH434" t="s">
        <v>74</v>
      </c>
      <c r="BI434">
        <v>9</v>
      </c>
      <c r="BJ434" t="s">
        <v>6177</v>
      </c>
      <c r="BK434" t="s">
        <v>203</v>
      </c>
      <c r="BL434" t="s">
        <v>953</v>
      </c>
      <c r="BM434" t="s">
        <v>6178</v>
      </c>
      <c r="BN434" t="s">
        <v>74</v>
      </c>
      <c r="BO434" t="s">
        <v>74</v>
      </c>
      <c r="BP434" t="s">
        <v>74</v>
      </c>
      <c r="BQ434" t="s">
        <v>74</v>
      </c>
      <c r="BR434" t="s">
        <v>106</v>
      </c>
      <c r="BS434" t="s">
        <v>8923</v>
      </c>
      <c r="BT434" t="str">
        <f>HYPERLINK("https%3A%2F%2Fwww.webofscience.com%2Fwos%2Fwoscc%2Ffull-record%2FWOS:000380404600090","View Full Record in Web of Science")</f>
        <v>View Full Record in Web of Science</v>
      </c>
    </row>
    <row r="435" spans="1:72" x14ac:dyDescent="0.25">
      <c r="A435" t="s">
        <v>108</v>
      </c>
      <c r="B435" t="s">
        <v>8924</v>
      </c>
      <c r="C435" t="s">
        <v>74</v>
      </c>
      <c r="D435" t="s">
        <v>74</v>
      </c>
      <c r="E435" t="s">
        <v>465</v>
      </c>
      <c r="F435" t="s">
        <v>8925</v>
      </c>
      <c r="G435" t="s">
        <v>74</v>
      </c>
      <c r="H435" t="s">
        <v>74</v>
      </c>
      <c r="I435" t="s">
        <v>8926</v>
      </c>
      <c r="J435" t="s">
        <v>8927</v>
      </c>
      <c r="K435" t="s">
        <v>6744</v>
      </c>
      <c r="L435" t="s">
        <v>74</v>
      </c>
      <c r="M435" t="s">
        <v>78</v>
      </c>
      <c r="N435" t="s">
        <v>115</v>
      </c>
      <c r="O435" t="s">
        <v>8928</v>
      </c>
      <c r="P435" t="s">
        <v>8929</v>
      </c>
      <c r="Q435" t="s">
        <v>8930</v>
      </c>
      <c r="R435" t="s">
        <v>8931</v>
      </c>
      <c r="S435" t="s">
        <v>74</v>
      </c>
      <c r="T435" t="s">
        <v>8932</v>
      </c>
      <c r="U435" t="s">
        <v>74</v>
      </c>
      <c r="V435" t="s">
        <v>8933</v>
      </c>
      <c r="W435" t="s">
        <v>8934</v>
      </c>
      <c r="X435" t="s">
        <v>8935</v>
      </c>
      <c r="Y435" t="s">
        <v>8936</v>
      </c>
      <c r="Z435" t="s">
        <v>8937</v>
      </c>
      <c r="AA435" t="s">
        <v>74</v>
      </c>
      <c r="AB435" t="s">
        <v>74</v>
      </c>
      <c r="AC435" t="s">
        <v>74</v>
      </c>
      <c r="AD435" t="s">
        <v>74</v>
      </c>
      <c r="AE435" t="s">
        <v>74</v>
      </c>
      <c r="AF435" t="s">
        <v>74</v>
      </c>
      <c r="AG435">
        <v>21</v>
      </c>
      <c r="AH435">
        <v>4</v>
      </c>
      <c r="AI435">
        <v>4</v>
      </c>
      <c r="AJ435">
        <v>0</v>
      </c>
      <c r="AK435">
        <v>0</v>
      </c>
      <c r="AL435" t="s">
        <v>8938</v>
      </c>
      <c r="AM435" t="s">
        <v>92</v>
      </c>
      <c r="AN435" t="s">
        <v>480</v>
      </c>
      <c r="AO435" t="s">
        <v>6754</v>
      </c>
      <c r="AP435" t="s">
        <v>74</v>
      </c>
      <c r="AQ435" t="s">
        <v>8939</v>
      </c>
      <c r="AR435" t="s">
        <v>6756</v>
      </c>
      <c r="AS435" t="s">
        <v>74</v>
      </c>
      <c r="AT435" t="s">
        <v>74</v>
      </c>
      <c r="AU435">
        <v>2014</v>
      </c>
      <c r="AV435" t="s">
        <v>74</v>
      </c>
      <c r="AW435" t="s">
        <v>74</v>
      </c>
      <c r="AX435" t="s">
        <v>74</v>
      </c>
      <c r="AY435" t="s">
        <v>74</v>
      </c>
      <c r="AZ435" t="s">
        <v>74</v>
      </c>
      <c r="BA435" t="s">
        <v>74</v>
      </c>
      <c r="BB435" t="s">
        <v>74</v>
      </c>
      <c r="BC435" t="s">
        <v>74</v>
      </c>
      <c r="BD435" t="s">
        <v>74</v>
      </c>
      <c r="BE435" t="s">
        <v>74</v>
      </c>
      <c r="BF435" t="s">
        <v>74</v>
      </c>
      <c r="BG435" t="s">
        <v>74</v>
      </c>
      <c r="BH435" t="s">
        <v>74</v>
      </c>
      <c r="BI435">
        <v>6</v>
      </c>
      <c r="BJ435" t="s">
        <v>4990</v>
      </c>
      <c r="BK435" t="s">
        <v>203</v>
      </c>
      <c r="BL435" t="s">
        <v>953</v>
      </c>
      <c r="BM435" t="s">
        <v>8940</v>
      </c>
      <c r="BN435" t="s">
        <v>74</v>
      </c>
      <c r="BO435" t="s">
        <v>74</v>
      </c>
      <c r="BP435" t="s">
        <v>74</v>
      </c>
      <c r="BQ435" t="s">
        <v>74</v>
      </c>
      <c r="BR435" t="s">
        <v>106</v>
      </c>
      <c r="BS435" t="s">
        <v>8941</v>
      </c>
      <c r="BT435" t="str">
        <f>HYPERLINK("https%3A%2F%2Fwww.webofscience.com%2Fwos%2Fwoscc%2Ffull-record%2FWOS:000356046900041","View Full Record in Web of Science")</f>
        <v>View Full Record in Web of Science</v>
      </c>
    </row>
    <row r="436" spans="1:72" x14ac:dyDescent="0.25">
      <c r="A436" t="s">
        <v>108</v>
      </c>
      <c r="B436" t="s">
        <v>8942</v>
      </c>
      <c r="C436" t="s">
        <v>74</v>
      </c>
      <c r="D436" t="s">
        <v>74</v>
      </c>
      <c r="E436" t="s">
        <v>7337</v>
      </c>
      <c r="F436" t="s">
        <v>8943</v>
      </c>
      <c r="G436" t="s">
        <v>74</v>
      </c>
      <c r="H436" t="s">
        <v>74</v>
      </c>
      <c r="I436" t="s">
        <v>8944</v>
      </c>
      <c r="J436" t="s">
        <v>8945</v>
      </c>
      <c r="K436" t="s">
        <v>8946</v>
      </c>
      <c r="L436" t="s">
        <v>74</v>
      </c>
      <c r="M436" t="s">
        <v>78</v>
      </c>
      <c r="N436" t="s">
        <v>115</v>
      </c>
      <c r="O436" t="s">
        <v>8947</v>
      </c>
      <c r="P436" t="s">
        <v>8948</v>
      </c>
      <c r="Q436" t="s">
        <v>4669</v>
      </c>
      <c r="R436" t="s">
        <v>1748</v>
      </c>
      <c r="S436" t="s">
        <v>74</v>
      </c>
      <c r="T436" t="s">
        <v>8949</v>
      </c>
      <c r="U436" t="s">
        <v>74</v>
      </c>
      <c r="V436" t="s">
        <v>8950</v>
      </c>
      <c r="W436" t="s">
        <v>8951</v>
      </c>
      <c r="X436" t="s">
        <v>8952</v>
      </c>
      <c r="Y436" t="s">
        <v>8953</v>
      </c>
      <c r="Z436" t="s">
        <v>8954</v>
      </c>
      <c r="AA436" t="s">
        <v>8955</v>
      </c>
      <c r="AB436" t="s">
        <v>8956</v>
      </c>
      <c r="AC436" t="s">
        <v>8952</v>
      </c>
      <c r="AD436" t="s">
        <v>8952</v>
      </c>
      <c r="AE436" t="s">
        <v>8957</v>
      </c>
      <c r="AF436" t="s">
        <v>74</v>
      </c>
      <c r="AG436">
        <v>66</v>
      </c>
      <c r="AH436">
        <v>22</v>
      </c>
      <c r="AI436">
        <v>24</v>
      </c>
      <c r="AJ436">
        <v>0</v>
      </c>
      <c r="AK436">
        <v>4</v>
      </c>
      <c r="AL436" t="s">
        <v>947</v>
      </c>
      <c r="AM436" t="s">
        <v>948</v>
      </c>
      <c r="AN436" t="s">
        <v>949</v>
      </c>
      <c r="AO436" t="s">
        <v>8958</v>
      </c>
      <c r="AP436" t="s">
        <v>74</v>
      </c>
      <c r="AQ436" t="s">
        <v>8959</v>
      </c>
      <c r="AR436" t="s">
        <v>8960</v>
      </c>
      <c r="AS436" t="s">
        <v>74</v>
      </c>
      <c r="AT436" t="s">
        <v>74</v>
      </c>
      <c r="AU436">
        <v>2022</v>
      </c>
      <c r="AV436" t="s">
        <v>74</v>
      </c>
      <c r="AW436" t="s">
        <v>74</v>
      </c>
      <c r="AX436" t="s">
        <v>74</v>
      </c>
      <c r="AY436" t="s">
        <v>74</v>
      </c>
      <c r="AZ436" t="s">
        <v>74</v>
      </c>
      <c r="BA436" t="s">
        <v>74</v>
      </c>
      <c r="BB436">
        <v>3453</v>
      </c>
      <c r="BC436">
        <v>3466</v>
      </c>
      <c r="BD436" t="s">
        <v>74</v>
      </c>
      <c r="BE436" t="s">
        <v>8961</v>
      </c>
      <c r="BF436" t="str">
        <f>HYPERLINK("http://dx.doi.org/10.1109/ICDE53745.2022.00324","http://dx.doi.org/10.1109/ICDE53745.2022.00324")</f>
        <v>http://dx.doi.org/10.1109/ICDE53745.2022.00324</v>
      </c>
      <c r="BG436" t="s">
        <v>74</v>
      </c>
      <c r="BH436" t="s">
        <v>74</v>
      </c>
      <c r="BI436">
        <v>14</v>
      </c>
      <c r="BJ436" t="s">
        <v>461</v>
      </c>
      <c r="BK436" t="s">
        <v>203</v>
      </c>
      <c r="BL436" t="s">
        <v>103</v>
      </c>
      <c r="BM436" t="s">
        <v>8962</v>
      </c>
      <c r="BN436" t="s">
        <v>74</v>
      </c>
      <c r="BO436" t="s">
        <v>74</v>
      </c>
      <c r="BP436" t="s">
        <v>74</v>
      </c>
      <c r="BQ436" t="s">
        <v>74</v>
      </c>
      <c r="BR436" t="s">
        <v>106</v>
      </c>
      <c r="BS436" t="s">
        <v>8963</v>
      </c>
      <c r="BT436" t="str">
        <f>HYPERLINK("https%3A%2F%2Fwww.webofscience.com%2Fwos%2Fwoscc%2Ffull-record%2FWOS:000855078403059","View Full Record in Web of Science")</f>
        <v>View Full Record in Web of Science</v>
      </c>
    </row>
    <row r="437" spans="1:72" x14ac:dyDescent="0.25">
      <c r="A437" t="s">
        <v>72</v>
      </c>
      <c r="B437" t="s">
        <v>8964</v>
      </c>
      <c r="C437" t="s">
        <v>74</v>
      </c>
      <c r="D437" t="s">
        <v>74</v>
      </c>
      <c r="E437" t="s">
        <v>74</v>
      </c>
      <c r="F437" t="s">
        <v>8965</v>
      </c>
      <c r="G437" t="s">
        <v>74</v>
      </c>
      <c r="H437" t="s">
        <v>74</v>
      </c>
      <c r="I437" t="s">
        <v>8966</v>
      </c>
      <c r="J437" t="s">
        <v>8967</v>
      </c>
      <c r="K437" t="s">
        <v>74</v>
      </c>
      <c r="L437" t="s">
        <v>74</v>
      </c>
      <c r="M437" t="s">
        <v>78</v>
      </c>
      <c r="N437" t="s">
        <v>79</v>
      </c>
      <c r="O437" t="s">
        <v>74</v>
      </c>
      <c r="P437" t="s">
        <v>74</v>
      </c>
      <c r="Q437" t="s">
        <v>74</v>
      </c>
      <c r="R437" t="s">
        <v>74</v>
      </c>
      <c r="S437" t="s">
        <v>74</v>
      </c>
      <c r="T437" t="s">
        <v>8968</v>
      </c>
      <c r="U437" t="s">
        <v>8969</v>
      </c>
      <c r="V437" t="s">
        <v>8970</v>
      </c>
      <c r="W437" t="s">
        <v>8971</v>
      </c>
      <c r="X437" t="s">
        <v>8972</v>
      </c>
      <c r="Y437" t="s">
        <v>8973</v>
      </c>
      <c r="Z437" t="s">
        <v>8974</v>
      </c>
      <c r="AA437" t="s">
        <v>8975</v>
      </c>
      <c r="AB437" t="s">
        <v>8976</v>
      </c>
      <c r="AC437" t="s">
        <v>74</v>
      </c>
      <c r="AD437" t="s">
        <v>74</v>
      </c>
      <c r="AE437" t="s">
        <v>74</v>
      </c>
      <c r="AF437" t="s">
        <v>74</v>
      </c>
      <c r="AG437">
        <v>64</v>
      </c>
      <c r="AH437">
        <v>2</v>
      </c>
      <c r="AI437">
        <v>3</v>
      </c>
      <c r="AJ437">
        <v>1</v>
      </c>
      <c r="AK437">
        <v>18</v>
      </c>
      <c r="AL437" t="s">
        <v>8977</v>
      </c>
      <c r="AM437" t="s">
        <v>8978</v>
      </c>
      <c r="AN437" t="s">
        <v>8979</v>
      </c>
      <c r="AO437" t="s">
        <v>8980</v>
      </c>
      <c r="AP437" t="s">
        <v>74</v>
      </c>
      <c r="AQ437" t="s">
        <v>74</v>
      </c>
      <c r="AR437" t="s">
        <v>8981</v>
      </c>
      <c r="AS437" t="s">
        <v>8982</v>
      </c>
      <c r="AT437" t="s">
        <v>74</v>
      </c>
      <c r="AU437">
        <v>2022</v>
      </c>
      <c r="AV437">
        <v>35</v>
      </c>
      <c r="AW437">
        <v>3</v>
      </c>
      <c r="AX437" t="s">
        <v>74</v>
      </c>
      <c r="AY437" t="s">
        <v>74</v>
      </c>
      <c r="AZ437" t="s">
        <v>74</v>
      </c>
      <c r="BA437" t="s">
        <v>74</v>
      </c>
      <c r="BB437">
        <v>201</v>
      </c>
      <c r="BC437">
        <v>221</v>
      </c>
      <c r="BD437" t="s">
        <v>74</v>
      </c>
      <c r="BE437" t="s">
        <v>8983</v>
      </c>
      <c r="BF437" t="str">
        <f>HYPERLINK("http://dx.doi.org/10.22452/mjcs.vol35no3.2","http://dx.doi.org/10.22452/mjcs.vol35no3.2")</f>
        <v>http://dx.doi.org/10.22452/mjcs.vol35no3.2</v>
      </c>
      <c r="BG437" t="s">
        <v>74</v>
      </c>
      <c r="BH437" t="s">
        <v>74</v>
      </c>
      <c r="BI437">
        <v>21</v>
      </c>
      <c r="BJ437" t="s">
        <v>1399</v>
      </c>
      <c r="BK437" t="s">
        <v>902</v>
      </c>
      <c r="BL437" t="s">
        <v>103</v>
      </c>
      <c r="BM437" t="s">
        <v>8984</v>
      </c>
      <c r="BN437" t="s">
        <v>74</v>
      </c>
      <c r="BO437" t="s">
        <v>372</v>
      </c>
      <c r="BP437" t="s">
        <v>74</v>
      </c>
      <c r="BQ437" t="s">
        <v>74</v>
      </c>
      <c r="BR437" t="s">
        <v>106</v>
      </c>
      <c r="BS437" t="s">
        <v>8985</v>
      </c>
      <c r="BT437" t="str">
        <f>HYPERLINK("https%3A%2F%2Fwww.webofscience.com%2Fwos%2Fwoscc%2Ffull-record%2FWOS:000837224500002","View Full Record in Web of Science")</f>
        <v>View Full Record in Web of Science</v>
      </c>
    </row>
    <row r="438" spans="1:72" x14ac:dyDescent="0.25">
      <c r="A438" t="s">
        <v>72</v>
      </c>
      <c r="B438" t="s">
        <v>8986</v>
      </c>
      <c r="C438" t="s">
        <v>74</v>
      </c>
      <c r="D438" t="s">
        <v>74</v>
      </c>
      <c r="E438" t="s">
        <v>74</v>
      </c>
      <c r="F438" t="s">
        <v>8987</v>
      </c>
      <c r="G438" t="s">
        <v>74</v>
      </c>
      <c r="H438" t="s">
        <v>74</v>
      </c>
      <c r="I438" t="s">
        <v>8988</v>
      </c>
      <c r="J438" t="s">
        <v>8989</v>
      </c>
      <c r="K438" t="s">
        <v>74</v>
      </c>
      <c r="L438" t="s">
        <v>74</v>
      </c>
      <c r="M438" t="s">
        <v>78</v>
      </c>
      <c r="N438" t="s">
        <v>79</v>
      </c>
      <c r="O438" t="s">
        <v>74</v>
      </c>
      <c r="P438" t="s">
        <v>74</v>
      </c>
      <c r="Q438" t="s">
        <v>74</v>
      </c>
      <c r="R438" t="s">
        <v>74</v>
      </c>
      <c r="S438" t="s">
        <v>74</v>
      </c>
      <c r="T438" t="s">
        <v>8990</v>
      </c>
      <c r="U438" t="s">
        <v>74</v>
      </c>
      <c r="V438" t="s">
        <v>8991</v>
      </c>
      <c r="W438" t="s">
        <v>8992</v>
      </c>
      <c r="X438" t="s">
        <v>8993</v>
      </c>
      <c r="Y438" t="s">
        <v>8994</v>
      </c>
      <c r="Z438" t="s">
        <v>8995</v>
      </c>
      <c r="AA438" t="s">
        <v>8996</v>
      </c>
      <c r="AB438" t="s">
        <v>8997</v>
      </c>
      <c r="AC438" t="s">
        <v>8998</v>
      </c>
      <c r="AD438" t="s">
        <v>8999</v>
      </c>
      <c r="AE438" t="s">
        <v>9000</v>
      </c>
      <c r="AF438" t="s">
        <v>74</v>
      </c>
      <c r="AG438">
        <v>37</v>
      </c>
      <c r="AH438">
        <v>10</v>
      </c>
      <c r="AI438">
        <v>12</v>
      </c>
      <c r="AJ438">
        <v>0</v>
      </c>
      <c r="AK438">
        <v>38</v>
      </c>
      <c r="AL438" t="s">
        <v>362</v>
      </c>
      <c r="AM438" t="s">
        <v>363</v>
      </c>
      <c r="AN438" t="s">
        <v>364</v>
      </c>
      <c r="AO438" t="s">
        <v>9001</v>
      </c>
      <c r="AP438" t="s">
        <v>9002</v>
      </c>
      <c r="AQ438" t="s">
        <v>74</v>
      </c>
      <c r="AR438" t="s">
        <v>9003</v>
      </c>
      <c r="AS438" t="s">
        <v>9004</v>
      </c>
      <c r="AT438" t="s">
        <v>246</v>
      </c>
      <c r="AU438">
        <v>2012</v>
      </c>
      <c r="AV438">
        <v>10</v>
      </c>
      <c r="AW438">
        <v>8</v>
      </c>
      <c r="AX438" t="s">
        <v>74</v>
      </c>
      <c r="AY438" t="s">
        <v>74</v>
      </c>
      <c r="AZ438" t="s">
        <v>247</v>
      </c>
      <c r="BA438" t="s">
        <v>74</v>
      </c>
      <c r="BB438">
        <v>1570</v>
      </c>
      <c r="BC438">
        <v>1585</v>
      </c>
      <c r="BD438" t="s">
        <v>74</v>
      </c>
      <c r="BE438" t="s">
        <v>9005</v>
      </c>
      <c r="BF438" t="str">
        <f>HYPERLINK("http://dx.doi.org/10.1016/j.adhoc.2011.04.012","http://dx.doi.org/10.1016/j.adhoc.2011.04.012")</f>
        <v>http://dx.doi.org/10.1016/j.adhoc.2011.04.012</v>
      </c>
      <c r="BG438" t="s">
        <v>74</v>
      </c>
      <c r="BH438" t="s">
        <v>74</v>
      </c>
      <c r="BI438">
        <v>16</v>
      </c>
      <c r="BJ438" t="s">
        <v>2674</v>
      </c>
      <c r="BK438" t="s">
        <v>902</v>
      </c>
      <c r="BL438" t="s">
        <v>2422</v>
      </c>
      <c r="BM438" t="s">
        <v>9006</v>
      </c>
      <c r="BN438" t="s">
        <v>74</v>
      </c>
      <c r="BO438" t="s">
        <v>74</v>
      </c>
      <c r="BP438" t="s">
        <v>74</v>
      </c>
      <c r="BQ438" t="s">
        <v>74</v>
      </c>
      <c r="BR438" t="s">
        <v>106</v>
      </c>
      <c r="BS438" t="s">
        <v>9007</v>
      </c>
      <c r="BT438" t="str">
        <f>HYPERLINK("https%3A%2F%2Fwww.webofscience.com%2Fwos%2Fwoscc%2Ffull-record%2FWOS:000308685500006","View Full Record in Web of Science")</f>
        <v>View Full Record in Web of Science</v>
      </c>
    </row>
    <row r="439" spans="1:72" x14ac:dyDescent="0.25">
      <c r="A439" t="s">
        <v>72</v>
      </c>
      <c r="B439" t="s">
        <v>9008</v>
      </c>
      <c r="C439" t="s">
        <v>74</v>
      </c>
      <c r="D439" t="s">
        <v>74</v>
      </c>
      <c r="E439" t="s">
        <v>74</v>
      </c>
      <c r="F439" t="s">
        <v>9009</v>
      </c>
      <c r="G439" t="s">
        <v>74</v>
      </c>
      <c r="H439" t="s">
        <v>74</v>
      </c>
      <c r="I439" t="s">
        <v>9010</v>
      </c>
      <c r="J439" t="s">
        <v>9011</v>
      </c>
      <c r="K439" t="s">
        <v>74</v>
      </c>
      <c r="L439" t="s">
        <v>74</v>
      </c>
      <c r="M439" t="s">
        <v>78</v>
      </c>
      <c r="N439" t="s">
        <v>79</v>
      </c>
      <c r="O439" t="s">
        <v>74</v>
      </c>
      <c r="P439" t="s">
        <v>74</v>
      </c>
      <c r="Q439" t="s">
        <v>74</v>
      </c>
      <c r="R439" t="s">
        <v>74</v>
      </c>
      <c r="S439" t="s">
        <v>74</v>
      </c>
      <c r="T439" t="s">
        <v>9012</v>
      </c>
      <c r="U439" t="s">
        <v>9013</v>
      </c>
      <c r="V439" t="s">
        <v>9014</v>
      </c>
      <c r="W439" t="s">
        <v>9015</v>
      </c>
      <c r="X439" t="s">
        <v>9016</v>
      </c>
      <c r="Y439" t="s">
        <v>9017</v>
      </c>
      <c r="Z439" t="s">
        <v>9018</v>
      </c>
      <c r="AA439" t="s">
        <v>9019</v>
      </c>
      <c r="AB439" t="s">
        <v>9020</v>
      </c>
      <c r="AC439" t="s">
        <v>74</v>
      </c>
      <c r="AD439" t="s">
        <v>74</v>
      </c>
      <c r="AE439" t="s">
        <v>74</v>
      </c>
      <c r="AF439" t="s">
        <v>74</v>
      </c>
      <c r="AG439">
        <v>30</v>
      </c>
      <c r="AH439">
        <v>12</v>
      </c>
      <c r="AI439">
        <v>12</v>
      </c>
      <c r="AJ439">
        <v>1</v>
      </c>
      <c r="AK439">
        <v>42</v>
      </c>
      <c r="AL439" t="s">
        <v>2946</v>
      </c>
      <c r="AM439" t="s">
        <v>2947</v>
      </c>
      <c r="AN439" t="s">
        <v>2948</v>
      </c>
      <c r="AO439" t="s">
        <v>9021</v>
      </c>
      <c r="AP439" t="s">
        <v>9022</v>
      </c>
      <c r="AQ439" t="s">
        <v>74</v>
      </c>
      <c r="AR439" t="s">
        <v>9023</v>
      </c>
      <c r="AS439" t="s">
        <v>9024</v>
      </c>
      <c r="AT439" t="s">
        <v>9025</v>
      </c>
      <c r="AU439">
        <v>2023</v>
      </c>
      <c r="AV439">
        <v>47</v>
      </c>
      <c r="AW439">
        <v>1</v>
      </c>
      <c r="AX439" t="s">
        <v>74</v>
      </c>
      <c r="AY439" t="s">
        <v>74</v>
      </c>
      <c r="AZ439" t="s">
        <v>74</v>
      </c>
      <c r="BA439" t="s">
        <v>74</v>
      </c>
      <c r="BB439">
        <v>41</v>
      </c>
      <c r="BC439">
        <v>58</v>
      </c>
      <c r="BD439" t="s">
        <v>74</v>
      </c>
      <c r="BE439" t="s">
        <v>9026</v>
      </c>
      <c r="BF439" t="str">
        <f>HYPERLINK("http://dx.doi.org/10.1108/OIR-04-2021-0208","http://dx.doi.org/10.1108/OIR-04-2021-0208")</f>
        <v>http://dx.doi.org/10.1108/OIR-04-2021-0208</v>
      </c>
      <c r="BG439" t="s">
        <v>74</v>
      </c>
      <c r="BH439" t="s">
        <v>9027</v>
      </c>
      <c r="BI439">
        <v>18</v>
      </c>
      <c r="BJ439" t="s">
        <v>295</v>
      </c>
      <c r="BK439" t="s">
        <v>745</v>
      </c>
      <c r="BL439" t="s">
        <v>296</v>
      </c>
      <c r="BM439" t="s">
        <v>9028</v>
      </c>
      <c r="BN439" t="s">
        <v>74</v>
      </c>
      <c r="BO439" t="s">
        <v>74</v>
      </c>
      <c r="BP439" t="s">
        <v>74</v>
      </c>
      <c r="BQ439" t="s">
        <v>74</v>
      </c>
      <c r="BR439" t="s">
        <v>106</v>
      </c>
      <c r="BS439" t="s">
        <v>9029</v>
      </c>
      <c r="BT439" t="str">
        <f>HYPERLINK("https%3A%2F%2Fwww.webofscience.com%2Fwos%2Fwoscc%2Ffull-record%2FWOS:000783598400001","View Full Record in Web of Science")</f>
        <v>View Full Record in Web of Science</v>
      </c>
    </row>
    <row r="440" spans="1:72" x14ac:dyDescent="0.25">
      <c r="A440" t="s">
        <v>72</v>
      </c>
      <c r="B440" t="s">
        <v>9030</v>
      </c>
      <c r="C440" t="s">
        <v>74</v>
      </c>
      <c r="D440" t="s">
        <v>74</v>
      </c>
      <c r="E440" t="s">
        <v>74</v>
      </c>
      <c r="F440" t="s">
        <v>9031</v>
      </c>
      <c r="G440" t="s">
        <v>74</v>
      </c>
      <c r="H440" t="s">
        <v>74</v>
      </c>
      <c r="I440" t="s">
        <v>9032</v>
      </c>
      <c r="J440" t="s">
        <v>8123</v>
      </c>
      <c r="K440" t="s">
        <v>74</v>
      </c>
      <c r="L440" t="s">
        <v>74</v>
      </c>
      <c r="M440" t="s">
        <v>78</v>
      </c>
      <c r="N440" t="s">
        <v>79</v>
      </c>
      <c r="O440" t="s">
        <v>74</v>
      </c>
      <c r="P440" t="s">
        <v>74</v>
      </c>
      <c r="Q440" t="s">
        <v>74</v>
      </c>
      <c r="R440" t="s">
        <v>74</v>
      </c>
      <c r="S440" t="s">
        <v>74</v>
      </c>
      <c r="T440" t="s">
        <v>9033</v>
      </c>
      <c r="U440" t="s">
        <v>74</v>
      </c>
      <c r="V440" t="s">
        <v>9034</v>
      </c>
      <c r="W440" t="s">
        <v>9035</v>
      </c>
      <c r="X440" t="s">
        <v>9036</v>
      </c>
      <c r="Y440" t="s">
        <v>9037</v>
      </c>
      <c r="Z440" t="s">
        <v>9038</v>
      </c>
      <c r="AA440" t="s">
        <v>9039</v>
      </c>
      <c r="AB440" t="s">
        <v>9040</v>
      </c>
      <c r="AC440" t="s">
        <v>74</v>
      </c>
      <c r="AD440" t="s">
        <v>74</v>
      </c>
      <c r="AE440" t="s">
        <v>74</v>
      </c>
      <c r="AF440" t="s">
        <v>74</v>
      </c>
      <c r="AG440">
        <v>46</v>
      </c>
      <c r="AH440">
        <v>3</v>
      </c>
      <c r="AI440">
        <v>3</v>
      </c>
      <c r="AJ440">
        <v>0</v>
      </c>
      <c r="AK440">
        <v>23</v>
      </c>
      <c r="AL440" t="s">
        <v>1272</v>
      </c>
      <c r="AM440" t="s">
        <v>1273</v>
      </c>
      <c r="AN440" t="s">
        <v>3098</v>
      </c>
      <c r="AO440" t="s">
        <v>74</v>
      </c>
      <c r="AP440" t="s">
        <v>8135</v>
      </c>
      <c r="AQ440" t="s">
        <v>74</v>
      </c>
      <c r="AR440" t="s">
        <v>8136</v>
      </c>
      <c r="AS440" t="s">
        <v>8137</v>
      </c>
      <c r="AT440" t="s">
        <v>1950</v>
      </c>
      <c r="AU440">
        <v>2023</v>
      </c>
      <c r="AV440">
        <v>12</v>
      </c>
      <c r="AW440">
        <v>4</v>
      </c>
      <c r="AX440" t="s">
        <v>74</v>
      </c>
      <c r="AY440" t="s">
        <v>74</v>
      </c>
      <c r="AZ440" t="s">
        <v>74</v>
      </c>
      <c r="BA440" t="s">
        <v>74</v>
      </c>
      <c r="BB440" t="s">
        <v>74</v>
      </c>
      <c r="BC440" t="s">
        <v>74</v>
      </c>
      <c r="BD440">
        <v>906</v>
      </c>
      <c r="BE440" t="s">
        <v>9041</v>
      </c>
      <c r="BF440" t="str">
        <f>HYPERLINK("http://dx.doi.org/10.3390/electronics12040906","http://dx.doi.org/10.3390/electronics12040906")</f>
        <v>http://dx.doi.org/10.3390/electronics12040906</v>
      </c>
      <c r="BG440" t="s">
        <v>74</v>
      </c>
      <c r="BH440" t="s">
        <v>74</v>
      </c>
      <c r="BI440">
        <v>19</v>
      </c>
      <c r="BJ440" t="s">
        <v>8139</v>
      </c>
      <c r="BK440" t="s">
        <v>902</v>
      </c>
      <c r="BL440" t="s">
        <v>8140</v>
      </c>
      <c r="BM440" t="s">
        <v>9042</v>
      </c>
      <c r="BN440" t="s">
        <v>74</v>
      </c>
      <c r="BO440" t="s">
        <v>372</v>
      </c>
      <c r="BP440" t="s">
        <v>74</v>
      </c>
      <c r="BQ440" t="s">
        <v>74</v>
      </c>
      <c r="BR440" t="s">
        <v>106</v>
      </c>
      <c r="BS440" t="s">
        <v>9043</v>
      </c>
      <c r="BT440" t="str">
        <f>HYPERLINK("https%3A%2F%2Fwww.webofscience.com%2Fwos%2Fwoscc%2Ffull-record%2FWOS:000939310500001","View Full Record in Web of Science")</f>
        <v>View Full Record in Web of Science</v>
      </c>
    </row>
    <row r="441" spans="1:72" x14ac:dyDescent="0.25">
      <c r="A441" t="s">
        <v>108</v>
      </c>
      <c r="B441" t="s">
        <v>9044</v>
      </c>
      <c r="C441" t="s">
        <v>74</v>
      </c>
      <c r="D441" t="s">
        <v>9045</v>
      </c>
      <c r="E441" t="s">
        <v>74</v>
      </c>
      <c r="F441" t="s">
        <v>9046</v>
      </c>
      <c r="G441" t="s">
        <v>74</v>
      </c>
      <c r="H441" t="s">
        <v>74</v>
      </c>
      <c r="I441" t="s">
        <v>9047</v>
      </c>
      <c r="J441" t="s">
        <v>9048</v>
      </c>
      <c r="K441" t="s">
        <v>9049</v>
      </c>
      <c r="L441" t="s">
        <v>74</v>
      </c>
      <c r="M441" t="s">
        <v>78</v>
      </c>
      <c r="N441" t="s">
        <v>115</v>
      </c>
      <c r="O441" t="s">
        <v>9050</v>
      </c>
      <c r="P441" t="s">
        <v>9051</v>
      </c>
      <c r="Q441" t="s">
        <v>9052</v>
      </c>
      <c r="R441" t="s">
        <v>9053</v>
      </c>
      <c r="S441" t="s">
        <v>9054</v>
      </c>
      <c r="T441" t="s">
        <v>9055</v>
      </c>
      <c r="U441" t="s">
        <v>74</v>
      </c>
      <c r="V441" t="s">
        <v>9056</v>
      </c>
      <c r="W441" t="s">
        <v>9057</v>
      </c>
      <c r="X441" t="s">
        <v>9058</v>
      </c>
      <c r="Y441" t="s">
        <v>9059</v>
      </c>
      <c r="Z441" t="s">
        <v>9060</v>
      </c>
      <c r="AA441" t="s">
        <v>9061</v>
      </c>
      <c r="AB441" t="s">
        <v>9062</v>
      </c>
      <c r="AC441" t="s">
        <v>74</v>
      </c>
      <c r="AD441" t="s">
        <v>74</v>
      </c>
      <c r="AE441" t="s">
        <v>74</v>
      </c>
      <c r="AF441" t="s">
        <v>74</v>
      </c>
      <c r="AG441">
        <v>5</v>
      </c>
      <c r="AH441">
        <v>4</v>
      </c>
      <c r="AI441">
        <v>4</v>
      </c>
      <c r="AJ441">
        <v>2</v>
      </c>
      <c r="AK441">
        <v>29</v>
      </c>
      <c r="AL441" t="s">
        <v>465</v>
      </c>
      <c r="AM441" t="s">
        <v>92</v>
      </c>
      <c r="AN441" t="s">
        <v>480</v>
      </c>
      <c r="AO441" t="s">
        <v>9063</v>
      </c>
      <c r="AP441" t="s">
        <v>74</v>
      </c>
      <c r="AQ441" t="s">
        <v>9064</v>
      </c>
      <c r="AR441" t="s">
        <v>9065</v>
      </c>
      <c r="AS441" t="s">
        <v>74</v>
      </c>
      <c r="AT441" t="s">
        <v>74</v>
      </c>
      <c r="AU441">
        <v>2012</v>
      </c>
      <c r="AV441" t="s">
        <v>74</v>
      </c>
      <c r="AW441" t="s">
        <v>74</v>
      </c>
      <c r="AX441" t="s">
        <v>74</v>
      </c>
      <c r="AY441" t="s">
        <v>74</v>
      </c>
      <c r="AZ441" t="s">
        <v>74</v>
      </c>
      <c r="BA441" t="s">
        <v>74</v>
      </c>
      <c r="BB441">
        <v>348</v>
      </c>
      <c r="BC441">
        <v>349</v>
      </c>
      <c r="BD441" t="s">
        <v>74</v>
      </c>
      <c r="BE441" t="s">
        <v>9066</v>
      </c>
      <c r="BF441" t="str">
        <f>HYPERLINK("http://dx.doi.org/10.1109/COMPSAC.2012.49","http://dx.doi.org/10.1109/COMPSAC.2012.49")</f>
        <v>http://dx.doi.org/10.1109/COMPSAC.2012.49</v>
      </c>
      <c r="BG441" t="s">
        <v>74</v>
      </c>
      <c r="BH441" t="s">
        <v>74</v>
      </c>
      <c r="BI441">
        <v>2</v>
      </c>
      <c r="BJ441" t="s">
        <v>4990</v>
      </c>
      <c r="BK441" t="s">
        <v>203</v>
      </c>
      <c r="BL441" t="s">
        <v>953</v>
      </c>
      <c r="BM441" t="s">
        <v>9067</v>
      </c>
      <c r="BN441" t="s">
        <v>74</v>
      </c>
      <c r="BO441" t="s">
        <v>74</v>
      </c>
      <c r="BP441" t="s">
        <v>74</v>
      </c>
      <c r="BQ441" t="s">
        <v>74</v>
      </c>
      <c r="BR441" t="s">
        <v>106</v>
      </c>
      <c r="BS441" t="s">
        <v>9068</v>
      </c>
      <c r="BT441" t="str">
        <f>HYPERLINK("https%3A%2F%2Fwww.webofscience.com%2Fwos%2Fwoscc%2Ffull-record%2FWOS:000312376000055","View Full Record in Web of Science")</f>
        <v>View Full Record in Web of Science</v>
      </c>
    </row>
    <row r="442" spans="1:72" x14ac:dyDescent="0.25">
      <c r="A442" t="s">
        <v>108</v>
      </c>
      <c r="B442" t="s">
        <v>9069</v>
      </c>
      <c r="C442" t="s">
        <v>74</v>
      </c>
      <c r="D442" t="s">
        <v>74</v>
      </c>
      <c r="E442" t="s">
        <v>465</v>
      </c>
      <c r="F442" t="s">
        <v>9070</v>
      </c>
      <c r="G442" t="s">
        <v>74</v>
      </c>
      <c r="H442" t="s">
        <v>74</v>
      </c>
      <c r="I442" t="s">
        <v>9071</v>
      </c>
      <c r="J442" t="s">
        <v>9072</v>
      </c>
      <c r="K442" t="s">
        <v>74</v>
      </c>
      <c r="L442" t="s">
        <v>74</v>
      </c>
      <c r="M442" t="s">
        <v>78</v>
      </c>
      <c r="N442" t="s">
        <v>115</v>
      </c>
      <c r="O442" t="s">
        <v>9073</v>
      </c>
      <c r="P442" t="s">
        <v>9074</v>
      </c>
      <c r="Q442" t="s">
        <v>9075</v>
      </c>
      <c r="R442" t="s">
        <v>9076</v>
      </c>
      <c r="S442" t="s">
        <v>74</v>
      </c>
      <c r="T442" t="s">
        <v>9077</v>
      </c>
      <c r="U442" t="s">
        <v>74</v>
      </c>
      <c r="V442" t="s">
        <v>9078</v>
      </c>
      <c r="W442" t="s">
        <v>9079</v>
      </c>
      <c r="X442" t="s">
        <v>5934</v>
      </c>
      <c r="Y442" t="s">
        <v>9080</v>
      </c>
      <c r="Z442" t="s">
        <v>9081</v>
      </c>
      <c r="AA442" t="s">
        <v>74</v>
      </c>
      <c r="AB442" t="s">
        <v>74</v>
      </c>
      <c r="AC442" t="s">
        <v>74</v>
      </c>
      <c r="AD442" t="s">
        <v>74</v>
      </c>
      <c r="AE442" t="s">
        <v>74</v>
      </c>
      <c r="AF442" t="s">
        <v>74</v>
      </c>
      <c r="AG442">
        <v>16</v>
      </c>
      <c r="AH442">
        <v>1</v>
      </c>
      <c r="AI442">
        <v>1</v>
      </c>
      <c r="AJ442">
        <v>0</v>
      </c>
      <c r="AK442">
        <v>0</v>
      </c>
      <c r="AL442" t="s">
        <v>465</v>
      </c>
      <c r="AM442" t="s">
        <v>92</v>
      </c>
      <c r="AN442" t="s">
        <v>480</v>
      </c>
      <c r="AO442" t="s">
        <v>74</v>
      </c>
      <c r="AP442" t="s">
        <v>74</v>
      </c>
      <c r="AQ442" t="s">
        <v>9082</v>
      </c>
      <c r="AR442" t="s">
        <v>74</v>
      </c>
      <c r="AS442" t="s">
        <v>74</v>
      </c>
      <c r="AT442" t="s">
        <v>74</v>
      </c>
      <c r="AU442">
        <v>2018</v>
      </c>
      <c r="AV442" t="s">
        <v>74</v>
      </c>
      <c r="AW442" t="s">
        <v>74</v>
      </c>
      <c r="AX442" t="s">
        <v>74</v>
      </c>
      <c r="AY442" t="s">
        <v>74</v>
      </c>
      <c r="AZ442" t="s">
        <v>74</v>
      </c>
      <c r="BA442" t="s">
        <v>74</v>
      </c>
      <c r="BB442" t="s">
        <v>74</v>
      </c>
      <c r="BC442" t="s">
        <v>74</v>
      </c>
      <c r="BD442" t="s">
        <v>74</v>
      </c>
      <c r="BE442" t="s">
        <v>74</v>
      </c>
      <c r="BF442" t="s">
        <v>74</v>
      </c>
      <c r="BG442" t="s">
        <v>74</v>
      </c>
      <c r="BH442" t="s">
        <v>74</v>
      </c>
      <c r="BI442">
        <v>6</v>
      </c>
      <c r="BJ442" t="s">
        <v>925</v>
      </c>
      <c r="BK442" t="s">
        <v>203</v>
      </c>
      <c r="BL442" t="s">
        <v>103</v>
      </c>
      <c r="BM442" t="s">
        <v>9083</v>
      </c>
      <c r="BN442" t="s">
        <v>74</v>
      </c>
      <c r="BO442" t="s">
        <v>74</v>
      </c>
      <c r="BP442" t="s">
        <v>74</v>
      </c>
      <c r="BQ442" t="s">
        <v>74</v>
      </c>
      <c r="BR442" t="s">
        <v>106</v>
      </c>
      <c r="BS442" t="s">
        <v>9084</v>
      </c>
      <c r="BT442" t="str">
        <f>HYPERLINK("https%3A%2F%2Fwww.webofscience.com%2Fwos%2Fwoscc%2Ffull-record%2FWOS:000458534800051","View Full Record in Web of Science")</f>
        <v>View Full Record in Web of Science</v>
      </c>
    </row>
    <row r="443" spans="1:72" x14ac:dyDescent="0.25">
      <c r="A443" t="s">
        <v>108</v>
      </c>
      <c r="B443" t="s">
        <v>9085</v>
      </c>
      <c r="C443" t="s">
        <v>74</v>
      </c>
      <c r="D443" t="s">
        <v>9086</v>
      </c>
      <c r="E443" t="s">
        <v>74</v>
      </c>
      <c r="F443" t="s">
        <v>9087</v>
      </c>
      <c r="G443" t="s">
        <v>74</v>
      </c>
      <c r="H443" t="s">
        <v>74</v>
      </c>
      <c r="I443" t="s">
        <v>9088</v>
      </c>
      <c r="J443" t="s">
        <v>9089</v>
      </c>
      <c r="K443" t="s">
        <v>147</v>
      </c>
      <c r="L443" t="s">
        <v>74</v>
      </c>
      <c r="M443" t="s">
        <v>78</v>
      </c>
      <c r="N443" t="s">
        <v>115</v>
      </c>
      <c r="O443" t="s">
        <v>9090</v>
      </c>
      <c r="P443" t="s">
        <v>9091</v>
      </c>
      <c r="Q443" t="s">
        <v>1051</v>
      </c>
      <c r="R443" t="s">
        <v>9092</v>
      </c>
      <c r="S443" t="s">
        <v>74</v>
      </c>
      <c r="T443" t="s">
        <v>74</v>
      </c>
      <c r="U443" t="s">
        <v>74</v>
      </c>
      <c r="V443" t="s">
        <v>9093</v>
      </c>
      <c r="W443" t="s">
        <v>9094</v>
      </c>
      <c r="X443" t="s">
        <v>9095</v>
      </c>
      <c r="Y443" t="s">
        <v>9096</v>
      </c>
      <c r="Z443" t="s">
        <v>9097</v>
      </c>
      <c r="AA443" t="s">
        <v>9098</v>
      </c>
      <c r="AB443" t="s">
        <v>9099</v>
      </c>
      <c r="AC443" t="s">
        <v>74</v>
      </c>
      <c r="AD443" t="s">
        <v>74</v>
      </c>
      <c r="AE443" t="s">
        <v>74</v>
      </c>
      <c r="AF443" t="s">
        <v>74</v>
      </c>
      <c r="AG443">
        <v>18</v>
      </c>
      <c r="AH443">
        <v>3</v>
      </c>
      <c r="AI443">
        <v>3</v>
      </c>
      <c r="AJ443">
        <v>0</v>
      </c>
      <c r="AK443">
        <v>2</v>
      </c>
      <c r="AL443" t="s">
        <v>197</v>
      </c>
      <c r="AM443" t="s">
        <v>198</v>
      </c>
      <c r="AN443" t="s">
        <v>199</v>
      </c>
      <c r="AO443" t="s">
        <v>159</v>
      </c>
      <c r="AP443" t="s">
        <v>133</v>
      </c>
      <c r="AQ443" t="s">
        <v>9100</v>
      </c>
      <c r="AR443" t="s">
        <v>161</v>
      </c>
      <c r="AS443" t="s">
        <v>74</v>
      </c>
      <c r="AT443" t="s">
        <v>74</v>
      </c>
      <c r="AU443">
        <v>2014</v>
      </c>
      <c r="AV443">
        <v>8851</v>
      </c>
      <c r="AW443" t="s">
        <v>74</v>
      </c>
      <c r="AX443" t="s">
        <v>74</v>
      </c>
      <c r="AY443" t="s">
        <v>74</v>
      </c>
      <c r="AZ443" t="s">
        <v>74</v>
      </c>
      <c r="BA443" t="s">
        <v>74</v>
      </c>
      <c r="BB443">
        <v>151</v>
      </c>
      <c r="BC443">
        <v>165</v>
      </c>
      <c r="BD443" t="s">
        <v>74</v>
      </c>
      <c r="BE443" t="s">
        <v>74</v>
      </c>
      <c r="BF443" t="s">
        <v>74</v>
      </c>
      <c r="BG443" t="s">
        <v>74</v>
      </c>
      <c r="BH443" t="s">
        <v>74</v>
      </c>
      <c r="BI443">
        <v>15</v>
      </c>
      <c r="BJ443" t="s">
        <v>696</v>
      </c>
      <c r="BK443" t="s">
        <v>203</v>
      </c>
      <c r="BL443" t="s">
        <v>103</v>
      </c>
      <c r="BM443" t="s">
        <v>9101</v>
      </c>
      <c r="BN443" t="s">
        <v>74</v>
      </c>
      <c r="BO443" t="s">
        <v>346</v>
      </c>
      <c r="BP443" t="s">
        <v>74</v>
      </c>
      <c r="BQ443" t="s">
        <v>74</v>
      </c>
      <c r="BR443" t="s">
        <v>106</v>
      </c>
      <c r="BS443" t="s">
        <v>9102</v>
      </c>
      <c r="BT443" t="str">
        <f>HYPERLINK("https%3A%2F%2Fwww.webofscience.com%2Fwos%2Fwoscc%2Ffull-record%2FWOS:000354775400011","View Full Record in Web of Science")</f>
        <v>View Full Record in Web of Science</v>
      </c>
    </row>
    <row r="444" spans="1:72" x14ac:dyDescent="0.25">
      <c r="A444" t="s">
        <v>72</v>
      </c>
      <c r="B444" t="s">
        <v>9103</v>
      </c>
      <c r="C444" t="s">
        <v>74</v>
      </c>
      <c r="D444" t="s">
        <v>74</v>
      </c>
      <c r="E444" t="s">
        <v>74</v>
      </c>
      <c r="F444" t="s">
        <v>9104</v>
      </c>
      <c r="G444" t="s">
        <v>74</v>
      </c>
      <c r="H444" t="s">
        <v>74</v>
      </c>
      <c r="I444" t="s">
        <v>9105</v>
      </c>
      <c r="J444" t="s">
        <v>2016</v>
      </c>
      <c r="K444" t="s">
        <v>74</v>
      </c>
      <c r="L444" t="s">
        <v>74</v>
      </c>
      <c r="M444" t="s">
        <v>78</v>
      </c>
      <c r="N444" t="s">
        <v>79</v>
      </c>
      <c r="O444" t="s">
        <v>74</v>
      </c>
      <c r="P444" t="s">
        <v>74</v>
      </c>
      <c r="Q444" t="s">
        <v>74</v>
      </c>
      <c r="R444" t="s">
        <v>74</v>
      </c>
      <c r="S444" t="s">
        <v>74</v>
      </c>
      <c r="T444" t="s">
        <v>9106</v>
      </c>
      <c r="U444" t="s">
        <v>74</v>
      </c>
      <c r="V444" t="s">
        <v>9107</v>
      </c>
      <c r="W444" t="s">
        <v>9108</v>
      </c>
      <c r="X444" t="s">
        <v>9109</v>
      </c>
      <c r="Y444" t="s">
        <v>9110</v>
      </c>
      <c r="Z444" t="s">
        <v>9111</v>
      </c>
      <c r="AA444" t="s">
        <v>9112</v>
      </c>
      <c r="AB444" t="s">
        <v>9113</v>
      </c>
      <c r="AC444" t="s">
        <v>9114</v>
      </c>
      <c r="AD444" t="s">
        <v>9115</v>
      </c>
      <c r="AE444" t="s">
        <v>9116</v>
      </c>
      <c r="AF444" t="s">
        <v>74</v>
      </c>
      <c r="AG444">
        <v>41</v>
      </c>
      <c r="AH444">
        <v>5</v>
      </c>
      <c r="AI444">
        <v>6</v>
      </c>
      <c r="AJ444">
        <v>1</v>
      </c>
      <c r="AK444">
        <v>15</v>
      </c>
      <c r="AL444" t="s">
        <v>362</v>
      </c>
      <c r="AM444" t="s">
        <v>363</v>
      </c>
      <c r="AN444" t="s">
        <v>364</v>
      </c>
      <c r="AO444" t="s">
        <v>2027</v>
      </c>
      <c r="AP444" t="s">
        <v>2028</v>
      </c>
      <c r="AQ444" t="s">
        <v>74</v>
      </c>
      <c r="AR444" t="s">
        <v>2016</v>
      </c>
      <c r="AS444" t="s">
        <v>2029</v>
      </c>
      <c r="AT444" t="s">
        <v>9117</v>
      </c>
      <c r="AU444">
        <v>2022</v>
      </c>
      <c r="AV444">
        <v>483</v>
      </c>
      <c r="AW444" t="s">
        <v>74</v>
      </c>
      <c r="AX444" t="s">
        <v>74</v>
      </c>
      <c r="AY444" t="s">
        <v>74</v>
      </c>
      <c r="AZ444" t="s">
        <v>74</v>
      </c>
      <c r="BA444" t="s">
        <v>74</v>
      </c>
      <c r="BB444">
        <v>105</v>
      </c>
      <c r="BC444">
        <v>115</v>
      </c>
      <c r="BD444" t="s">
        <v>74</v>
      </c>
      <c r="BE444" t="s">
        <v>9118</v>
      </c>
      <c r="BF444" t="str">
        <f>HYPERLINK("http://dx.doi.org/10.1016/j.neucom.2022.02.006","http://dx.doi.org/10.1016/j.neucom.2022.02.006")</f>
        <v>http://dx.doi.org/10.1016/j.neucom.2022.02.006</v>
      </c>
      <c r="BG444" t="s">
        <v>74</v>
      </c>
      <c r="BH444" t="s">
        <v>4420</v>
      </c>
      <c r="BI444">
        <v>11</v>
      </c>
      <c r="BJ444" t="s">
        <v>807</v>
      </c>
      <c r="BK444" t="s">
        <v>902</v>
      </c>
      <c r="BL444" t="s">
        <v>103</v>
      </c>
      <c r="BM444" t="s">
        <v>9119</v>
      </c>
      <c r="BN444" t="s">
        <v>74</v>
      </c>
      <c r="BO444" t="s">
        <v>74</v>
      </c>
      <c r="BP444" t="s">
        <v>74</v>
      </c>
      <c r="BQ444" t="s">
        <v>74</v>
      </c>
      <c r="BR444" t="s">
        <v>106</v>
      </c>
      <c r="BS444" t="s">
        <v>9120</v>
      </c>
      <c r="BT444" t="str">
        <f>HYPERLINK("https%3A%2F%2Fwww.webofscience.com%2Fwos%2Fwoscc%2Ffull-record%2FWOS:000761719500009","View Full Record in Web of Science")</f>
        <v>View Full Record in Web of Science</v>
      </c>
    </row>
    <row r="445" spans="1:72" x14ac:dyDescent="0.25">
      <c r="A445" t="s">
        <v>108</v>
      </c>
      <c r="B445" t="s">
        <v>9121</v>
      </c>
      <c r="C445" t="s">
        <v>74</v>
      </c>
      <c r="D445" t="s">
        <v>9122</v>
      </c>
      <c r="E445" t="s">
        <v>74</v>
      </c>
      <c r="F445" t="s">
        <v>9123</v>
      </c>
      <c r="G445" t="s">
        <v>74</v>
      </c>
      <c r="H445" t="s">
        <v>74</v>
      </c>
      <c r="I445" t="s">
        <v>9124</v>
      </c>
      <c r="J445" t="s">
        <v>9125</v>
      </c>
      <c r="K445" t="s">
        <v>9126</v>
      </c>
      <c r="L445" t="s">
        <v>74</v>
      </c>
      <c r="M445" t="s">
        <v>78</v>
      </c>
      <c r="N445" t="s">
        <v>115</v>
      </c>
      <c r="O445" t="s">
        <v>9127</v>
      </c>
      <c r="P445" t="s">
        <v>9128</v>
      </c>
      <c r="Q445" t="s">
        <v>190</v>
      </c>
      <c r="R445" t="s">
        <v>9129</v>
      </c>
      <c r="S445" t="s">
        <v>74</v>
      </c>
      <c r="T445" t="s">
        <v>74</v>
      </c>
      <c r="U445" t="s">
        <v>74</v>
      </c>
      <c r="V445" t="s">
        <v>9130</v>
      </c>
      <c r="W445" t="s">
        <v>9131</v>
      </c>
      <c r="X445" t="s">
        <v>9132</v>
      </c>
      <c r="Y445" t="s">
        <v>9133</v>
      </c>
      <c r="Z445" t="s">
        <v>74</v>
      </c>
      <c r="AA445" t="s">
        <v>9134</v>
      </c>
      <c r="AB445" t="s">
        <v>74</v>
      </c>
      <c r="AC445" t="s">
        <v>9135</v>
      </c>
      <c r="AD445" t="s">
        <v>3581</v>
      </c>
      <c r="AE445" t="s">
        <v>9136</v>
      </c>
      <c r="AF445" t="s">
        <v>74</v>
      </c>
      <c r="AG445">
        <v>4</v>
      </c>
      <c r="AH445">
        <v>5</v>
      </c>
      <c r="AI445">
        <v>5</v>
      </c>
      <c r="AJ445">
        <v>0</v>
      </c>
      <c r="AK445">
        <v>1</v>
      </c>
      <c r="AL445" t="s">
        <v>2179</v>
      </c>
      <c r="AM445" t="s">
        <v>363</v>
      </c>
      <c r="AN445" t="s">
        <v>2180</v>
      </c>
      <c r="AO445" t="s">
        <v>9137</v>
      </c>
      <c r="AP445" t="s">
        <v>74</v>
      </c>
      <c r="AQ445" t="s">
        <v>9138</v>
      </c>
      <c r="AR445" t="s">
        <v>9139</v>
      </c>
      <c r="AS445" t="s">
        <v>74</v>
      </c>
      <c r="AT445" t="s">
        <v>74</v>
      </c>
      <c r="AU445">
        <v>2007</v>
      </c>
      <c r="AV445">
        <v>158</v>
      </c>
      <c r="AW445" t="s">
        <v>74</v>
      </c>
      <c r="AX445" t="s">
        <v>74</v>
      </c>
      <c r="AY445" t="s">
        <v>74</v>
      </c>
      <c r="AZ445" t="s">
        <v>74</v>
      </c>
      <c r="BA445" t="s">
        <v>74</v>
      </c>
      <c r="BB445">
        <v>566</v>
      </c>
      <c r="BC445" t="s">
        <v>5459</v>
      </c>
      <c r="BD445" t="s">
        <v>74</v>
      </c>
      <c r="BE445" t="s">
        <v>74</v>
      </c>
      <c r="BF445" t="s">
        <v>74</v>
      </c>
      <c r="BG445" t="s">
        <v>74</v>
      </c>
      <c r="BH445" t="s">
        <v>74</v>
      </c>
      <c r="BI445">
        <v>2</v>
      </c>
      <c r="BJ445" t="s">
        <v>163</v>
      </c>
      <c r="BK445" t="s">
        <v>138</v>
      </c>
      <c r="BL445" t="s">
        <v>139</v>
      </c>
      <c r="BM445" t="s">
        <v>9140</v>
      </c>
      <c r="BN445" t="s">
        <v>74</v>
      </c>
      <c r="BO445" t="s">
        <v>74</v>
      </c>
      <c r="BP445" t="s">
        <v>74</v>
      </c>
      <c r="BQ445" t="s">
        <v>74</v>
      </c>
      <c r="BR445" t="s">
        <v>106</v>
      </c>
      <c r="BS445" t="s">
        <v>9141</v>
      </c>
      <c r="BT445" t="str">
        <f>HYPERLINK("https%3A%2F%2Fwww.webofscience.com%2Fwos%2Fwoscc%2Ffull-record%2FWOS:000272219300076","View Full Record in Web of Science")</f>
        <v>View Full Record in Web of Science</v>
      </c>
    </row>
    <row r="446" spans="1:72" x14ac:dyDescent="0.25">
      <c r="A446" t="s">
        <v>108</v>
      </c>
      <c r="B446" t="s">
        <v>9142</v>
      </c>
      <c r="C446" t="s">
        <v>74</v>
      </c>
      <c r="D446" t="s">
        <v>9143</v>
      </c>
      <c r="E446" t="s">
        <v>74</v>
      </c>
      <c r="F446" t="s">
        <v>9144</v>
      </c>
      <c r="G446" t="s">
        <v>74</v>
      </c>
      <c r="H446" t="s">
        <v>74</v>
      </c>
      <c r="I446" t="s">
        <v>9145</v>
      </c>
      <c r="J446" t="s">
        <v>9146</v>
      </c>
      <c r="K446" t="s">
        <v>147</v>
      </c>
      <c r="L446" t="s">
        <v>74</v>
      </c>
      <c r="M446" t="s">
        <v>78</v>
      </c>
      <c r="N446" t="s">
        <v>115</v>
      </c>
      <c r="O446" t="s">
        <v>9147</v>
      </c>
      <c r="P446" t="s">
        <v>9148</v>
      </c>
      <c r="Q446" t="s">
        <v>9149</v>
      </c>
      <c r="R446" t="s">
        <v>74</v>
      </c>
      <c r="S446" t="s">
        <v>74</v>
      </c>
      <c r="T446" t="s">
        <v>9150</v>
      </c>
      <c r="U446" t="s">
        <v>7263</v>
      </c>
      <c r="V446" t="s">
        <v>9151</v>
      </c>
      <c r="W446" t="s">
        <v>9152</v>
      </c>
      <c r="X446" t="s">
        <v>9153</v>
      </c>
      <c r="Y446" t="s">
        <v>9154</v>
      </c>
      <c r="Z446" t="s">
        <v>9155</v>
      </c>
      <c r="AA446" t="s">
        <v>9156</v>
      </c>
      <c r="AB446" t="s">
        <v>9157</v>
      </c>
      <c r="AC446" t="s">
        <v>74</v>
      </c>
      <c r="AD446" t="s">
        <v>74</v>
      </c>
      <c r="AE446" t="s">
        <v>74</v>
      </c>
      <c r="AF446" t="s">
        <v>74</v>
      </c>
      <c r="AG446">
        <v>80</v>
      </c>
      <c r="AH446">
        <v>1</v>
      </c>
      <c r="AI446">
        <v>1</v>
      </c>
      <c r="AJ446">
        <v>0</v>
      </c>
      <c r="AK446">
        <v>0</v>
      </c>
      <c r="AL446" t="s">
        <v>129</v>
      </c>
      <c r="AM446" t="s">
        <v>130</v>
      </c>
      <c r="AN446" t="s">
        <v>131</v>
      </c>
      <c r="AO446" t="s">
        <v>159</v>
      </c>
      <c r="AP446" t="s">
        <v>133</v>
      </c>
      <c r="AQ446" t="s">
        <v>9158</v>
      </c>
      <c r="AR446" t="s">
        <v>161</v>
      </c>
      <c r="AS446" t="s">
        <v>74</v>
      </c>
      <c r="AT446" t="s">
        <v>74</v>
      </c>
      <c r="AU446">
        <v>2023</v>
      </c>
      <c r="AV446">
        <v>13905</v>
      </c>
      <c r="AW446" t="s">
        <v>74</v>
      </c>
      <c r="AX446" t="s">
        <v>74</v>
      </c>
      <c r="AY446" t="s">
        <v>74</v>
      </c>
      <c r="AZ446" t="s">
        <v>74</v>
      </c>
      <c r="BA446" t="s">
        <v>74</v>
      </c>
      <c r="BB446">
        <v>309</v>
      </c>
      <c r="BC446">
        <v>336</v>
      </c>
      <c r="BD446" t="s">
        <v>74</v>
      </c>
      <c r="BE446" t="s">
        <v>9159</v>
      </c>
      <c r="BF446" t="str">
        <f>HYPERLINK("http://dx.doi.org/10.1007/978-3-031-33488-7_12","http://dx.doi.org/10.1007/978-3-031-33488-7_12")</f>
        <v>http://dx.doi.org/10.1007/978-3-031-33488-7_12</v>
      </c>
      <c r="BG446" t="s">
        <v>74</v>
      </c>
      <c r="BH446" t="s">
        <v>74</v>
      </c>
      <c r="BI446">
        <v>28</v>
      </c>
      <c r="BJ446" t="s">
        <v>9160</v>
      </c>
      <c r="BK446" t="s">
        <v>203</v>
      </c>
      <c r="BL446" t="s">
        <v>7939</v>
      </c>
      <c r="BM446" t="s">
        <v>9161</v>
      </c>
      <c r="BN446" t="s">
        <v>74</v>
      </c>
      <c r="BO446" t="s">
        <v>74</v>
      </c>
      <c r="BP446" t="s">
        <v>74</v>
      </c>
      <c r="BQ446" t="s">
        <v>74</v>
      </c>
      <c r="BR446" t="s">
        <v>106</v>
      </c>
      <c r="BS446" t="s">
        <v>9162</v>
      </c>
      <c r="BT446" t="str">
        <f>HYPERLINK("https%3A%2F%2Fwww.webofscience.com%2Fwos%2Fwoscc%2Ffull-record%2FWOS:001296008200012","View Full Record in Web of Science")</f>
        <v>View Full Record in Web of Science</v>
      </c>
    </row>
    <row r="447" spans="1:72" x14ac:dyDescent="0.25">
      <c r="A447" t="s">
        <v>72</v>
      </c>
      <c r="B447" t="s">
        <v>9163</v>
      </c>
      <c r="C447" t="s">
        <v>74</v>
      </c>
      <c r="D447" t="s">
        <v>74</v>
      </c>
      <c r="E447" t="s">
        <v>74</v>
      </c>
      <c r="F447" t="s">
        <v>9164</v>
      </c>
      <c r="G447" t="s">
        <v>74</v>
      </c>
      <c r="H447" t="s">
        <v>74</v>
      </c>
      <c r="I447" t="s">
        <v>9165</v>
      </c>
      <c r="J447" t="s">
        <v>2016</v>
      </c>
      <c r="K447" t="s">
        <v>74</v>
      </c>
      <c r="L447" t="s">
        <v>74</v>
      </c>
      <c r="M447" t="s">
        <v>78</v>
      </c>
      <c r="N447" t="s">
        <v>79</v>
      </c>
      <c r="O447" t="s">
        <v>74</v>
      </c>
      <c r="P447" t="s">
        <v>74</v>
      </c>
      <c r="Q447" t="s">
        <v>74</v>
      </c>
      <c r="R447" t="s">
        <v>74</v>
      </c>
      <c r="S447" t="s">
        <v>74</v>
      </c>
      <c r="T447" t="s">
        <v>9166</v>
      </c>
      <c r="U447" t="s">
        <v>9167</v>
      </c>
      <c r="V447" t="s">
        <v>9168</v>
      </c>
      <c r="W447" t="s">
        <v>9169</v>
      </c>
      <c r="X447" t="s">
        <v>9170</v>
      </c>
      <c r="Y447" t="s">
        <v>9171</v>
      </c>
      <c r="Z447" t="s">
        <v>9172</v>
      </c>
      <c r="AA447" t="s">
        <v>9173</v>
      </c>
      <c r="AB447" t="s">
        <v>9174</v>
      </c>
      <c r="AC447" t="s">
        <v>74</v>
      </c>
      <c r="AD447" t="s">
        <v>74</v>
      </c>
      <c r="AE447" t="s">
        <v>74</v>
      </c>
      <c r="AF447" t="s">
        <v>74</v>
      </c>
      <c r="AG447">
        <v>38</v>
      </c>
      <c r="AH447">
        <v>8</v>
      </c>
      <c r="AI447">
        <v>10</v>
      </c>
      <c r="AJ447">
        <v>0</v>
      </c>
      <c r="AK447">
        <v>28</v>
      </c>
      <c r="AL447" t="s">
        <v>362</v>
      </c>
      <c r="AM447" t="s">
        <v>363</v>
      </c>
      <c r="AN447" t="s">
        <v>364</v>
      </c>
      <c r="AO447" t="s">
        <v>2027</v>
      </c>
      <c r="AP447" t="s">
        <v>2028</v>
      </c>
      <c r="AQ447" t="s">
        <v>74</v>
      </c>
      <c r="AR447" t="s">
        <v>2016</v>
      </c>
      <c r="AS447" t="s">
        <v>2029</v>
      </c>
      <c r="AT447" t="s">
        <v>9175</v>
      </c>
      <c r="AU447">
        <v>2018</v>
      </c>
      <c r="AV447">
        <v>315</v>
      </c>
      <c r="AW447" t="s">
        <v>74</v>
      </c>
      <c r="AX447" t="s">
        <v>74</v>
      </c>
      <c r="AY447" t="s">
        <v>74</v>
      </c>
      <c r="AZ447" t="s">
        <v>74</v>
      </c>
      <c r="BA447" t="s">
        <v>74</v>
      </c>
      <c r="BB447">
        <v>425</v>
      </c>
      <c r="BC447">
        <v>438</v>
      </c>
      <c r="BD447" t="s">
        <v>74</v>
      </c>
      <c r="BE447" t="s">
        <v>9176</v>
      </c>
      <c r="BF447" t="str">
        <f>HYPERLINK("http://dx.doi.org/10.1016/j.neucom.2018.07.035","http://dx.doi.org/10.1016/j.neucom.2018.07.035")</f>
        <v>http://dx.doi.org/10.1016/j.neucom.2018.07.035</v>
      </c>
      <c r="BG447" t="s">
        <v>74</v>
      </c>
      <c r="BH447" t="s">
        <v>74</v>
      </c>
      <c r="BI447">
        <v>14</v>
      </c>
      <c r="BJ447" t="s">
        <v>807</v>
      </c>
      <c r="BK447" t="s">
        <v>902</v>
      </c>
      <c r="BL447" t="s">
        <v>103</v>
      </c>
      <c r="BM447" t="s">
        <v>9177</v>
      </c>
      <c r="BN447" t="s">
        <v>74</v>
      </c>
      <c r="BO447" t="s">
        <v>74</v>
      </c>
      <c r="BP447" t="s">
        <v>74</v>
      </c>
      <c r="BQ447" t="s">
        <v>74</v>
      </c>
      <c r="BR447" t="s">
        <v>106</v>
      </c>
      <c r="BS447" t="s">
        <v>9178</v>
      </c>
      <c r="BT447" t="str">
        <f>HYPERLINK("https%3A%2F%2Fwww.webofscience.com%2Fwos%2Fwoscc%2Ffull-record%2FWOS:000445934400039","View Full Record in Web of Science")</f>
        <v>View Full Record in Web of Science</v>
      </c>
    </row>
    <row r="448" spans="1:72" x14ac:dyDescent="0.25">
      <c r="A448" t="s">
        <v>72</v>
      </c>
      <c r="B448" t="s">
        <v>9179</v>
      </c>
      <c r="C448" t="s">
        <v>74</v>
      </c>
      <c r="D448" t="s">
        <v>74</v>
      </c>
      <c r="E448" t="s">
        <v>74</v>
      </c>
      <c r="F448" t="s">
        <v>9180</v>
      </c>
      <c r="G448" t="s">
        <v>74</v>
      </c>
      <c r="H448" t="s">
        <v>74</v>
      </c>
      <c r="I448" t="s">
        <v>9181</v>
      </c>
      <c r="J448" t="s">
        <v>9182</v>
      </c>
      <c r="K448" t="s">
        <v>74</v>
      </c>
      <c r="L448" t="s">
        <v>74</v>
      </c>
      <c r="M448" t="s">
        <v>78</v>
      </c>
      <c r="N448" t="s">
        <v>79</v>
      </c>
      <c r="O448" t="s">
        <v>74</v>
      </c>
      <c r="P448" t="s">
        <v>74</v>
      </c>
      <c r="Q448" t="s">
        <v>74</v>
      </c>
      <c r="R448" t="s">
        <v>74</v>
      </c>
      <c r="S448" t="s">
        <v>74</v>
      </c>
      <c r="T448" t="s">
        <v>9183</v>
      </c>
      <c r="U448" t="s">
        <v>9184</v>
      </c>
      <c r="V448" t="s">
        <v>9185</v>
      </c>
      <c r="W448" t="s">
        <v>9186</v>
      </c>
      <c r="X448" t="s">
        <v>9187</v>
      </c>
      <c r="Y448" t="s">
        <v>9188</v>
      </c>
      <c r="Z448" t="s">
        <v>9189</v>
      </c>
      <c r="AA448" t="s">
        <v>74</v>
      </c>
      <c r="AB448" t="s">
        <v>74</v>
      </c>
      <c r="AC448" t="s">
        <v>9190</v>
      </c>
      <c r="AD448" t="s">
        <v>9191</v>
      </c>
      <c r="AE448" t="s">
        <v>9192</v>
      </c>
      <c r="AF448" t="s">
        <v>74</v>
      </c>
      <c r="AG448">
        <v>60</v>
      </c>
      <c r="AH448">
        <v>99</v>
      </c>
      <c r="AI448">
        <v>120</v>
      </c>
      <c r="AJ448">
        <v>0</v>
      </c>
      <c r="AK448">
        <v>86</v>
      </c>
      <c r="AL448" t="s">
        <v>291</v>
      </c>
      <c r="AM448" t="s">
        <v>92</v>
      </c>
      <c r="AN448" t="s">
        <v>847</v>
      </c>
      <c r="AO448" t="s">
        <v>9193</v>
      </c>
      <c r="AP448" t="s">
        <v>9194</v>
      </c>
      <c r="AQ448" t="s">
        <v>74</v>
      </c>
      <c r="AR448" t="s">
        <v>9195</v>
      </c>
      <c r="AS448" t="s">
        <v>9196</v>
      </c>
      <c r="AT448" t="s">
        <v>98</v>
      </c>
      <c r="AU448">
        <v>2010</v>
      </c>
      <c r="AV448">
        <v>5</v>
      </c>
      <c r="AW448">
        <v>1</v>
      </c>
      <c r="AX448" t="s">
        <v>74</v>
      </c>
      <c r="AY448" t="s">
        <v>74</v>
      </c>
      <c r="AZ448" t="s">
        <v>74</v>
      </c>
      <c r="BA448" t="s">
        <v>74</v>
      </c>
      <c r="BB448" t="s">
        <v>74</v>
      </c>
      <c r="BC448" t="s">
        <v>74</v>
      </c>
      <c r="BD448">
        <v>2</v>
      </c>
      <c r="BE448" t="s">
        <v>9197</v>
      </c>
      <c r="BF448" t="str">
        <f>HYPERLINK("http://dx.doi.org/10.1145/1870096.1870098","http://dx.doi.org/10.1145/1870096.1870098")</f>
        <v>http://dx.doi.org/10.1145/1870096.1870098</v>
      </c>
      <c r="BG448" t="s">
        <v>74</v>
      </c>
      <c r="BH448" t="s">
        <v>74</v>
      </c>
      <c r="BI448">
        <v>44</v>
      </c>
      <c r="BJ448" t="s">
        <v>2540</v>
      </c>
      <c r="BK448" t="s">
        <v>902</v>
      </c>
      <c r="BL448" t="s">
        <v>103</v>
      </c>
      <c r="BM448" t="s">
        <v>9198</v>
      </c>
      <c r="BN448" t="s">
        <v>74</v>
      </c>
      <c r="BO448" t="s">
        <v>74</v>
      </c>
      <c r="BP448" t="s">
        <v>74</v>
      </c>
      <c r="BQ448" t="s">
        <v>74</v>
      </c>
      <c r="BR448" t="s">
        <v>106</v>
      </c>
      <c r="BS448" t="s">
        <v>9199</v>
      </c>
      <c r="BT448" t="str">
        <f>HYPERLINK("https%3A%2F%2Fwww.webofscience.com%2Fwos%2Fwoscc%2Ffull-record%2FWOS:000208170400002","View Full Record in Web of Science")</f>
        <v>View Full Record in Web of Science</v>
      </c>
    </row>
    <row r="449" spans="1:72" x14ac:dyDescent="0.25">
      <c r="A449" t="s">
        <v>72</v>
      </c>
      <c r="B449" t="s">
        <v>9200</v>
      </c>
      <c r="C449" t="s">
        <v>74</v>
      </c>
      <c r="D449" t="s">
        <v>74</v>
      </c>
      <c r="E449" t="s">
        <v>74</v>
      </c>
      <c r="F449" t="s">
        <v>9201</v>
      </c>
      <c r="G449" t="s">
        <v>74</v>
      </c>
      <c r="H449" t="s">
        <v>74</v>
      </c>
      <c r="I449" t="s">
        <v>9202</v>
      </c>
      <c r="J449" t="s">
        <v>2335</v>
      </c>
      <c r="K449" t="s">
        <v>74</v>
      </c>
      <c r="L449" t="s">
        <v>74</v>
      </c>
      <c r="M449" t="s">
        <v>78</v>
      </c>
      <c r="N449" t="s">
        <v>79</v>
      </c>
      <c r="O449" t="s">
        <v>74</v>
      </c>
      <c r="P449" t="s">
        <v>74</v>
      </c>
      <c r="Q449" t="s">
        <v>74</v>
      </c>
      <c r="R449" t="s">
        <v>74</v>
      </c>
      <c r="S449" t="s">
        <v>74</v>
      </c>
      <c r="T449" t="s">
        <v>9203</v>
      </c>
      <c r="U449" t="s">
        <v>74</v>
      </c>
      <c r="V449" t="s">
        <v>9204</v>
      </c>
      <c r="W449" t="s">
        <v>9205</v>
      </c>
      <c r="X449" t="s">
        <v>9206</v>
      </c>
      <c r="Y449" t="s">
        <v>9207</v>
      </c>
      <c r="Z449" t="s">
        <v>9208</v>
      </c>
      <c r="AA449" t="s">
        <v>9209</v>
      </c>
      <c r="AB449" t="s">
        <v>74</v>
      </c>
      <c r="AC449" t="s">
        <v>74</v>
      </c>
      <c r="AD449" t="s">
        <v>74</v>
      </c>
      <c r="AE449" t="s">
        <v>74</v>
      </c>
      <c r="AF449" t="s">
        <v>74</v>
      </c>
      <c r="AG449">
        <v>39</v>
      </c>
      <c r="AH449">
        <v>6</v>
      </c>
      <c r="AI449">
        <v>6</v>
      </c>
      <c r="AJ449">
        <v>4</v>
      </c>
      <c r="AK449">
        <v>15</v>
      </c>
      <c r="AL449" t="s">
        <v>947</v>
      </c>
      <c r="AM449" t="s">
        <v>948</v>
      </c>
      <c r="AN449" t="s">
        <v>2346</v>
      </c>
      <c r="AO449" t="s">
        <v>2347</v>
      </c>
      <c r="AP449" t="s">
        <v>2348</v>
      </c>
      <c r="AQ449" t="s">
        <v>74</v>
      </c>
      <c r="AR449" t="s">
        <v>2349</v>
      </c>
      <c r="AS449" t="s">
        <v>2350</v>
      </c>
      <c r="AT449" t="s">
        <v>1166</v>
      </c>
      <c r="AU449">
        <v>2025</v>
      </c>
      <c r="AV449">
        <v>37</v>
      </c>
      <c r="AW449">
        <v>7</v>
      </c>
      <c r="AX449" t="s">
        <v>74</v>
      </c>
      <c r="AY449" t="s">
        <v>74</v>
      </c>
      <c r="AZ449" t="s">
        <v>74</v>
      </c>
      <c r="BA449" t="s">
        <v>74</v>
      </c>
      <c r="BB449">
        <v>4349</v>
      </c>
      <c r="BC449">
        <v>4360</v>
      </c>
      <c r="BD449" t="s">
        <v>74</v>
      </c>
      <c r="BE449" t="s">
        <v>9210</v>
      </c>
      <c r="BF449" t="str">
        <f>HYPERLINK("http://dx.doi.org/10.1109/TKDE.2025.3558503","http://dx.doi.org/10.1109/TKDE.2025.3558503")</f>
        <v>http://dx.doi.org/10.1109/TKDE.2025.3558503</v>
      </c>
      <c r="BG449" t="s">
        <v>74</v>
      </c>
      <c r="BH449" t="s">
        <v>74</v>
      </c>
      <c r="BI449">
        <v>12</v>
      </c>
      <c r="BJ449" t="s">
        <v>2353</v>
      </c>
      <c r="BK449" t="s">
        <v>902</v>
      </c>
      <c r="BL449" t="s">
        <v>953</v>
      </c>
      <c r="BM449" t="s">
        <v>9211</v>
      </c>
      <c r="BN449" t="s">
        <v>74</v>
      </c>
      <c r="BO449" t="s">
        <v>346</v>
      </c>
      <c r="BP449" t="s">
        <v>74</v>
      </c>
      <c r="BQ449" t="s">
        <v>74</v>
      </c>
      <c r="BR449" t="s">
        <v>106</v>
      </c>
      <c r="BS449" t="s">
        <v>9212</v>
      </c>
      <c r="BT449" t="str">
        <f>HYPERLINK("https%3A%2F%2Fwww.webofscience.com%2Fwos%2Fwoscc%2Ffull-record%2FWOS:001504151700015","View Full Record in Web of Science")</f>
        <v>View Full Record in Web of Science</v>
      </c>
    </row>
    <row r="450" spans="1:72" x14ac:dyDescent="0.25">
      <c r="A450" t="s">
        <v>72</v>
      </c>
      <c r="B450" t="s">
        <v>9213</v>
      </c>
      <c r="C450" t="s">
        <v>74</v>
      </c>
      <c r="D450" t="s">
        <v>74</v>
      </c>
      <c r="E450" t="s">
        <v>74</v>
      </c>
      <c r="F450" t="s">
        <v>9214</v>
      </c>
      <c r="G450" t="s">
        <v>74</v>
      </c>
      <c r="H450" t="s">
        <v>74</v>
      </c>
      <c r="I450" t="s">
        <v>9215</v>
      </c>
      <c r="J450" t="s">
        <v>9216</v>
      </c>
      <c r="K450" t="s">
        <v>74</v>
      </c>
      <c r="L450" t="s">
        <v>74</v>
      </c>
      <c r="M450" t="s">
        <v>78</v>
      </c>
      <c r="N450" t="s">
        <v>79</v>
      </c>
      <c r="O450" t="s">
        <v>74</v>
      </c>
      <c r="P450" t="s">
        <v>74</v>
      </c>
      <c r="Q450" t="s">
        <v>74</v>
      </c>
      <c r="R450" t="s">
        <v>74</v>
      </c>
      <c r="S450" t="s">
        <v>74</v>
      </c>
      <c r="T450" t="s">
        <v>9217</v>
      </c>
      <c r="U450" t="s">
        <v>74</v>
      </c>
      <c r="V450" t="s">
        <v>9218</v>
      </c>
      <c r="W450" t="s">
        <v>9219</v>
      </c>
      <c r="X450" t="s">
        <v>9220</v>
      </c>
      <c r="Y450" t="s">
        <v>9221</v>
      </c>
      <c r="Z450" t="s">
        <v>9222</v>
      </c>
      <c r="AA450" t="s">
        <v>9223</v>
      </c>
      <c r="AB450" t="s">
        <v>9224</v>
      </c>
      <c r="AC450" t="s">
        <v>74</v>
      </c>
      <c r="AD450" t="s">
        <v>74</v>
      </c>
      <c r="AE450" t="s">
        <v>74</v>
      </c>
      <c r="AF450" t="s">
        <v>74</v>
      </c>
      <c r="AG450">
        <v>50</v>
      </c>
      <c r="AH450">
        <v>27</v>
      </c>
      <c r="AI450">
        <v>30</v>
      </c>
      <c r="AJ450">
        <v>0</v>
      </c>
      <c r="AK450">
        <v>29</v>
      </c>
      <c r="AL450" t="s">
        <v>895</v>
      </c>
      <c r="AM450" t="s">
        <v>896</v>
      </c>
      <c r="AN450" t="s">
        <v>897</v>
      </c>
      <c r="AO450" t="s">
        <v>9225</v>
      </c>
      <c r="AP450" t="s">
        <v>9226</v>
      </c>
      <c r="AQ450" t="s">
        <v>74</v>
      </c>
      <c r="AR450" t="s">
        <v>9227</v>
      </c>
      <c r="AS450" t="s">
        <v>9228</v>
      </c>
      <c r="AT450" t="s">
        <v>1251</v>
      </c>
      <c r="AU450">
        <v>2015</v>
      </c>
      <c r="AV450">
        <v>45</v>
      </c>
      <c r="AW450">
        <v>4</v>
      </c>
      <c r="AX450" t="s">
        <v>74</v>
      </c>
      <c r="AY450" t="s">
        <v>74</v>
      </c>
      <c r="AZ450" t="s">
        <v>74</v>
      </c>
      <c r="BA450" t="s">
        <v>74</v>
      </c>
      <c r="BB450">
        <v>559</v>
      </c>
      <c r="BC450">
        <v>570</v>
      </c>
      <c r="BD450" t="s">
        <v>74</v>
      </c>
      <c r="BE450" t="s">
        <v>9229</v>
      </c>
      <c r="BF450" t="str">
        <f>HYPERLINK("http://dx.doi.org/10.1109/TSMC.2014.2378215","http://dx.doi.org/10.1109/TSMC.2014.2378215")</f>
        <v>http://dx.doi.org/10.1109/TSMC.2014.2378215</v>
      </c>
      <c r="BG450" t="s">
        <v>74</v>
      </c>
      <c r="BH450" t="s">
        <v>74</v>
      </c>
      <c r="BI450">
        <v>12</v>
      </c>
      <c r="BJ450" t="s">
        <v>9230</v>
      </c>
      <c r="BK450" t="s">
        <v>745</v>
      </c>
      <c r="BL450" t="s">
        <v>2756</v>
      </c>
      <c r="BM450" t="s">
        <v>9231</v>
      </c>
      <c r="BN450" t="s">
        <v>74</v>
      </c>
      <c r="BO450" t="s">
        <v>346</v>
      </c>
      <c r="BP450" t="s">
        <v>74</v>
      </c>
      <c r="BQ450" t="s">
        <v>74</v>
      </c>
      <c r="BR450" t="s">
        <v>106</v>
      </c>
      <c r="BS450" t="s">
        <v>9232</v>
      </c>
      <c r="BT450" t="str">
        <f>HYPERLINK("https%3A%2F%2Fwww.webofscience.com%2Fwos%2Fwoscc%2Ffull-record%2FWOS:000351545900002","View Full Record in Web of Science")</f>
        <v>View Full Record in Web of Science</v>
      </c>
    </row>
    <row r="451" spans="1:72" x14ac:dyDescent="0.25">
      <c r="A451" t="s">
        <v>108</v>
      </c>
      <c r="B451" t="s">
        <v>9233</v>
      </c>
      <c r="C451" t="s">
        <v>74</v>
      </c>
      <c r="D451" t="s">
        <v>9234</v>
      </c>
      <c r="E451" t="s">
        <v>74</v>
      </c>
      <c r="F451" t="s">
        <v>9235</v>
      </c>
      <c r="G451" t="s">
        <v>74</v>
      </c>
      <c r="H451" t="s">
        <v>74</v>
      </c>
      <c r="I451" t="s">
        <v>9236</v>
      </c>
      <c r="J451" t="s">
        <v>9237</v>
      </c>
      <c r="K451" t="s">
        <v>147</v>
      </c>
      <c r="L451" t="s">
        <v>74</v>
      </c>
      <c r="M451" t="s">
        <v>78</v>
      </c>
      <c r="N451" t="s">
        <v>115</v>
      </c>
      <c r="O451" t="s">
        <v>9238</v>
      </c>
      <c r="P451" t="s">
        <v>9239</v>
      </c>
      <c r="Q451" t="s">
        <v>9240</v>
      </c>
      <c r="R451" t="s">
        <v>9241</v>
      </c>
      <c r="S451" t="s">
        <v>74</v>
      </c>
      <c r="T451" t="s">
        <v>9242</v>
      </c>
      <c r="U451" t="s">
        <v>9243</v>
      </c>
      <c r="V451" t="s">
        <v>9244</v>
      </c>
      <c r="W451" t="s">
        <v>9245</v>
      </c>
      <c r="X451" t="s">
        <v>9246</v>
      </c>
      <c r="Y451" t="s">
        <v>9247</v>
      </c>
      <c r="Z451" t="s">
        <v>9248</v>
      </c>
      <c r="AA451" t="s">
        <v>9249</v>
      </c>
      <c r="AB451" t="s">
        <v>9250</v>
      </c>
      <c r="AC451" t="s">
        <v>74</v>
      </c>
      <c r="AD451" t="s">
        <v>74</v>
      </c>
      <c r="AE451" t="s">
        <v>74</v>
      </c>
      <c r="AF451" t="s">
        <v>74</v>
      </c>
      <c r="AG451">
        <v>24</v>
      </c>
      <c r="AH451">
        <v>5</v>
      </c>
      <c r="AI451">
        <v>6</v>
      </c>
      <c r="AJ451">
        <v>0</v>
      </c>
      <c r="AK451">
        <v>8</v>
      </c>
      <c r="AL451" t="s">
        <v>197</v>
      </c>
      <c r="AM451" t="s">
        <v>198</v>
      </c>
      <c r="AN451" t="s">
        <v>199</v>
      </c>
      <c r="AO451" t="s">
        <v>159</v>
      </c>
      <c r="AP451" t="s">
        <v>133</v>
      </c>
      <c r="AQ451" t="s">
        <v>9251</v>
      </c>
      <c r="AR451" t="s">
        <v>161</v>
      </c>
      <c r="AS451" t="s">
        <v>74</v>
      </c>
      <c r="AT451" t="s">
        <v>74</v>
      </c>
      <c r="AU451">
        <v>2016</v>
      </c>
      <c r="AV451">
        <v>9550</v>
      </c>
      <c r="AW451" t="s">
        <v>74</v>
      </c>
      <c r="AX451" t="s">
        <v>74</v>
      </c>
      <c r="AY451" t="s">
        <v>74</v>
      </c>
      <c r="AZ451" t="s">
        <v>74</v>
      </c>
      <c r="BA451" t="s">
        <v>74</v>
      </c>
      <c r="BB451">
        <v>111</v>
      </c>
      <c r="BC451">
        <v>124</v>
      </c>
      <c r="BD451" t="s">
        <v>74</v>
      </c>
      <c r="BE451" t="s">
        <v>9252</v>
      </c>
      <c r="BF451" t="str">
        <f>HYPERLINK("http://dx.doi.org/10.1007/978-3-662-49247-5_7","http://dx.doi.org/10.1007/978-3-662-49247-5_7")</f>
        <v>http://dx.doi.org/10.1007/978-3-662-49247-5_7</v>
      </c>
      <c r="BG451" t="s">
        <v>74</v>
      </c>
      <c r="BH451" t="s">
        <v>74</v>
      </c>
      <c r="BI451">
        <v>14</v>
      </c>
      <c r="BJ451" t="s">
        <v>9253</v>
      </c>
      <c r="BK451" t="s">
        <v>203</v>
      </c>
      <c r="BL451" t="s">
        <v>103</v>
      </c>
      <c r="BM451" t="s">
        <v>9254</v>
      </c>
      <c r="BN451" t="s">
        <v>74</v>
      </c>
      <c r="BO451" t="s">
        <v>74</v>
      </c>
      <c r="BP451" t="s">
        <v>74</v>
      </c>
      <c r="BQ451" t="s">
        <v>74</v>
      </c>
      <c r="BR451" t="s">
        <v>106</v>
      </c>
      <c r="BS451" t="s">
        <v>9255</v>
      </c>
      <c r="BT451" t="str">
        <f>HYPERLINK("https%3A%2F%2Fwww.webofscience.com%2Fwos%2Fwoscc%2Ffull-record%2FWOS:000376574600007","View Full Record in Web of Science")</f>
        <v>View Full Record in Web of Science</v>
      </c>
    </row>
    <row r="452" spans="1:72" x14ac:dyDescent="0.25">
      <c r="A452" t="s">
        <v>72</v>
      </c>
      <c r="B452" t="s">
        <v>9256</v>
      </c>
      <c r="C452" t="s">
        <v>74</v>
      </c>
      <c r="D452" t="s">
        <v>74</v>
      </c>
      <c r="E452" t="s">
        <v>74</v>
      </c>
      <c r="F452" t="s">
        <v>9257</v>
      </c>
      <c r="G452" t="s">
        <v>74</v>
      </c>
      <c r="H452" t="s">
        <v>74</v>
      </c>
      <c r="I452" t="s">
        <v>9258</v>
      </c>
      <c r="J452" t="s">
        <v>3418</v>
      </c>
      <c r="K452" t="s">
        <v>74</v>
      </c>
      <c r="L452" t="s">
        <v>74</v>
      </c>
      <c r="M452" t="s">
        <v>78</v>
      </c>
      <c r="N452" t="s">
        <v>79</v>
      </c>
      <c r="O452" t="s">
        <v>74</v>
      </c>
      <c r="P452" t="s">
        <v>74</v>
      </c>
      <c r="Q452" t="s">
        <v>74</v>
      </c>
      <c r="R452" t="s">
        <v>74</v>
      </c>
      <c r="S452" t="s">
        <v>74</v>
      </c>
      <c r="T452" t="s">
        <v>9259</v>
      </c>
      <c r="U452" t="s">
        <v>9260</v>
      </c>
      <c r="V452" t="s">
        <v>9261</v>
      </c>
      <c r="W452" t="s">
        <v>9262</v>
      </c>
      <c r="X452" t="s">
        <v>4883</v>
      </c>
      <c r="Y452" t="s">
        <v>9263</v>
      </c>
      <c r="Z452" t="s">
        <v>9264</v>
      </c>
      <c r="AA452" t="s">
        <v>9265</v>
      </c>
      <c r="AB452" t="s">
        <v>9266</v>
      </c>
      <c r="AC452" t="s">
        <v>4888</v>
      </c>
      <c r="AD452" t="s">
        <v>4889</v>
      </c>
      <c r="AE452" t="s">
        <v>9267</v>
      </c>
      <c r="AF452" t="s">
        <v>74</v>
      </c>
      <c r="AG452">
        <v>37</v>
      </c>
      <c r="AH452">
        <v>17</v>
      </c>
      <c r="AI452">
        <v>22</v>
      </c>
      <c r="AJ452">
        <v>0</v>
      </c>
      <c r="AK452">
        <v>26</v>
      </c>
      <c r="AL452" t="s">
        <v>3427</v>
      </c>
      <c r="AM452" t="s">
        <v>3428</v>
      </c>
      <c r="AN452" t="s">
        <v>3429</v>
      </c>
      <c r="AO452" t="s">
        <v>3430</v>
      </c>
      <c r="AP452" t="s">
        <v>3431</v>
      </c>
      <c r="AQ452" t="s">
        <v>74</v>
      </c>
      <c r="AR452" t="s">
        <v>3432</v>
      </c>
      <c r="AS452" t="s">
        <v>3433</v>
      </c>
      <c r="AT452" t="s">
        <v>9268</v>
      </c>
      <c r="AU452">
        <v>2017</v>
      </c>
      <c r="AV452">
        <v>7</v>
      </c>
      <c r="AW452">
        <v>1</v>
      </c>
      <c r="AX452" t="s">
        <v>74</v>
      </c>
      <c r="AY452" t="s">
        <v>74</v>
      </c>
      <c r="AZ452" t="s">
        <v>74</v>
      </c>
      <c r="BA452" t="s">
        <v>74</v>
      </c>
      <c r="BB452" t="s">
        <v>74</v>
      </c>
      <c r="BC452" t="s">
        <v>74</v>
      </c>
      <c r="BD452">
        <v>40</v>
      </c>
      <c r="BE452" t="s">
        <v>9269</v>
      </c>
      <c r="BF452" t="str">
        <f>HYPERLINK("http://dx.doi.org/10.1007/s13278-017-0460-3","http://dx.doi.org/10.1007/s13278-017-0460-3")</f>
        <v>http://dx.doi.org/10.1007/s13278-017-0460-3</v>
      </c>
      <c r="BG452" t="s">
        <v>74</v>
      </c>
      <c r="BH452" t="s">
        <v>74</v>
      </c>
      <c r="BI452">
        <v>12</v>
      </c>
      <c r="BJ452" t="s">
        <v>852</v>
      </c>
      <c r="BK452" t="s">
        <v>102</v>
      </c>
      <c r="BL452" t="s">
        <v>103</v>
      </c>
      <c r="BM452" t="s">
        <v>9270</v>
      </c>
      <c r="BN452" t="s">
        <v>74</v>
      </c>
      <c r="BO452" t="s">
        <v>346</v>
      </c>
      <c r="BP452" t="s">
        <v>74</v>
      </c>
      <c r="BQ452" t="s">
        <v>74</v>
      </c>
      <c r="BR452" t="s">
        <v>106</v>
      </c>
      <c r="BS452" t="s">
        <v>9271</v>
      </c>
      <c r="BT452" t="str">
        <f>HYPERLINK("https%3A%2F%2Fwww.webofscience.com%2Fwos%2Fwoscc%2Ffull-record%2FWOS:000408657200002","View Full Record in Web of Science")</f>
        <v>View Full Record in Web of Science</v>
      </c>
    </row>
    <row r="453" spans="1:72" x14ac:dyDescent="0.25">
      <c r="A453" t="s">
        <v>108</v>
      </c>
      <c r="B453" t="s">
        <v>9272</v>
      </c>
      <c r="C453" t="s">
        <v>74</v>
      </c>
      <c r="D453" t="s">
        <v>9273</v>
      </c>
      <c r="E453" t="s">
        <v>74</v>
      </c>
      <c r="F453" t="s">
        <v>9274</v>
      </c>
      <c r="G453" t="s">
        <v>74</v>
      </c>
      <c r="H453" t="s">
        <v>74</v>
      </c>
      <c r="I453" t="s">
        <v>9275</v>
      </c>
      <c r="J453" t="s">
        <v>9276</v>
      </c>
      <c r="K453" t="s">
        <v>6162</v>
      </c>
      <c r="L453" t="s">
        <v>74</v>
      </c>
      <c r="M453" t="s">
        <v>78</v>
      </c>
      <c r="N453" t="s">
        <v>115</v>
      </c>
      <c r="O453" t="s">
        <v>9277</v>
      </c>
      <c r="P453" t="s">
        <v>9278</v>
      </c>
      <c r="Q453" t="s">
        <v>4669</v>
      </c>
      <c r="R453" t="s">
        <v>9279</v>
      </c>
      <c r="S453" t="s">
        <v>74</v>
      </c>
      <c r="T453" t="s">
        <v>9280</v>
      </c>
      <c r="U453" t="s">
        <v>74</v>
      </c>
      <c r="V453" t="s">
        <v>9281</v>
      </c>
      <c r="W453" t="s">
        <v>9282</v>
      </c>
      <c r="X453" t="s">
        <v>9283</v>
      </c>
      <c r="Y453" t="s">
        <v>5404</v>
      </c>
      <c r="Z453" t="s">
        <v>9284</v>
      </c>
      <c r="AA453" t="s">
        <v>9285</v>
      </c>
      <c r="AB453" t="s">
        <v>74</v>
      </c>
      <c r="AC453" t="s">
        <v>9286</v>
      </c>
      <c r="AD453" t="s">
        <v>9287</v>
      </c>
      <c r="AE453" t="s">
        <v>9288</v>
      </c>
      <c r="AF453" t="s">
        <v>74</v>
      </c>
      <c r="AG453">
        <v>19</v>
      </c>
      <c r="AH453">
        <v>2</v>
      </c>
      <c r="AI453">
        <v>2</v>
      </c>
      <c r="AJ453">
        <v>1</v>
      </c>
      <c r="AK453">
        <v>9</v>
      </c>
      <c r="AL453" t="s">
        <v>465</v>
      </c>
      <c r="AM453" t="s">
        <v>92</v>
      </c>
      <c r="AN453" t="s">
        <v>480</v>
      </c>
      <c r="AO453" t="s">
        <v>6859</v>
      </c>
      <c r="AP453" t="s">
        <v>74</v>
      </c>
      <c r="AQ453" t="s">
        <v>9289</v>
      </c>
      <c r="AR453" t="s">
        <v>6861</v>
      </c>
      <c r="AS453" t="s">
        <v>74</v>
      </c>
      <c r="AT453" t="s">
        <v>74</v>
      </c>
      <c r="AU453">
        <v>2021</v>
      </c>
      <c r="AV453" t="s">
        <v>74</v>
      </c>
      <c r="AW453" t="s">
        <v>74</v>
      </c>
      <c r="AX453" t="s">
        <v>74</v>
      </c>
      <c r="AY453" t="s">
        <v>74</v>
      </c>
      <c r="AZ453" t="s">
        <v>74</v>
      </c>
      <c r="BA453" t="s">
        <v>74</v>
      </c>
      <c r="BB453">
        <v>500</v>
      </c>
      <c r="BC453">
        <v>509</v>
      </c>
      <c r="BD453" t="s">
        <v>74</v>
      </c>
      <c r="BE453" t="s">
        <v>9290</v>
      </c>
      <c r="BF453" t="str">
        <f>HYPERLINK("http://dx.doi.org/10.1109/BigData52589.2021.9671313","http://dx.doi.org/10.1109/BigData52589.2021.9671313")</f>
        <v>http://dx.doi.org/10.1109/BigData52589.2021.9671313</v>
      </c>
      <c r="BG453" t="s">
        <v>74</v>
      </c>
      <c r="BH453" t="s">
        <v>74</v>
      </c>
      <c r="BI453">
        <v>10</v>
      </c>
      <c r="BJ453" t="s">
        <v>461</v>
      </c>
      <c r="BK453" t="s">
        <v>203</v>
      </c>
      <c r="BL453" t="s">
        <v>103</v>
      </c>
      <c r="BM453" t="s">
        <v>9291</v>
      </c>
      <c r="BN453" t="s">
        <v>74</v>
      </c>
      <c r="BO453" t="s">
        <v>74</v>
      </c>
      <c r="BP453" t="s">
        <v>74</v>
      </c>
      <c r="BQ453" t="s">
        <v>74</v>
      </c>
      <c r="BR453" t="s">
        <v>106</v>
      </c>
      <c r="BS453" t="s">
        <v>9292</v>
      </c>
      <c r="BT453" t="str">
        <f>HYPERLINK("https%3A%2F%2Fwww.webofscience.com%2Fwos%2Fwoscc%2Ffull-record%2FWOS:000800559500051","View Full Record in Web of Science")</f>
        <v>View Full Record in Web of Science</v>
      </c>
    </row>
    <row r="454" spans="1:72" x14ac:dyDescent="0.25">
      <c r="A454" t="s">
        <v>72</v>
      </c>
      <c r="B454" t="s">
        <v>9293</v>
      </c>
      <c r="C454" t="s">
        <v>74</v>
      </c>
      <c r="D454" t="s">
        <v>74</v>
      </c>
      <c r="E454" t="s">
        <v>74</v>
      </c>
      <c r="F454" t="s">
        <v>9294</v>
      </c>
      <c r="G454" t="s">
        <v>74</v>
      </c>
      <c r="H454" t="s">
        <v>74</v>
      </c>
      <c r="I454" t="s">
        <v>9295</v>
      </c>
      <c r="J454" t="s">
        <v>2058</v>
      </c>
      <c r="K454" t="s">
        <v>74</v>
      </c>
      <c r="L454" t="s">
        <v>74</v>
      </c>
      <c r="M454" t="s">
        <v>78</v>
      </c>
      <c r="N454" t="s">
        <v>79</v>
      </c>
      <c r="O454" t="s">
        <v>74</v>
      </c>
      <c r="P454" t="s">
        <v>74</v>
      </c>
      <c r="Q454" t="s">
        <v>74</v>
      </c>
      <c r="R454" t="s">
        <v>74</v>
      </c>
      <c r="S454" t="s">
        <v>74</v>
      </c>
      <c r="T454" t="s">
        <v>9296</v>
      </c>
      <c r="U454" t="s">
        <v>9297</v>
      </c>
      <c r="V454" t="s">
        <v>9298</v>
      </c>
      <c r="W454" t="s">
        <v>9299</v>
      </c>
      <c r="X454" t="s">
        <v>9300</v>
      </c>
      <c r="Y454" t="s">
        <v>9301</v>
      </c>
      <c r="Z454" t="s">
        <v>9302</v>
      </c>
      <c r="AA454" t="s">
        <v>9303</v>
      </c>
      <c r="AB454" t="s">
        <v>9304</v>
      </c>
      <c r="AC454" t="s">
        <v>9305</v>
      </c>
      <c r="AD454" t="s">
        <v>9306</v>
      </c>
      <c r="AE454" t="s">
        <v>9307</v>
      </c>
      <c r="AF454" t="s">
        <v>74</v>
      </c>
      <c r="AG454">
        <v>56</v>
      </c>
      <c r="AH454">
        <v>2</v>
      </c>
      <c r="AI454">
        <v>2</v>
      </c>
      <c r="AJ454">
        <v>0</v>
      </c>
      <c r="AK454">
        <v>24</v>
      </c>
      <c r="AL454" t="s">
        <v>1272</v>
      </c>
      <c r="AM454" t="s">
        <v>1273</v>
      </c>
      <c r="AN454" t="s">
        <v>1274</v>
      </c>
      <c r="AO454" t="s">
        <v>74</v>
      </c>
      <c r="AP454" t="s">
        <v>2070</v>
      </c>
      <c r="AQ454" t="s">
        <v>74</v>
      </c>
      <c r="AR454" t="s">
        <v>2071</v>
      </c>
      <c r="AS454" t="s">
        <v>2072</v>
      </c>
      <c r="AT454" t="s">
        <v>1950</v>
      </c>
      <c r="AU454">
        <v>2022</v>
      </c>
      <c r="AV454">
        <v>12</v>
      </c>
      <c r="AW454">
        <v>4</v>
      </c>
      <c r="AX454" t="s">
        <v>74</v>
      </c>
      <c r="AY454" t="s">
        <v>74</v>
      </c>
      <c r="AZ454" t="s">
        <v>74</v>
      </c>
      <c r="BA454" t="s">
        <v>74</v>
      </c>
      <c r="BB454" t="s">
        <v>74</v>
      </c>
      <c r="BC454" t="s">
        <v>74</v>
      </c>
      <c r="BD454">
        <v>2157</v>
      </c>
      <c r="BE454" t="s">
        <v>9308</v>
      </c>
      <c r="BF454" t="str">
        <f>HYPERLINK("http://dx.doi.org/10.3390/app12042157","http://dx.doi.org/10.3390/app12042157")</f>
        <v>http://dx.doi.org/10.3390/app12042157</v>
      </c>
      <c r="BG454" t="s">
        <v>74</v>
      </c>
      <c r="BH454" t="s">
        <v>74</v>
      </c>
      <c r="BI454">
        <v>31</v>
      </c>
      <c r="BJ454" t="s">
        <v>2075</v>
      </c>
      <c r="BK454" t="s">
        <v>745</v>
      </c>
      <c r="BL454" t="s">
        <v>2076</v>
      </c>
      <c r="BM454" t="s">
        <v>9309</v>
      </c>
      <c r="BN454" t="s">
        <v>74</v>
      </c>
      <c r="BO454" t="s">
        <v>9310</v>
      </c>
      <c r="BP454" t="s">
        <v>74</v>
      </c>
      <c r="BQ454" t="s">
        <v>74</v>
      </c>
      <c r="BR454" t="s">
        <v>106</v>
      </c>
      <c r="BS454" t="s">
        <v>9311</v>
      </c>
      <c r="BT454" t="str">
        <f>HYPERLINK("https%3A%2F%2Fwww.webofscience.com%2Fwos%2Fwoscc%2Ffull-record%2FWOS:000763879800001","View Full Record in Web of Science")</f>
        <v>View Full Record in Web of Science</v>
      </c>
    </row>
    <row r="455" spans="1:72" x14ac:dyDescent="0.25">
      <c r="A455" t="s">
        <v>72</v>
      </c>
      <c r="B455" t="s">
        <v>9312</v>
      </c>
      <c r="C455" t="s">
        <v>74</v>
      </c>
      <c r="D455" t="s">
        <v>74</v>
      </c>
      <c r="E455" t="s">
        <v>74</v>
      </c>
      <c r="F455" t="s">
        <v>9313</v>
      </c>
      <c r="G455" t="s">
        <v>74</v>
      </c>
      <c r="H455" t="s">
        <v>74</v>
      </c>
      <c r="I455" t="s">
        <v>9314</v>
      </c>
      <c r="J455" t="s">
        <v>9315</v>
      </c>
      <c r="K455" t="s">
        <v>74</v>
      </c>
      <c r="L455" t="s">
        <v>74</v>
      </c>
      <c r="M455" t="s">
        <v>78</v>
      </c>
      <c r="N455" t="s">
        <v>79</v>
      </c>
      <c r="O455" t="s">
        <v>74</v>
      </c>
      <c r="P455" t="s">
        <v>74</v>
      </c>
      <c r="Q455" t="s">
        <v>74</v>
      </c>
      <c r="R455" t="s">
        <v>74</v>
      </c>
      <c r="S455" t="s">
        <v>74</v>
      </c>
      <c r="T455" t="s">
        <v>9316</v>
      </c>
      <c r="U455" t="s">
        <v>74</v>
      </c>
      <c r="V455" t="s">
        <v>9317</v>
      </c>
      <c r="W455" t="s">
        <v>9318</v>
      </c>
      <c r="X455" t="s">
        <v>9319</v>
      </c>
      <c r="Y455" t="s">
        <v>9320</v>
      </c>
      <c r="Z455" t="s">
        <v>9321</v>
      </c>
      <c r="AA455" t="s">
        <v>9322</v>
      </c>
      <c r="AB455" t="s">
        <v>9323</v>
      </c>
      <c r="AC455" t="s">
        <v>9324</v>
      </c>
      <c r="AD455" t="s">
        <v>9325</v>
      </c>
      <c r="AE455" t="s">
        <v>9326</v>
      </c>
      <c r="AF455" t="s">
        <v>74</v>
      </c>
      <c r="AG455">
        <v>47</v>
      </c>
      <c r="AH455">
        <v>23</v>
      </c>
      <c r="AI455">
        <v>24</v>
      </c>
      <c r="AJ455">
        <v>1</v>
      </c>
      <c r="AK455">
        <v>24</v>
      </c>
      <c r="AL455" t="s">
        <v>178</v>
      </c>
      <c r="AM455" t="s">
        <v>92</v>
      </c>
      <c r="AN455" t="s">
        <v>179</v>
      </c>
      <c r="AO455" t="s">
        <v>9327</v>
      </c>
      <c r="AP455" t="s">
        <v>9328</v>
      </c>
      <c r="AQ455" t="s">
        <v>74</v>
      </c>
      <c r="AR455" t="s">
        <v>9329</v>
      </c>
      <c r="AS455" t="s">
        <v>9330</v>
      </c>
      <c r="AT455" t="s">
        <v>565</v>
      </c>
      <c r="AU455">
        <v>2019</v>
      </c>
      <c r="AV455">
        <v>11</v>
      </c>
      <c r="AW455">
        <v>4</v>
      </c>
      <c r="AX455" t="s">
        <v>74</v>
      </c>
      <c r="AY455" t="s">
        <v>74</v>
      </c>
      <c r="AZ455" t="s">
        <v>74</v>
      </c>
      <c r="BA455" t="s">
        <v>74</v>
      </c>
      <c r="BB455">
        <v>459</v>
      </c>
      <c r="BC455">
        <v>468</v>
      </c>
      <c r="BD455" t="s">
        <v>74</v>
      </c>
      <c r="BE455" t="s">
        <v>9331</v>
      </c>
      <c r="BF455" t="str">
        <f>HYPERLINK("http://dx.doi.org/10.1007/s12559-019-9624-y","http://dx.doi.org/10.1007/s12559-019-9624-y")</f>
        <v>http://dx.doi.org/10.1007/s12559-019-9624-y</v>
      </c>
      <c r="BG455" t="s">
        <v>74</v>
      </c>
      <c r="BH455" t="s">
        <v>74</v>
      </c>
      <c r="BI455">
        <v>10</v>
      </c>
      <c r="BJ455" t="s">
        <v>9332</v>
      </c>
      <c r="BK455" t="s">
        <v>902</v>
      </c>
      <c r="BL455" t="s">
        <v>5836</v>
      </c>
      <c r="BM455" t="s">
        <v>9333</v>
      </c>
      <c r="BN455" t="s">
        <v>74</v>
      </c>
      <c r="BO455" t="s">
        <v>74</v>
      </c>
      <c r="BP455" t="s">
        <v>74</v>
      </c>
      <c r="BQ455" t="s">
        <v>74</v>
      </c>
      <c r="BR455" t="s">
        <v>106</v>
      </c>
      <c r="BS455" t="s">
        <v>9334</v>
      </c>
      <c r="BT455" t="str">
        <f>HYPERLINK("https%3A%2F%2Fwww.webofscience.com%2Fwos%2Fwoscc%2Ffull-record%2FWOS:000490550100001","View Full Record in Web of Science")</f>
        <v>View Full Record in Web of Science</v>
      </c>
    </row>
    <row r="456" spans="1:72" x14ac:dyDescent="0.25">
      <c r="A456" t="s">
        <v>108</v>
      </c>
      <c r="B456" t="s">
        <v>9335</v>
      </c>
      <c r="C456" t="s">
        <v>74</v>
      </c>
      <c r="D456" t="s">
        <v>74</v>
      </c>
      <c r="E456" t="s">
        <v>322</v>
      </c>
      <c r="F456" t="s">
        <v>9336</v>
      </c>
      <c r="G456" t="s">
        <v>74</v>
      </c>
      <c r="H456" t="s">
        <v>74</v>
      </c>
      <c r="I456" t="s">
        <v>9337</v>
      </c>
      <c r="J456" t="s">
        <v>9338</v>
      </c>
      <c r="K456" t="s">
        <v>74</v>
      </c>
      <c r="L456" t="s">
        <v>74</v>
      </c>
      <c r="M456" t="s">
        <v>78</v>
      </c>
      <c r="N456" t="s">
        <v>115</v>
      </c>
      <c r="O456" t="s">
        <v>9339</v>
      </c>
      <c r="P456" t="s">
        <v>9340</v>
      </c>
      <c r="Q456" t="s">
        <v>1339</v>
      </c>
      <c r="R456" t="s">
        <v>406</v>
      </c>
      <c r="S456" t="s">
        <v>74</v>
      </c>
      <c r="T456" t="s">
        <v>9341</v>
      </c>
      <c r="U456" t="s">
        <v>74</v>
      </c>
      <c r="V456" t="s">
        <v>9342</v>
      </c>
      <c r="W456" t="s">
        <v>9343</v>
      </c>
      <c r="X456" t="s">
        <v>9344</v>
      </c>
      <c r="Y456" t="s">
        <v>9345</v>
      </c>
      <c r="Z456" t="s">
        <v>9346</v>
      </c>
      <c r="AA456" t="s">
        <v>9347</v>
      </c>
      <c r="AB456" t="s">
        <v>74</v>
      </c>
      <c r="AC456" t="s">
        <v>9348</v>
      </c>
      <c r="AD456" t="s">
        <v>9349</v>
      </c>
      <c r="AE456" t="s">
        <v>9350</v>
      </c>
      <c r="AF456" t="s">
        <v>74</v>
      </c>
      <c r="AG456">
        <v>42</v>
      </c>
      <c r="AH456">
        <v>0</v>
      </c>
      <c r="AI456">
        <v>0</v>
      </c>
      <c r="AJ456">
        <v>0</v>
      </c>
      <c r="AK456">
        <v>0</v>
      </c>
      <c r="AL456" t="s">
        <v>291</v>
      </c>
      <c r="AM456" t="s">
        <v>92</v>
      </c>
      <c r="AN456" t="s">
        <v>341</v>
      </c>
      <c r="AO456" t="s">
        <v>74</v>
      </c>
      <c r="AP456" t="s">
        <v>74</v>
      </c>
      <c r="AQ456" t="s">
        <v>9351</v>
      </c>
      <c r="AR456" t="s">
        <v>74</v>
      </c>
      <c r="AS456" t="s">
        <v>74</v>
      </c>
      <c r="AT456" t="s">
        <v>74</v>
      </c>
      <c r="AU456">
        <v>2026</v>
      </c>
      <c r="AV456" t="s">
        <v>74</v>
      </c>
      <c r="AW456" t="s">
        <v>74</v>
      </c>
      <c r="AX456" t="s">
        <v>74</v>
      </c>
      <c r="AY456" t="s">
        <v>74</v>
      </c>
      <c r="AZ456" t="s">
        <v>74</v>
      </c>
      <c r="BA456" t="s">
        <v>74</v>
      </c>
      <c r="BB456">
        <v>132</v>
      </c>
      <c r="BC456">
        <v>141</v>
      </c>
      <c r="BD456" t="s">
        <v>74</v>
      </c>
      <c r="BE456" t="s">
        <v>9352</v>
      </c>
      <c r="BF456" t="str">
        <f>HYPERLINK("http://dx.doi.org/10.1145/3773966.3778026","http://dx.doi.org/10.1145/3773966.3778026")</f>
        <v>http://dx.doi.org/10.1145/3773966.3778026</v>
      </c>
      <c r="BG456" t="s">
        <v>74</v>
      </c>
      <c r="BH456" t="s">
        <v>74</v>
      </c>
      <c r="BI456">
        <v>10</v>
      </c>
      <c r="BJ456" t="s">
        <v>461</v>
      </c>
      <c r="BK456" t="s">
        <v>203</v>
      </c>
      <c r="BL456" t="s">
        <v>103</v>
      </c>
      <c r="BM456" t="s">
        <v>9353</v>
      </c>
      <c r="BN456" t="s">
        <v>74</v>
      </c>
      <c r="BO456" t="s">
        <v>372</v>
      </c>
      <c r="BP456" t="s">
        <v>74</v>
      </c>
      <c r="BQ456" t="s">
        <v>74</v>
      </c>
      <c r="BR456" t="s">
        <v>106</v>
      </c>
      <c r="BS456" t="s">
        <v>9354</v>
      </c>
      <c r="BT456" t="str">
        <f>HYPERLINK("https%3A%2F%2Fwww.webofscience.com%2Fwos%2Fwoscc%2Ffull-record%2FWOS:001832724900016","View Full Record in Web of Science")</f>
        <v>View Full Record in Web of Science</v>
      </c>
    </row>
    <row r="457" spans="1:72" x14ac:dyDescent="0.25">
      <c r="A457" t="s">
        <v>72</v>
      </c>
      <c r="B457" t="s">
        <v>9355</v>
      </c>
      <c r="C457" t="s">
        <v>74</v>
      </c>
      <c r="D457" t="s">
        <v>74</v>
      </c>
      <c r="E457" t="s">
        <v>74</v>
      </c>
      <c r="F457" t="s">
        <v>9356</v>
      </c>
      <c r="G457" t="s">
        <v>74</v>
      </c>
      <c r="H457" t="s">
        <v>74</v>
      </c>
      <c r="I457" t="s">
        <v>9357</v>
      </c>
      <c r="J457" t="s">
        <v>4744</v>
      </c>
      <c r="K457" t="s">
        <v>74</v>
      </c>
      <c r="L457" t="s">
        <v>74</v>
      </c>
      <c r="M457" t="s">
        <v>78</v>
      </c>
      <c r="N457" t="s">
        <v>79</v>
      </c>
      <c r="O457" t="s">
        <v>74</v>
      </c>
      <c r="P457" t="s">
        <v>74</v>
      </c>
      <c r="Q457" t="s">
        <v>74</v>
      </c>
      <c r="R457" t="s">
        <v>74</v>
      </c>
      <c r="S457" t="s">
        <v>74</v>
      </c>
      <c r="T457" t="s">
        <v>9358</v>
      </c>
      <c r="U457" t="s">
        <v>9359</v>
      </c>
      <c r="V457" t="s">
        <v>9360</v>
      </c>
      <c r="W457" t="s">
        <v>9361</v>
      </c>
      <c r="X457" t="s">
        <v>9362</v>
      </c>
      <c r="Y457" t="s">
        <v>9363</v>
      </c>
      <c r="Z457" t="s">
        <v>9364</v>
      </c>
      <c r="AA457" t="s">
        <v>74</v>
      </c>
      <c r="AB457" t="s">
        <v>9365</v>
      </c>
      <c r="AC457" t="s">
        <v>9366</v>
      </c>
      <c r="AD457" t="s">
        <v>9367</v>
      </c>
      <c r="AE457" t="s">
        <v>9368</v>
      </c>
      <c r="AF457" t="s">
        <v>74</v>
      </c>
      <c r="AG457">
        <v>29</v>
      </c>
      <c r="AH457">
        <v>11</v>
      </c>
      <c r="AI457">
        <v>13</v>
      </c>
      <c r="AJ457">
        <v>0</v>
      </c>
      <c r="AK457">
        <v>11</v>
      </c>
      <c r="AL457" t="s">
        <v>178</v>
      </c>
      <c r="AM457" t="s">
        <v>92</v>
      </c>
      <c r="AN457" t="s">
        <v>179</v>
      </c>
      <c r="AO457" t="s">
        <v>4753</v>
      </c>
      <c r="AP457" t="s">
        <v>4754</v>
      </c>
      <c r="AQ457" t="s">
        <v>74</v>
      </c>
      <c r="AR457" t="s">
        <v>4755</v>
      </c>
      <c r="AS457" t="s">
        <v>4756</v>
      </c>
      <c r="AT457" t="s">
        <v>223</v>
      </c>
      <c r="AU457">
        <v>2012</v>
      </c>
      <c r="AV457">
        <v>15</v>
      </c>
      <c r="AW457">
        <v>2</v>
      </c>
      <c r="AX457" t="s">
        <v>74</v>
      </c>
      <c r="AY457" t="s">
        <v>74</v>
      </c>
      <c r="AZ457" t="s">
        <v>74</v>
      </c>
      <c r="BA457" t="s">
        <v>74</v>
      </c>
      <c r="BB457">
        <v>197</v>
      </c>
      <c r="BC457">
        <v>212</v>
      </c>
      <c r="BD457" t="s">
        <v>74</v>
      </c>
      <c r="BE457" t="s">
        <v>9369</v>
      </c>
      <c r="BF457" t="str">
        <f>HYPERLINK("http://dx.doi.org/10.1007/s11280-011-0129-1","http://dx.doi.org/10.1007/s11280-011-0129-1")</f>
        <v>http://dx.doi.org/10.1007/s11280-011-0129-1</v>
      </c>
      <c r="BG457" t="s">
        <v>74</v>
      </c>
      <c r="BH457" t="s">
        <v>74</v>
      </c>
      <c r="BI457">
        <v>16</v>
      </c>
      <c r="BJ457" t="s">
        <v>2540</v>
      </c>
      <c r="BK457" t="s">
        <v>902</v>
      </c>
      <c r="BL457" t="s">
        <v>103</v>
      </c>
      <c r="BM457" t="s">
        <v>9370</v>
      </c>
      <c r="BN457" t="s">
        <v>74</v>
      </c>
      <c r="BO457" t="s">
        <v>346</v>
      </c>
      <c r="BP457" t="s">
        <v>74</v>
      </c>
      <c r="BQ457" t="s">
        <v>74</v>
      </c>
      <c r="BR457" t="s">
        <v>106</v>
      </c>
      <c r="BS457" t="s">
        <v>9371</v>
      </c>
      <c r="BT457" t="str">
        <f>HYPERLINK("https%3A%2F%2Fwww.webofscience.com%2Fwos%2Fwoscc%2Ffull-record%2FWOS:000299891800005","View Full Record in Web of Science")</f>
        <v>View Full Record in Web of Science</v>
      </c>
    </row>
    <row r="458" spans="1:72" x14ac:dyDescent="0.25">
      <c r="A458" t="s">
        <v>72</v>
      </c>
      <c r="B458" t="s">
        <v>9372</v>
      </c>
      <c r="C458" t="s">
        <v>74</v>
      </c>
      <c r="D458" t="s">
        <v>74</v>
      </c>
      <c r="E458" t="s">
        <v>74</v>
      </c>
      <c r="F458" t="s">
        <v>9373</v>
      </c>
      <c r="G458" t="s">
        <v>74</v>
      </c>
      <c r="H458" t="s">
        <v>74</v>
      </c>
      <c r="I458" t="s">
        <v>9374</v>
      </c>
      <c r="J458" t="s">
        <v>9375</v>
      </c>
      <c r="K458" t="s">
        <v>74</v>
      </c>
      <c r="L458" t="s">
        <v>74</v>
      </c>
      <c r="M458" t="s">
        <v>78</v>
      </c>
      <c r="N458" t="s">
        <v>79</v>
      </c>
      <c r="O458" t="s">
        <v>74</v>
      </c>
      <c r="P458" t="s">
        <v>74</v>
      </c>
      <c r="Q458" t="s">
        <v>74</v>
      </c>
      <c r="R458" t="s">
        <v>74</v>
      </c>
      <c r="S458" t="s">
        <v>74</v>
      </c>
      <c r="T458" t="s">
        <v>9376</v>
      </c>
      <c r="U458" t="s">
        <v>74</v>
      </c>
      <c r="V458" t="s">
        <v>9377</v>
      </c>
      <c r="W458" t="s">
        <v>9378</v>
      </c>
      <c r="X458" t="s">
        <v>9379</v>
      </c>
      <c r="Y458" t="s">
        <v>9380</v>
      </c>
      <c r="Z458" t="s">
        <v>74</v>
      </c>
      <c r="AA458" t="s">
        <v>74</v>
      </c>
      <c r="AB458" t="s">
        <v>9381</v>
      </c>
      <c r="AC458" t="s">
        <v>74</v>
      </c>
      <c r="AD458" t="s">
        <v>74</v>
      </c>
      <c r="AE458" t="s">
        <v>74</v>
      </c>
      <c r="AF458" t="s">
        <v>74</v>
      </c>
      <c r="AG458">
        <v>16</v>
      </c>
      <c r="AH458">
        <v>7</v>
      </c>
      <c r="AI458">
        <v>8</v>
      </c>
      <c r="AJ458">
        <v>0</v>
      </c>
      <c r="AK458">
        <v>18</v>
      </c>
      <c r="AL458" t="s">
        <v>9382</v>
      </c>
      <c r="AM458" t="s">
        <v>9383</v>
      </c>
      <c r="AN458" t="s">
        <v>9384</v>
      </c>
      <c r="AO458" t="s">
        <v>9385</v>
      </c>
      <c r="AP458" t="s">
        <v>74</v>
      </c>
      <c r="AQ458" t="s">
        <v>74</v>
      </c>
      <c r="AR458" t="s">
        <v>9386</v>
      </c>
      <c r="AS458" t="s">
        <v>9387</v>
      </c>
      <c r="AT458" t="s">
        <v>1251</v>
      </c>
      <c r="AU458">
        <v>2015</v>
      </c>
      <c r="AV458">
        <v>16</v>
      </c>
      <c r="AW458">
        <v>2</v>
      </c>
      <c r="AX458" t="s">
        <v>74</v>
      </c>
      <c r="AY458" t="s">
        <v>74</v>
      </c>
      <c r="AZ458" t="s">
        <v>74</v>
      </c>
      <c r="BA458" t="s">
        <v>74</v>
      </c>
      <c r="BB458">
        <v>247</v>
      </c>
      <c r="BC458">
        <v>271</v>
      </c>
      <c r="BD458" t="s">
        <v>74</v>
      </c>
      <c r="BE458" t="s">
        <v>74</v>
      </c>
      <c r="BF458" t="s">
        <v>74</v>
      </c>
      <c r="BG458" t="s">
        <v>74</v>
      </c>
      <c r="BH458" t="s">
        <v>74</v>
      </c>
      <c r="BI458">
        <v>25</v>
      </c>
      <c r="BJ458" t="s">
        <v>318</v>
      </c>
      <c r="BK458" t="s">
        <v>250</v>
      </c>
      <c r="BL458" t="s">
        <v>318</v>
      </c>
      <c r="BM458" t="s">
        <v>9388</v>
      </c>
      <c r="BN458" t="s">
        <v>74</v>
      </c>
      <c r="BO458" t="s">
        <v>74</v>
      </c>
      <c r="BP458" t="s">
        <v>74</v>
      </c>
      <c r="BQ458" t="s">
        <v>74</v>
      </c>
      <c r="BR458" t="s">
        <v>106</v>
      </c>
      <c r="BS458" t="s">
        <v>9389</v>
      </c>
      <c r="BT458" t="str">
        <f>HYPERLINK("https%3A%2F%2Fwww.webofscience.com%2Fwos%2Fwoscc%2Ffull-record%2FWOS:000357189500013","View Full Record in Web of Science")</f>
        <v>View Full Record in Web of Science</v>
      </c>
    </row>
    <row r="459" spans="1:72" x14ac:dyDescent="0.25">
      <c r="A459" t="s">
        <v>108</v>
      </c>
      <c r="B459" t="s">
        <v>9390</v>
      </c>
      <c r="C459" t="s">
        <v>74</v>
      </c>
      <c r="D459" t="s">
        <v>9391</v>
      </c>
      <c r="E459" t="s">
        <v>74</v>
      </c>
      <c r="F459" t="s">
        <v>9392</v>
      </c>
      <c r="G459" t="s">
        <v>74</v>
      </c>
      <c r="H459" t="s">
        <v>74</v>
      </c>
      <c r="I459" t="s">
        <v>9393</v>
      </c>
      <c r="J459" t="s">
        <v>9394</v>
      </c>
      <c r="K459" t="s">
        <v>74</v>
      </c>
      <c r="L459" t="s">
        <v>74</v>
      </c>
      <c r="M459" t="s">
        <v>78</v>
      </c>
      <c r="N459" t="s">
        <v>115</v>
      </c>
      <c r="O459" t="s">
        <v>9395</v>
      </c>
      <c r="P459" t="s">
        <v>9396</v>
      </c>
      <c r="Q459" t="s">
        <v>8930</v>
      </c>
      <c r="R459" t="s">
        <v>9397</v>
      </c>
      <c r="S459" t="s">
        <v>74</v>
      </c>
      <c r="T459" t="s">
        <v>9398</v>
      </c>
      <c r="U459" t="s">
        <v>74</v>
      </c>
      <c r="V459" t="s">
        <v>9399</v>
      </c>
      <c r="W459" t="s">
        <v>9400</v>
      </c>
      <c r="X459" t="s">
        <v>9401</v>
      </c>
      <c r="Y459" t="s">
        <v>9402</v>
      </c>
      <c r="Z459" t="s">
        <v>9403</v>
      </c>
      <c r="AA459" t="s">
        <v>9404</v>
      </c>
      <c r="AB459" t="s">
        <v>9405</v>
      </c>
      <c r="AC459" t="s">
        <v>74</v>
      </c>
      <c r="AD459" t="s">
        <v>74</v>
      </c>
      <c r="AE459" t="s">
        <v>74</v>
      </c>
      <c r="AF459" t="s">
        <v>74</v>
      </c>
      <c r="AG459">
        <v>18</v>
      </c>
      <c r="AH459">
        <v>4</v>
      </c>
      <c r="AI459">
        <v>6</v>
      </c>
      <c r="AJ459">
        <v>0</v>
      </c>
      <c r="AK459">
        <v>2</v>
      </c>
      <c r="AL459" t="s">
        <v>465</v>
      </c>
      <c r="AM459" t="s">
        <v>92</v>
      </c>
      <c r="AN459" t="s">
        <v>480</v>
      </c>
      <c r="AO459" t="s">
        <v>74</v>
      </c>
      <c r="AP459" t="s">
        <v>74</v>
      </c>
      <c r="AQ459" t="s">
        <v>9406</v>
      </c>
      <c r="AR459" t="s">
        <v>74</v>
      </c>
      <c r="AS459" t="s">
        <v>74</v>
      </c>
      <c r="AT459" t="s">
        <v>74</v>
      </c>
      <c r="AU459">
        <v>2017</v>
      </c>
      <c r="AV459" t="s">
        <v>74</v>
      </c>
      <c r="AW459" t="s">
        <v>74</v>
      </c>
      <c r="AX459" t="s">
        <v>74</v>
      </c>
      <c r="AY459" t="s">
        <v>74</v>
      </c>
      <c r="AZ459" t="s">
        <v>74</v>
      </c>
      <c r="BA459" t="s">
        <v>74</v>
      </c>
      <c r="BB459">
        <v>743</v>
      </c>
      <c r="BC459">
        <v>747</v>
      </c>
      <c r="BD459" t="s">
        <v>74</v>
      </c>
      <c r="BE459" t="s">
        <v>74</v>
      </c>
      <c r="BF459" t="s">
        <v>74</v>
      </c>
      <c r="BG459" t="s">
        <v>74</v>
      </c>
      <c r="BH459" t="s">
        <v>74</v>
      </c>
      <c r="BI459">
        <v>5</v>
      </c>
      <c r="BJ459" t="s">
        <v>2632</v>
      </c>
      <c r="BK459" t="s">
        <v>203</v>
      </c>
      <c r="BL459" t="s">
        <v>2633</v>
      </c>
      <c r="BM459" t="s">
        <v>9407</v>
      </c>
      <c r="BN459" t="s">
        <v>74</v>
      </c>
      <c r="BO459" t="s">
        <v>74</v>
      </c>
      <c r="BP459" t="s">
        <v>74</v>
      </c>
      <c r="BQ459" t="s">
        <v>74</v>
      </c>
      <c r="BR459" t="s">
        <v>106</v>
      </c>
      <c r="BS459" t="s">
        <v>9408</v>
      </c>
      <c r="BT459" t="str">
        <f>HYPERLINK("https%3A%2F%2Fwww.webofscience.com%2Fwos%2Fwoscc%2Ffull-record%2FWOS:000426941100146","View Full Record in Web of Science")</f>
        <v>View Full Record in Web of Science</v>
      </c>
    </row>
    <row r="460" spans="1:72" x14ac:dyDescent="0.25">
      <c r="A460" t="s">
        <v>108</v>
      </c>
      <c r="B460" t="s">
        <v>9409</v>
      </c>
      <c r="C460" t="s">
        <v>74</v>
      </c>
      <c r="D460" t="s">
        <v>9410</v>
      </c>
      <c r="E460" t="s">
        <v>74</v>
      </c>
      <c r="F460" t="s">
        <v>9411</v>
      </c>
      <c r="G460" t="s">
        <v>74</v>
      </c>
      <c r="H460" t="s">
        <v>74</v>
      </c>
      <c r="I460" t="s">
        <v>9412</v>
      </c>
      <c r="J460" t="s">
        <v>9413</v>
      </c>
      <c r="K460" t="s">
        <v>74</v>
      </c>
      <c r="L460" t="s">
        <v>74</v>
      </c>
      <c r="M460" t="s">
        <v>78</v>
      </c>
      <c r="N460" t="s">
        <v>115</v>
      </c>
      <c r="O460" t="s">
        <v>9414</v>
      </c>
      <c r="P460" t="s">
        <v>9415</v>
      </c>
      <c r="Q460" t="s">
        <v>9416</v>
      </c>
      <c r="R460" t="s">
        <v>74</v>
      </c>
      <c r="S460" t="s">
        <v>9417</v>
      </c>
      <c r="T460" t="s">
        <v>9418</v>
      </c>
      <c r="U460" t="s">
        <v>74</v>
      </c>
      <c r="V460" t="s">
        <v>9419</v>
      </c>
      <c r="W460" t="s">
        <v>9420</v>
      </c>
      <c r="X460" t="s">
        <v>9421</v>
      </c>
      <c r="Y460" t="s">
        <v>9422</v>
      </c>
      <c r="Z460" t="s">
        <v>9423</v>
      </c>
      <c r="AA460" t="s">
        <v>74</v>
      </c>
      <c r="AB460" t="s">
        <v>74</v>
      </c>
      <c r="AC460" t="s">
        <v>9424</v>
      </c>
      <c r="AD460" t="s">
        <v>9425</v>
      </c>
      <c r="AE460" t="s">
        <v>9426</v>
      </c>
      <c r="AF460" t="s">
        <v>74</v>
      </c>
      <c r="AG460">
        <v>21</v>
      </c>
      <c r="AH460">
        <v>5</v>
      </c>
      <c r="AI460">
        <v>5</v>
      </c>
      <c r="AJ460">
        <v>0</v>
      </c>
      <c r="AK460">
        <v>7</v>
      </c>
      <c r="AL460" t="s">
        <v>7375</v>
      </c>
      <c r="AM460" t="s">
        <v>7376</v>
      </c>
      <c r="AN460" t="s">
        <v>7377</v>
      </c>
      <c r="AO460" t="s">
        <v>74</v>
      </c>
      <c r="AP460" t="s">
        <v>74</v>
      </c>
      <c r="AQ460" t="s">
        <v>9427</v>
      </c>
      <c r="AR460" t="s">
        <v>74</v>
      </c>
      <c r="AS460" t="s">
        <v>74</v>
      </c>
      <c r="AT460" t="s">
        <v>74</v>
      </c>
      <c r="AU460">
        <v>2009</v>
      </c>
      <c r="AV460" t="s">
        <v>74</v>
      </c>
      <c r="AW460" t="s">
        <v>74</v>
      </c>
      <c r="AX460" t="s">
        <v>74</v>
      </c>
      <c r="AY460" t="s">
        <v>74</v>
      </c>
      <c r="AZ460" t="s">
        <v>74</v>
      </c>
      <c r="BA460" t="s">
        <v>74</v>
      </c>
      <c r="BB460">
        <v>294</v>
      </c>
      <c r="BC460" t="s">
        <v>5459</v>
      </c>
      <c r="BD460" t="s">
        <v>74</v>
      </c>
      <c r="BE460" t="s">
        <v>74</v>
      </c>
      <c r="BF460" t="s">
        <v>74</v>
      </c>
      <c r="BG460" t="s">
        <v>74</v>
      </c>
      <c r="BH460" t="s">
        <v>74</v>
      </c>
      <c r="BI460">
        <v>3</v>
      </c>
      <c r="BJ460" t="s">
        <v>318</v>
      </c>
      <c r="BK460" t="s">
        <v>1042</v>
      </c>
      <c r="BL460" t="s">
        <v>318</v>
      </c>
      <c r="BM460" t="s">
        <v>9428</v>
      </c>
      <c r="BN460" t="s">
        <v>74</v>
      </c>
      <c r="BO460" t="s">
        <v>74</v>
      </c>
      <c r="BP460" t="s">
        <v>74</v>
      </c>
      <c r="BQ460" t="s">
        <v>74</v>
      </c>
      <c r="BR460" t="s">
        <v>106</v>
      </c>
      <c r="BS460" t="s">
        <v>9429</v>
      </c>
      <c r="BT460" t="str">
        <f>HYPERLINK("https%3A%2F%2Fwww.webofscience.com%2Fwos%2Fwoscc%2Ffull-record%2FWOS:000274016700039","View Full Record in Web of Science")</f>
        <v>View Full Record in Web of Science</v>
      </c>
    </row>
    <row r="461" spans="1:72" x14ac:dyDescent="0.25">
      <c r="A461" t="s">
        <v>108</v>
      </c>
      <c r="B461" t="s">
        <v>9430</v>
      </c>
      <c r="C461" t="s">
        <v>74</v>
      </c>
      <c r="D461" t="s">
        <v>74</v>
      </c>
      <c r="E461" t="s">
        <v>465</v>
      </c>
      <c r="F461" t="s">
        <v>9431</v>
      </c>
      <c r="G461" t="s">
        <v>74</v>
      </c>
      <c r="H461" t="s">
        <v>74</v>
      </c>
      <c r="I461" t="s">
        <v>9432</v>
      </c>
      <c r="J461" t="s">
        <v>9433</v>
      </c>
      <c r="K461" t="s">
        <v>9434</v>
      </c>
      <c r="L461" t="s">
        <v>74</v>
      </c>
      <c r="M461" t="s">
        <v>78</v>
      </c>
      <c r="N461" t="s">
        <v>115</v>
      </c>
      <c r="O461" t="s">
        <v>9435</v>
      </c>
      <c r="P461" t="s">
        <v>9436</v>
      </c>
      <c r="Q461" t="s">
        <v>9437</v>
      </c>
      <c r="R461" t="s">
        <v>9438</v>
      </c>
      <c r="S461" t="s">
        <v>74</v>
      </c>
      <c r="T461" t="s">
        <v>9439</v>
      </c>
      <c r="U461" t="s">
        <v>74</v>
      </c>
      <c r="V461" t="s">
        <v>9440</v>
      </c>
      <c r="W461" t="s">
        <v>9441</v>
      </c>
      <c r="X461" t="s">
        <v>5006</v>
      </c>
      <c r="Y461" t="s">
        <v>5007</v>
      </c>
      <c r="Z461" t="s">
        <v>9442</v>
      </c>
      <c r="AA461" t="s">
        <v>74</v>
      </c>
      <c r="AB461" t="s">
        <v>74</v>
      </c>
      <c r="AC461" t="s">
        <v>74</v>
      </c>
      <c r="AD461" t="s">
        <v>74</v>
      </c>
      <c r="AE461" t="s">
        <v>74</v>
      </c>
      <c r="AF461" t="s">
        <v>74</v>
      </c>
      <c r="AG461">
        <v>0</v>
      </c>
      <c r="AH461">
        <v>3</v>
      </c>
      <c r="AI461">
        <v>4</v>
      </c>
      <c r="AJ461">
        <v>0</v>
      </c>
      <c r="AK461">
        <v>8</v>
      </c>
      <c r="AL461" t="s">
        <v>465</v>
      </c>
      <c r="AM461" t="s">
        <v>92</v>
      </c>
      <c r="AN461" t="s">
        <v>480</v>
      </c>
      <c r="AO461" t="s">
        <v>9443</v>
      </c>
      <c r="AP461" t="s">
        <v>74</v>
      </c>
      <c r="AQ461" t="s">
        <v>9444</v>
      </c>
      <c r="AR461" t="s">
        <v>9445</v>
      </c>
      <c r="AS461" t="s">
        <v>74</v>
      </c>
      <c r="AT461" t="s">
        <v>74</v>
      </c>
      <c r="AU461">
        <v>2017</v>
      </c>
      <c r="AV461" t="s">
        <v>74</v>
      </c>
      <c r="AW461" t="s">
        <v>74</v>
      </c>
      <c r="AX461" t="s">
        <v>74</v>
      </c>
      <c r="AY461" t="s">
        <v>74</v>
      </c>
      <c r="AZ461" t="s">
        <v>74</v>
      </c>
      <c r="BA461" t="s">
        <v>74</v>
      </c>
      <c r="BB461">
        <v>248</v>
      </c>
      <c r="BC461">
        <v>253</v>
      </c>
      <c r="BD461" t="s">
        <v>74</v>
      </c>
      <c r="BE461" t="s">
        <v>74</v>
      </c>
      <c r="BF461" t="s">
        <v>74</v>
      </c>
      <c r="BG461" t="s">
        <v>74</v>
      </c>
      <c r="BH461" t="s">
        <v>74</v>
      </c>
      <c r="BI461">
        <v>6</v>
      </c>
      <c r="BJ461" t="s">
        <v>1736</v>
      </c>
      <c r="BK461" t="s">
        <v>203</v>
      </c>
      <c r="BL461" t="s">
        <v>1737</v>
      </c>
      <c r="BM461" t="s">
        <v>9446</v>
      </c>
      <c r="BN461" t="s">
        <v>74</v>
      </c>
      <c r="BO461" t="s">
        <v>74</v>
      </c>
      <c r="BP461" t="s">
        <v>74</v>
      </c>
      <c r="BQ461" t="s">
        <v>74</v>
      </c>
      <c r="BR461" t="s">
        <v>106</v>
      </c>
      <c r="BS461" t="s">
        <v>9447</v>
      </c>
      <c r="BT461" t="str">
        <f>HYPERLINK("https%3A%2F%2Fwww.webofscience.com%2Fwos%2Fwoscc%2Ffull-record%2FWOS:000403616300012","View Full Record in Web of Science")</f>
        <v>View Full Record in Web of Science</v>
      </c>
    </row>
    <row r="462" spans="1:72" x14ac:dyDescent="0.25">
      <c r="A462" t="s">
        <v>108</v>
      </c>
      <c r="B462" t="s">
        <v>9448</v>
      </c>
      <c r="C462" t="s">
        <v>74</v>
      </c>
      <c r="D462" t="s">
        <v>9449</v>
      </c>
      <c r="E462" t="s">
        <v>74</v>
      </c>
      <c r="F462" t="s">
        <v>9450</v>
      </c>
      <c r="G462" t="s">
        <v>74</v>
      </c>
      <c r="H462" t="s">
        <v>74</v>
      </c>
      <c r="I462" t="s">
        <v>9451</v>
      </c>
      <c r="J462" t="s">
        <v>9452</v>
      </c>
      <c r="K462" t="s">
        <v>74</v>
      </c>
      <c r="L462" t="s">
        <v>74</v>
      </c>
      <c r="M462" t="s">
        <v>78</v>
      </c>
      <c r="N462" t="s">
        <v>115</v>
      </c>
      <c r="O462" t="s">
        <v>9453</v>
      </c>
      <c r="P462" t="s">
        <v>9454</v>
      </c>
      <c r="Q462" t="s">
        <v>9455</v>
      </c>
      <c r="R462" t="s">
        <v>9456</v>
      </c>
      <c r="S462" t="s">
        <v>74</v>
      </c>
      <c r="T462" t="s">
        <v>9457</v>
      </c>
      <c r="U462" t="s">
        <v>9458</v>
      </c>
      <c r="V462" t="s">
        <v>9459</v>
      </c>
      <c r="W462" t="s">
        <v>9460</v>
      </c>
      <c r="X462" t="s">
        <v>9461</v>
      </c>
      <c r="Y462" t="s">
        <v>9462</v>
      </c>
      <c r="Z462" t="s">
        <v>9463</v>
      </c>
      <c r="AA462" t="s">
        <v>9464</v>
      </c>
      <c r="AB462" t="s">
        <v>9465</v>
      </c>
      <c r="AC462" t="s">
        <v>74</v>
      </c>
      <c r="AD462" t="s">
        <v>74</v>
      </c>
      <c r="AE462" t="s">
        <v>74</v>
      </c>
      <c r="AF462" t="s">
        <v>74</v>
      </c>
      <c r="AG462">
        <v>72</v>
      </c>
      <c r="AH462">
        <v>2</v>
      </c>
      <c r="AI462">
        <v>3</v>
      </c>
      <c r="AJ462">
        <v>0</v>
      </c>
      <c r="AK462">
        <v>9</v>
      </c>
      <c r="AL462" t="s">
        <v>465</v>
      </c>
      <c r="AM462" t="s">
        <v>92</v>
      </c>
      <c r="AN462" t="s">
        <v>480</v>
      </c>
      <c r="AO462" t="s">
        <v>74</v>
      </c>
      <c r="AP462" t="s">
        <v>74</v>
      </c>
      <c r="AQ462" t="s">
        <v>9466</v>
      </c>
      <c r="AR462" t="s">
        <v>74</v>
      </c>
      <c r="AS462" t="s">
        <v>74</v>
      </c>
      <c r="AT462" t="s">
        <v>74</v>
      </c>
      <c r="AU462">
        <v>2023</v>
      </c>
      <c r="AV462" t="s">
        <v>74</v>
      </c>
      <c r="AW462" t="s">
        <v>74</v>
      </c>
      <c r="AX462" t="s">
        <v>74</v>
      </c>
      <c r="AY462" t="s">
        <v>74</v>
      </c>
      <c r="AZ462" t="s">
        <v>74</v>
      </c>
      <c r="BA462" t="s">
        <v>74</v>
      </c>
      <c r="BB462">
        <v>42</v>
      </c>
      <c r="BC462">
        <v>51</v>
      </c>
      <c r="BD462" t="s">
        <v>74</v>
      </c>
      <c r="BE462" t="s">
        <v>9467</v>
      </c>
      <c r="BF462" t="str">
        <f>HYPERLINK("http://dx.doi.org/10.1109/FMEC59375.2023.10305886","http://dx.doi.org/10.1109/FMEC59375.2023.10305886")</f>
        <v>http://dx.doi.org/10.1109/FMEC59375.2023.10305886</v>
      </c>
      <c r="BG462" t="s">
        <v>74</v>
      </c>
      <c r="BH462" t="s">
        <v>74</v>
      </c>
      <c r="BI462">
        <v>10</v>
      </c>
      <c r="BJ462" t="s">
        <v>925</v>
      </c>
      <c r="BK462" t="s">
        <v>203</v>
      </c>
      <c r="BL462" t="s">
        <v>103</v>
      </c>
      <c r="BM462" t="s">
        <v>9468</v>
      </c>
      <c r="BN462" t="s">
        <v>74</v>
      </c>
      <c r="BO462" t="s">
        <v>346</v>
      </c>
      <c r="BP462" t="s">
        <v>74</v>
      </c>
      <c r="BQ462" t="s">
        <v>74</v>
      </c>
      <c r="BR462" t="s">
        <v>106</v>
      </c>
      <c r="BS462" t="s">
        <v>9469</v>
      </c>
      <c r="BT462" t="str">
        <f>HYPERLINK("https%3A%2F%2Fwww.webofscience.com%2Fwos%2Fwoscc%2Ffull-record%2FWOS:001103180200006","View Full Record in Web of Science")</f>
        <v>View Full Record in Web of Science</v>
      </c>
    </row>
    <row r="463" spans="1:72" x14ac:dyDescent="0.25">
      <c r="A463" t="s">
        <v>108</v>
      </c>
      <c r="B463" t="s">
        <v>9470</v>
      </c>
      <c r="C463" t="s">
        <v>74</v>
      </c>
      <c r="D463" t="s">
        <v>74</v>
      </c>
      <c r="E463" t="s">
        <v>3480</v>
      </c>
      <c r="F463" t="s">
        <v>9471</v>
      </c>
      <c r="G463" t="s">
        <v>74</v>
      </c>
      <c r="H463" t="s">
        <v>74</v>
      </c>
      <c r="I463" t="s">
        <v>9472</v>
      </c>
      <c r="J463" t="s">
        <v>9473</v>
      </c>
      <c r="K463" t="s">
        <v>74</v>
      </c>
      <c r="L463" t="s">
        <v>74</v>
      </c>
      <c r="M463" t="s">
        <v>78</v>
      </c>
      <c r="N463" t="s">
        <v>115</v>
      </c>
      <c r="O463" t="s">
        <v>9474</v>
      </c>
      <c r="P463" t="s">
        <v>9475</v>
      </c>
      <c r="Q463" t="s">
        <v>9476</v>
      </c>
      <c r="R463" t="s">
        <v>9477</v>
      </c>
      <c r="S463" t="s">
        <v>74</v>
      </c>
      <c r="T463" t="s">
        <v>9478</v>
      </c>
      <c r="U463" t="s">
        <v>74</v>
      </c>
      <c r="V463" t="s">
        <v>9479</v>
      </c>
      <c r="W463" t="s">
        <v>9480</v>
      </c>
      <c r="X463" t="s">
        <v>5515</v>
      </c>
      <c r="Y463" t="s">
        <v>9481</v>
      </c>
      <c r="Z463" t="s">
        <v>9482</v>
      </c>
      <c r="AA463" t="s">
        <v>5518</v>
      </c>
      <c r="AB463" t="s">
        <v>5519</v>
      </c>
      <c r="AC463" t="s">
        <v>9483</v>
      </c>
      <c r="AD463" t="s">
        <v>9484</v>
      </c>
      <c r="AE463" t="s">
        <v>9485</v>
      </c>
      <c r="AF463" t="s">
        <v>74</v>
      </c>
      <c r="AG463">
        <v>48</v>
      </c>
      <c r="AH463">
        <v>4</v>
      </c>
      <c r="AI463">
        <v>5</v>
      </c>
      <c r="AJ463">
        <v>0</v>
      </c>
      <c r="AK463">
        <v>11</v>
      </c>
      <c r="AL463" t="s">
        <v>291</v>
      </c>
      <c r="AM463" t="s">
        <v>92</v>
      </c>
      <c r="AN463" t="s">
        <v>341</v>
      </c>
      <c r="AO463" t="s">
        <v>74</v>
      </c>
      <c r="AP463" t="s">
        <v>74</v>
      </c>
      <c r="AQ463" t="s">
        <v>9486</v>
      </c>
      <c r="AR463" t="s">
        <v>74</v>
      </c>
      <c r="AS463" t="s">
        <v>74</v>
      </c>
      <c r="AT463" t="s">
        <v>74</v>
      </c>
      <c r="AU463">
        <v>2021</v>
      </c>
      <c r="AV463" t="s">
        <v>74</v>
      </c>
      <c r="AW463" t="s">
        <v>74</v>
      </c>
      <c r="AX463" t="s">
        <v>74</v>
      </c>
      <c r="AY463" t="s">
        <v>74</v>
      </c>
      <c r="AZ463" t="s">
        <v>74</v>
      </c>
      <c r="BA463" t="s">
        <v>74</v>
      </c>
      <c r="BB463">
        <v>39</v>
      </c>
      <c r="BC463">
        <v>47</v>
      </c>
      <c r="BD463" t="s">
        <v>74</v>
      </c>
      <c r="BE463" t="s">
        <v>9487</v>
      </c>
      <c r="BF463" t="str">
        <f>HYPERLINK("http://dx.doi.org/10.1145/3463944.3469270","http://dx.doi.org/10.1145/3463944.3469270")</f>
        <v>http://dx.doi.org/10.1145/3463944.3469270</v>
      </c>
      <c r="BG463" t="s">
        <v>74</v>
      </c>
      <c r="BH463" t="s">
        <v>74</v>
      </c>
      <c r="BI463">
        <v>9</v>
      </c>
      <c r="BJ463" t="s">
        <v>1399</v>
      </c>
      <c r="BK463" t="s">
        <v>203</v>
      </c>
      <c r="BL463" t="s">
        <v>103</v>
      </c>
      <c r="BM463" t="s">
        <v>9488</v>
      </c>
      <c r="BN463" t="s">
        <v>74</v>
      </c>
      <c r="BO463" t="s">
        <v>346</v>
      </c>
      <c r="BP463" t="s">
        <v>74</v>
      </c>
      <c r="BQ463" t="s">
        <v>74</v>
      </c>
      <c r="BR463" t="s">
        <v>106</v>
      </c>
      <c r="BS463" t="s">
        <v>9489</v>
      </c>
      <c r="BT463" t="str">
        <f>HYPERLINK("https%3A%2F%2Fwww.webofscience.com%2Fwos%2Fwoscc%2Ffull-record%2FWOS:000767940900007","View Full Record in Web of Science")</f>
        <v>View Full Record in Web of Science</v>
      </c>
    </row>
    <row r="464" spans="1:72" x14ac:dyDescent="0.25">
      <c r="A464" t="s">
        <v>72</v>
      </c>
      <c r="B464" t="s">
        <v>9490</v>
      </c>
      <c r="C464" t="s">
        <v>74</v>
      </c>
      <c r="D464" t="s">
        <v>74</v>
      </c>
      <c r="E464" t="s">
        <v>74</v>
      </c>
      <c r="F464" t="s">
        <v>9491</v>
      </c>
      <c r="G464" t="s">
        <v>74</v>
      </c>
      <c r="H464" t="s">
        <v>74</v>
      </c>
      <c r="I464" t="s">
        <v>9492</v>
      </c>
      <c r="J464" t="s">
        <v>9493</v>
      </c>
      <c r="K464" t="s">
        <v>74</v>
      </c>
      <c r="L464" t="s">
        <v>74</v>
      </c>
      <c r="M464" t="s">
        <v>78</v>
      </c>
      <c r="N464" t="s">
        <v>79</v>
      </c>
      <c r="O464" t="s">
        <v>74</v>
      </c>
      <c r="P464" t="s">
        <v>74</v>
      </c>
      <c r="Q464" t="s">
        <v>74</v>
      </c>
      <c r="R464" t="s">
        <v>74</v>
      </c>
      <c r="S464" t="s">
        <v>74</v>
      </c>
      <c r="T464" t="s">
        <v>9494</v>
      </c>
      <c r="U464" t="s">
        <v>74</v>
      </c>
      <c r="V464" t="s">
        <v>9495</v>
      </c>
      <c r="W464" t="s">
        <v>9496</v>
      </c>
      <c r="X464" t="s">
        <v>9497</v>
      </c>
      <c r="Y464" t="s">
        <v>9498</v>
      </c>
      <c r="Z464" t="s">
        <v>9499</v>
      </c>
      <c r="AA464" t="s">
        <v>9500</v>
      </c>
      <c r="AB464" t="s">
        <v>9501</v>
      </c>
      <c r="AC464" t="s">
        <v>9502</v>
      </c>
      <c r="AD464" t="s">
        <v>9503</v>
      </c>
      <c r="AE464" t="s">
        <v>9504</v>
      </c>
      <c r="AF464" t="s">
        <v>74</v>
      </c>
      <c r="AG464">
        <v>65</v>
      </c>
      <c r="AH464">
        <v>0</v>
      </c>
      <c r="AI464">
        <v>0</v>
      </c>
      <c r="AJ464">
        <v>0</v>
      </c>
      <c r="AK464">
        <v>4</v>
      </c>
      <c r="AL464" t="s">
        <v>291</v>
      </c>
      <c r="AM464" t="s">
        <v>92</v>
      </c>
      <c r="AN464" t="s">
        <v>2534</v>
      </c>
      <c r="AO464" t="s">
        <v>74</v>
      </c>
      <c r="AP464" t="s">
        <v>9505</v>
      </c>
      <c r="AQ464" t="s">
        <v>74</v>
      </c>
      <c r="AR464" t="s">
        <v>9506</v>
      </c>
      <c r="AS464" t="s">
        <v>9507</v>
      </c>
      <c r="AT464" t="s">
        <v>509</v>
      </c>
      <c r="AU464">
        <v>2021</v>
      </c>
      <c r="AV464">
        <v>5</v>
      </c>
      <c r="AW464">
        <v>3</v>
      </c>
      <c r="AX464" t="s">
        <v>74</v>
      </c>
      <c r="AY464" t="s">
        <v>74</v>
      </c>
      <c r="AZ464" t="s">
        <v>74</v>
      </c>
      <c r="BA464" t="s">
        <v>74</v>
      </c>
      <c r="BB464" t="s">
        <v>74</v>
      </c>
      <c r="BC464" t="s">
        <v>74</v>
      </c>
      <c r="BD464">
        <v>122</v>
      </c>
      <c r="BE464" t="s">
        <v>9508</v>
      </c>
      <c r="BF464" t="str">
        <f>HYPERLINK("http://dx.doi.org/10.1145/3478103","http://dx.doi.org/10.1145/3478103")</f>
        <v>http://dx.doi.org/10.1145/3478103</v>
      </c>
      <c r="BG464" t="s">
        <v>74</v>
      </c>
      <c r="BH464" t="s">
        <v>74</v>
      </c>
      <c r="BI464">
        <v>18</v>
      </c>
      <c r="BJ464" t="s">
        <v>901</v>
      </c>
      <c r="BK464" t="s">
        <v>102</v>
      </c>
      <c r="BL464" t="s">
        <v>903</v>
      </c>
      <c r="BM464" t="s">
        <v>9509</v>
      </c>
      <c r="BN464" t="s">
        <v>74</v>
      </c>
      <c r="BO464" t="s">
        <v>1014</v>
      </c>
      <c r="BP464" t="s">
        <v>74</v>
      </c>
      <c r="BQ464" t="s">
        <v>74</v>
      </c>
      <c r="BR464" t="s">
        <v>106</v>
      </c>
      <c r="BS464" t="s">
        <v>9510</v>
      </c>
      <c r="BT464" t="str">
        <f>HYPERLINK("https%3A%2F%2Fwww.webofscience.com%2Fwos%2Fwoscc%2Ffull-record%2FWOS:000908405300035","View Full Record in Web of Science")</f>
        <v>View Full Record in Web of Science</v>
      </c>
    </row>
    <row r="465" spans="1:72" x14ac:dyDescent="0.25">
      <c r="A465" t="s">
        <v>108</v>
      </c>
      <c r="B465" t="s">
        <v>8690</v>
      </c>
      <c r="C465" t="s">
        <v>74</v>
      </c>
      <c r="D465" t="s">
        <v>9511</v>
      </c>
      <c r="E465" t="s">
        <v>74</v>
      </c>
      <c r="F465" t="s">
        <v>8691</v>
      </c>
      <c r="G465" t="s">
        <v>74</v>
      </c>
      <c r="H465" t="s">
        <v>74</v>
      </c>
      <c r="I465" t="s">
        <v>9512</v>
      </c>
      <c r="J465" t="s">
        <v>9513</v>
      </c>
      <c r="K465" t="s">
        <v>114</v>
      </c>
      <c r="L465" t="s">
        <v>74</v>
      </c>
      <c r="M465" t="s">
        <v>78</v>
      </c>
      <c r="N465" t="s">
        <v>115</v>
      </c>
      <c r="O465" t="s">
        <v>9514</v>
      </c>
      <c r="P465" t="s">
        <v>9515</v>
      </c>
      <c r="Q465" t="s">
        <v>4669</v>
      </c>
      <c r="R465" t="s">
        <v>9516</v>
      </c>
      <c r="S465" t="s">
        <v>74</v>
      </c>
      <c r="T465" t="s">
        <v>9517</v>
      </c>
      <c r="U465" t="s">
        <v>74</v>
      </c>
      <c r="V465" t="s">
        <v>9518</v>
      </c>
      <c r="W465" t="s">
        <v>9519</v>
      </c>
      <c r="X465" t="s">
        <v>9520</v>
      </c>
      <c r="Y465" t="s">
        <v>9521</v>
      </c>
      <c r="Z465" t="s">
        <v>9522</v>
      </c>
      <c r="AA465" t="s">
        <v>9523</v>
      </c>
      <c r="AB465" t="s">
        <v>9524</v>
      </c>
      <c r="AC465" t="s">
        <v>74</v>
      </c>
      <c r="AD465" t="s">
        <v>74</v>
      </c>
      <c r="AE465" t="s">
        <v>74</v>
      </c>
      <c r="AF465" t="s">
        <v>74</v>
      </c>
      <c r="AG465">
        <v>15</v>
      </c>
      <c r="AH465">
        <v>0</v>
      </c>
      <c r="AI465">
        <v>0</v>
      </c>
      <c r="AJ465">
        <v>0</v>
      </c>
      <c r="AK465">
        <v>0</v>
      </c>
      <c r="AL465" t="s">
        <v>129</v>
      </c>
      <c r="AM465" t="s">
        <v>130</v>
      </c>
      <c r="AN465" t="s">
        <v>131</v>
      </c>
      <c r="AO465" t="s">
        <v>132</v>
      </c>
      <c r="AP465" t="s">
        <v>133</v>
      </c>
      <c r="AQ465" t="s">
        <v>9525</v>
      </c>
      <c r="AR465" t="s">
        <v>135</v>
      </c>
      <c r="AS465" t="s">
        <v>74</v>
      </c>
      <c r="AT465" t="s">
        <v>74</v>
      </c>
      <c r="AU465">
        <v>2020</v>
      </c>
      <c r="AV465">
        <v>12284</v>
      </c>
      <c r="AW465" t="s">
        <v>74</v>
      </c>
      <c r="AX465" t="s">
        <v>74</v>
      </c>
      <c r="AY465" t="s">
        <v>74</v>
      </c>
      <c r="AZ465" t="s">
        <v>74</v>
      </c>
      <c r="BA465" t="s">
        <v>74</v>
      </c>
      <c r="BB465">
        <v>222</v>
      </c>
      <c r="BC465">
        <v>230</v>
      </c>
      <c r="BD465" t="s">
        <v>74</v>
      </c>
      <c r="BE465" t="s">
        <v>9526</v>
      </c>
      <c r="BF465" t="str">
        <f>HYPERLINK("http://dx.doi.org/10.1007/978-3-030-58323-1_24","http://dx.doi.org/10.1007/978-3-030-58323-1_24")</f>
        <v>http://dx.doi.org/10.1007/978-3-030-58323-1_24</v>
      </c>
      <c r="BG465" t="s">
        <v>74</v>
      </c>
      <c r="BH465" t="s">
        <v>74</v>
      </c>
      <c r="BI465">
        <v>9</v>
      </c>
      <c r="BJ465" t="s">
        <v>9527</v>
      </c>
      <c r="BK465" t="s">
        <v>138</v>
      </c>
      <c r="BL465" t="s">
        <v>833</v>
      </c>
      <c r="BM465" t="s">
        <v>9528</v>
      </c>
      <c r="BN465" t="s">
        <v>74</v>
      </c>
      <c r="BO465" t="s">
        <v>74</v>
      </c>
      <c r="BP465" t="s">
        <v>74</v>
      </c>
      <c r="BQ465" t="s">
        <v>74</v>
      </c>
      <c r="BR465" t="s">
        <v>106</v>
      </c>
      <c r="BS465" t="s">
        <v>9529</v>
      </c>
      <c r="BT465" t="str">
        <f>HYPERLINK("https%3A%2F%2Fwww.webofscience.com%2Fwos%2Fwoscc%2Ffull-record%2FWOS:000611543200024","View Full Record in Web of Science")</f>
        <v>View Full Record in Web of Science</v>
      </c>
    </row>
    <row r="466" spans="1:72" x14ac:dyDescent="0.25">
      <c r="A466" t="s">
        <v>72</v>
      </c>
      <c r="B466" t="s">
        <v>5909</v>
      </c>
      <c r="C466" t="s">
        <v>74</v>
      </c>
      <c r="D466" t="s">
        <v>74</v>
      </c>
      <c r="E466" t="s">
        <v>74</v>
      </c>
      <c r="F466" t="s">
        <v>9530</v>
      </c>
      <c r="G466" t="s">
        <v>74</v>
      </c>
      <c r="H466" t="s">
        <v>74</v>
      </c>
      <c r="I466" t="s">
        <v>9531</v>
      </c>
      <c r="J466" t="s">
        <v>9532</v>
      </c>
      <c r="K466" t="s">
        <v>74</v>
      </c>
      <c r="L466" t="s">
        <v>74</v>
      </c>
      <c r="M466" t="s">
        <v>78</v>
      </c>
      <c r="N466" t="s">
        <v>79</v>
      </c>
      <c r="O466" t="s">
        <v>74</v>
      </c>
      <c r="P466" t="s">
        <v>74</v>
      </c>
      <c r="Q466" t="s">
        <v>74</v>
      </c>
      <c r="R466" t="s">
        <v>74</v>
      </c>
      <c r="S466" t="s">
        <v>74</v>
      </c>
      <c r="T466" t="s">
        <v>9533</v>
      </c>
      <c r="U466" t="s">
        <v>9534</v>
      </c>
      <c r="V466" t="s">
        <v>9535</v>
      </c>
      <c r="W466" t="s">
        <v>9536</v>
      </c>
      <c r="X466" t="s">
        <v>5915</v>
      </c>
      <c r="Y466" t="s">
        <v>9537</v>
      </c>
      <c r="Z466" t="s">
        <v>5917</v>
      </c>
      <c r="AA466" t="s">
        <v>9538</v>
      </c>
      <c r="AB466" t="s">
        <v>9539</v>
      </c>
      <c r="AC466" t="s">
        <v>9540</v>
      </c>
      <c r="AD466" t="s">
        <v>9541</v>
      </c>
      <c r="AE466" t="s">
        <v>9542</v>
      </c>
      <c r="AF466" t="s">
        <v>74</v>
      </c>
      <c r="AG466">
        <v>41</v>
      </c>
      <c r="AH466">
        <v>5</v>
      </c>
      <c r="AI466">
        <v>7</v>
      </c>
      <c r="AJ466">
        <v>0</v>
      </c>
      <c r="AK466">
        <v>19</v>
      </c>
      <c r="AL466" t="s">
        <v>362</v>
      </c>
      <c r="AM466" t="s">
        <v>363</v>
      </c>
      <c r="AN466" t="s">
        <v>364</v>
      </c>
      <c r="AO466" t="s">
        <v>9543</v>
      </c>
      <c r="AP466" t="s">
        <v>9544</v>
      </c>
      <c r="AQ466" t="s">
        <v>74</v>
      </c>
      <c r="AR466" t="s">
        <v>9545</v>
      </c>
      <c r="AS466" t="s">
        <v>9546</v>
      </c>
      <c r="AT466" t="s">
        <v>4418</v>
      </c>
      <c r="AU466">
        <v>2020</v>
      </c>
      <c r="AV466">
        <v>401</v>
      </c>
      <c r="AW466" t="s">
        <v>74</v>
      </c>
      <c r="AX466" t="s">
        <v>74</v>
      </c>
      <c r="AY466" t="s">
        <v>74</v>
      </c>
      <c r="AZ466" t="s">
        <v>74</v>
      </c>
      <c r="BA466" t="s">
        <v>74</v>
      </c>
      <c r="BB466">
        <v>133</v>
      </c>
      <c r="BC466">
        <v>149</v>
      </c>
      <c r="BD466" t="s">
        <v>74</v>
      </c>
      <c r="BE466" t="s">
        <v>9547</v>
      </c>
      <c r="BF466" t="str">
        <f>HYPERLINK("http://dx.doi.org/10.1016/j.fss.2020.05.006","http://dx.doi.org/10.1016/j.fss.2020.05.006")</f>
        <v>http://dx.doi.org/10.1016/j.fss.2020.05.006</v>
      </c>
      <c r="BG466" t="s">
        <v>74</v>
      </c>
      <c r="BH466" t="s">
        <v>74</v>
      </c>
      <c r="BI466">
        <v>17</v>
      </c>
      <c r="BJ466" t="s">
        <v>9548</v>
      </c>
      <c r="BK466" t="s">
        <v>902</v>
      </c>
      <c r="BL466" t="s">
        <v>6015</v>
      </c>
      <c r="BM466" t="s">
        <v>9549</v>
      </c>
      <c r="BN466" t="s">
        <v>74</v>
      </c>
      <c r="BO466" t="s">
        <v>346</v>
      </c>
      <c r="BP466" t="s">
        <v>74</v>
      </c>
      <c r="BQ466" t="s">
        <v>74</v>
      </c>
      <c r="BR466" t="s">
        <v>106</v>
      </c>
      <c r="BS466" t="s">
        <v>9550</v>
      </c>
      <c r="BT466" t="str">
        <f>HYPERLINK("https%3A%2F%2Fwww.webofscience.com%2Fwos%2Fwoscc%2Ffull-record%2FWOS:000580008600008","View Full Record in Web of Science")</f>
        <v>View Full Record in Web of Science</v>
      </c>
    </row>
    <row r="467" spans="1:72" x14ac:dyDescent="0.25">
      <c r="A467" t="s">
        <v>72</v>
      </c>
      <c r="B467" t="s">
        <v>9551</v>
      </c>
      <c r="C467" t="s">
        <v>74</v>
      </c>
      <c r="D467" t="s">
        <v>74</v>
      </c>
      <c r="E467" t="s">
        <v>74</v>
      </c>
      <c r="F467" t="s">
        <v>9552</v>
      </c>
      <c r="G467" t="s">
        <v>74</v>
      </c>
      <c r="H467" t="s">
        <v>74</v>
      </c>
      <c r="I467" t="s">
        <v>9553</v>
      </c>
      <c r="J467" t="s">
        <v>1357</v>
      </c>
      <c r="K467" t="s">
        <v>74</v>
      </c>
      <c r="L467" t="s">
        <v>74</v>
      </c>
      <c r="M467" t="s">
        <v>78</v>
      </c>
      <c r="N467" t="s">
        <v>79</v>
      </c>
      <c r="O467" t="s">
        <v>74</v>
      </c>
      <c r="P467" t="s">
        <v>74</v>
      </c>
      <c r="Q467" t="s">
        <v>74</v>
      </c>
      <c r="R467" t="s">
        <v>74</v>
      </c>
      <c r="S467" t="s">
        <v>74</v>
      </c>
      <c r="T467" t="s">
        <v>9554</v>
      </c>
      <c r="U467" t="s">
        <v>74</v>
      </c>
      <c r="V467" t="s">
        <v>9555</v>
      </c>
      <c r="W467" t="s">
        <v>9556</v>
      </c>
      <c r="X467" t="s">
        <v>9557</v>
      </c>
      <c r="Y467" t="s">
        <v>9558</v>
      </c>
      <c r="Z467" t="s">
        <v>9559</v>
      </c>
      <c r="AA467" t="s">
        <v>9560</v>
      </c>
      <c r="AB467" t="s">
        <v>9561</v>
      </c>
      <c r="AC467" t="s">
        <v>74</v>
      </c>
      <c r="AD467" t="s">
        <v>74</v>
      </c>
      <c r="AE467" t="s">
        <v>74</v>
      </c>
      <c r="AF467" t="s">
        <v>74</v>
      </c>
      <c r="AG467">
        <v>40</v>
      </c>
      <c r="AH467">
        <v>13</v>
      </c>
      <c r="AI467">
        <v>13</v>
      </c>
      <c r="AJ467">
        <v>0</v>
      </c>
      <c r="AK467">
        <v>42</v>
      </c>
      <c r="AL467" t="s">
        <v>1369</v>
      </c>
      <c r="AM467" t="s">
        <v>1320</v>
      </c>
      <c r="AN467" t="s">
        <v>1370</v>
      </c>
      <c r="AO467" t="s">
        <v>1371</v>
      </c>
      <c r="AP467" t="s">
        <v>1372</v>
      </c>
      <c r="AQ467" t="s">
        <v>74</v>
      </c>
      <c r="AR467" t="s">
        <v>1373</v>
      </c>
      <c r="AS467" t="s">
        <v>1374</v>
      </c>
      <c r="AT467" t="s">
        <v>1251</v>
      </c>
      <c r="AU467">
        <v>2014</v>
      </c>
      <c r="AV467">
        <v>40</v>
      </c>
      <c r="AW467">
        <v>2</v>
      </c>
      <c r="AX467" t="s">
        <v>74</v>
      </c>
      <c r="AY467" t="s">
        <v>74</v>
      </c>
      <c r="AZ467" t="s">
        <v>74</v>
      </c>
      <c r="BA467" t="s">
        <v>74</v>
      </c>
      <c r="BB467">
        <v>180</v>
      </c>
      <c r="BC467">
        <v>197</v>
      </c>
      <c r="BD467" t="s">
        <v>74</v>
      </c>
      <c r="BE467" t="s">
        <v>9562</v>
      </c>
      <c r="BF467" t="str">
        <f>HYPERLINK("http://dx.doi.org/10.1177/0165551513509564","http://dx.doi.org/10.1177/0165551513509564")</f>
        <v>http://dx.doi.org/10.1177/0165551513509564</v>
      </c>
      <c r="BG467" t="s">
        <v>74</v>
      </c>
      <c r="BH467" t="s">
        <v>74</v>
      </c>
      <c r="BI467">
        <v>18</v>
      </c>
      <c r="BJ467" t="s">
        <v>295</v>
      </c>
      <c r="BK467" t="s">
        <v>745</v>
      </c>
      <c r="BL467" t="s">
        <v>296</v>
      </c>
      <c r="BM467" t="s">
        <v>9563</v>
      </c>
      <c r="BN467" t="s">
        <v>74</v>
      </c>
      <c r="BO467" t="s">
        <v>74</v>
      </c>
      <c r="BP467" t="s">
        <v>74</v>
      </c>
      <c r="BQ467" t="s">
        <v>74</v>
      </c>
      <c r="BR467" t="s">
        <v>106</v>
      </c>
      <c r="BS467" t="s">
        <v>9564</v>
      </c>
      <c r="BT467" t="str">
        <f>HYPERLINK("https%3A%2F%2Fwww.webofscience.com%2Fwos%2Fwoscc%2Ffull-record%2FWOS:000332214700005","View Full Record in Web of Science")</f>
        <v>View Full Record in Web of Science</v>
      </c>
    </row>
    <row r="468" spans="1:72" x14ac:dyDescent="0.25">
      <c r="A468" t="s">
        <v>72</v>
      </c>
      <c r="B468" t="s">
        <v>9565</v>
      </c>
      <c r="C468" t="s">
        <v>74</v>
      </c>
      <c r="D468" t="s">
        <v>74</v>
      </c>
      <c r="E468" t="s">
        <v>74</v>
      </c>
      <c r="F468" t="s">
        <v>9566</v>
      </c>
      <c r="G468" t="s">
        <v>74</v>
      </c>
      <c r="H468" t="s">
        <v>74</v>
      </c>
      <c r="I468" t="s">
        <v>9567</v>
      </c>
      <c r="J468" t="s">
        <v>3941</v>
      </c>
      <c r="K468" t="s">
        <v>74</v>
      </c>
      <c r="L468" t="s">
        <v>74</v>
      </c>
      <c r="M468" t="s">
        <v>78</v>
      </c>
      <c r="N468" t="s">
        <v>79</v>
      </c>
      <c r="O468" t="s">
        <v>74</v>
      </c>
      <c r="P468" t="s">
        <v>74</v>
      </c>
      <c r="Q468" t="s">
        <v>74</v>
      </c>
      <c r="R468" t="s">
        <v>74</v>
      </c>
      <c r="S468" t="s">
        <v>74</v>
      </c>
      <c r="T468" t="s">
        <v>9568</v>
      </c>
      <c r="U468" t="s">
        <v>74</v>
      </c>
      <c r="V468" t="s">
        <v>9569</v>
      </c>
      <c r="W468" t="s">
        <v>9570</v>
      </c>
      <c r="X468" t="s">
        <v>9571</v>
      </c>
      <c r="Y468" t="s">
        <v>9572</v>
      </c>
      <c r="Z468" t="s">
        <v>9573</v>
      </c>
      <c r="AA468" t="s">
        <v>74</v>
      </c>
      <c r="AB468" t="s">
        <v>9574</v>
      </c>
      <c r="AC468" t="s">
        <v>74</v>
      </c>
      <c r="AD468" t="s">
        <v>74</v>
      </c>
      <c r="AE468" t="s">
        <v>74</v>
      </c>
      <c r="AF468" t="s">
        <v>74</v>
      </c>
      <c r="AG468">
        <v>45</v>
      </c>
      <c r="AH468">
        <v>6</v>
      </c>
      <c r="AI468">
        <v>7</v>
      </c>
      <c r="AJ468">
        <v>0</v>
      </c>
      <c r="AK468">
        <v>35</v>
      </c>
      <c r="AL468" t="s">
        <v>736</v>
      </c>
      <c r="AM468" t="s">
        <v>737</v>
      </c>
      <c r="AN468" t="s">
        <v>738</v>
      </c>
      <c r="AO468" t="s">
        <v>3947</v>
      </c>
      <c r="AP468" t="s">
        <v>3948</v>
      </c>
      <c r="AQ468" t="s">
        <v>74</v>
      </c>
      <c r="AR468" t="s">
        <v>3949</v>
      </c>
      <c r="AS468" t="s">
        <v>3950</v>
      </c>
      <c r="AT468" t="s">
        <v>1950</v>
      </c>
      <c r="AU468">
        <v>2021</v>
      </c>
      <c r="AV468">
        <v>96</v>
      </c>
      <c r="AW468" t="s">
        <v>74</v>
      </c>
      <c r="AX468" t="s">
        <v>74</v>
      </c>
      <c r="AY468" t="s">
        <v>74</v>
      </c>
      <c r="AZ468" t="s">
        <v>74</v>
      </c>
      <c r="BA468" t="s">
        <v>74</v>
      </c>
      <c r="BB468" t="s">
        <v>74</v>
      </c>
      <c r="BC468" t="s">
        <v>74</v>
      </c>
      <c r="BD468">
        <v>101662</v>
      </c>
      <c r="BE468" t="s">
        <v>9575</v>
      </c>
      <c r="BF468" t="str">
        <f>HYPERLINK("http://dx.doi.org/10.1016/j.is.2020.101662","http://dx.doi.org/10.1016/j.is.2020.101662")</f>
        <v>http://dx.doi.org/10.1016/j.is.2020.101662</v>
      </c>
      <c r="BG468" t="s">
        <v>74</v>
      </c>
      <c r="BH468" t="s">
        <v>74</v>
      </c>
      <c r="BI468">
        <v>17</v>
      </c>
      <c r="BJ468" t="s">
        <v>852</v>
      </c>
      <c r="BK468" t="s">
        <v>902</v>
      </c>
      <c r="BL468" t="s">
        <v>103</v>
      </c>
      <c r="BM468" t="s">
        <v>9576</v>
      </c>
      <c r="BN468" t="s">
        <v>74</v>
      </c>
      <c r="BO468" t="s">
        <v>74</v>
      </c>
      <c r="BP468" t="s">
        <v>74</v>
      </c>
      <c r="BQ468" t="s">
        <v>74</v>
      </c>
      <c r="BR468" t="s">
        <v>106</v>
      </c>
      <c r="BS468" t="s">
        <v>9577</v>
      </c>
      <c r="BT468" t="str">
        <f>HYPERLINK("https%3A%2F%2Fwww.webofscience.com%2Fwos%2Fwoscc%2Ffull-record%2FWOS:000595637100005","View Full Record in Web of Science")</f>
        <v>View Full Record in Web of Science</v>
      </c>
    </row>
    <row r="469" spans="1:72" x14ac:dyDescent="0.25">
      <c r="A469" t="s">
        <v>108</v>
      </c>
      <c r="B469" t="s">
        <v>9578</v>
      </c>
      <c r="C469" t="s">
        <v>74</v>
      </c>
      <c r="D469" t="s">
        <v>9579</v>
      </c>
      <c r="E469" t="s">
        <v>74</v>
      </c>
      <c r="F469" t="s">
        <v>9580</v>
      </c>
      <c r="G469" t="s">
        <v>74</v>
      </c>
      <c r="H469" t="s">
        <v>74</v>
      </c>
      <c r="I469" t="s">
        <v>9581</v>
      </c>
      <c r="J469" t="s">
        <v>9582</v>
      </c>
      <c r="K469" t="s">
        <v>9583</v>
      </c>
      <c r="L469" t="s">
        <v>74</v>
      </c>
      <c r="M469" t="s">
        <v>78</v>
      </c>
      <c r="N469" t="s">
        <v>115</v>
      </c>
      <c r="O469" t="s">
        <v>9584</v>
      </c>
      <c r="P469" t="s">
        <v>9585</v>
      </c>
      <c r="Q469" t="s">
        <v>9586</v>
      </c>
      <c r="R469" t="s">
        <v>74</v>
      </c>
      <c r="S469" t="s">
        <v>9587</v>
      </c>
      <c r="T469" t="s">
        <v>9588</v>
      </c>
      <c r="U469" t="s">
        <v>74</v>
      </c>
      <c r="V469" t="s">
        <v>9589</v>
      </c>
      <c r="W469" t="s">
        <v>9590</v>
      </c>
      <c r="X469" t="s">
        <v>9591</v>
      </c>
      <c r="Y469" t="s">
        <v>9592</v>
      </c>
      <c r="Z469" t="s">
        <v>9593</v>
      </c>
      <c r="AA469" t="s">
        <v>9594</v>
      </c>
      <c r="AB469" t="s">
        <v>9595</v>
      </c>
      <c r="AC469" t="s">
        <v>74</v>
      </c>
      <c r="AD469" t="s">
        <v>74</v>
      </c>
      <c r="AE469" t="s">
        <v>74</v>
      </c>
      <c r="AF469" t="s">
        <v>74</v>
      </c>
      <c r="AG469">
        <v>10</v>
      </c>
      <c r="AH469">
        <v>0</v>
      </c>
      <c r="AI469">
        <v>0</v>
      </c>
      <c r="AJ469">
        <v>3</v>
      </c>
      <c r="AK469">
        <v>5</v>
      </c>
      <c r="AL469" t="s">
        <v>7375</v>
      </c>
      <c r="AM469" t="s">
        <v>7376</v>
      </c>
      <c r="AN469" t="s">
        <v>7377</v>
      </c>
      <c r="AO469" t="s">
        <v>9596</v>
      </c>
      <c r="AP469" t="s">
        <v>74</v>
      </c>
      <c r="AQ469" t="s">
        <v>9597</v>
      </c>
      <c r="AR469" t="s">
        <v>9598</v>
      </c>
      <c r="AS469" t="s">
        <v>74</v>
      </c>
      <c r="AT469" t="s">
        <v>74</v>
      </c>
      <c r="AU469">
        <v>2024</v>
      </c>
      <c r="AV469">
        <v>23</v>
      </c>
      <c r="AW469" t="s">
        <v>74</v>
      </c>
      <c r="AX469" t="s">
        <v>74</v>
      </c>
      <c r="AY469" t="s">
        <v>74</v>
      </c>
      <c r="AZ469" t="s">
        <v>74</v>
      </c>
      <c r="BA469" t="s">
        <v>74</v>
      </c>
      <c r="BB469">
        <v>157</v>
      </c>
      <c r="BC469">
        <v>164</v>
      </c>
      <c r="BD469" t="s">
        <v>74</v>
      </c>
      <c r="BE469" t="s">
        <v>74</v>
      </c>
      <c r="BF469" t="s">
        <v>74</v>
      </c>
      <c r="BG469" t="s">
        <v>74</v>
      </c>
      <c r="BH469" t="s">
        <v>74</v>
      </c>
      <c r="BI469">
        <v>8</v>
      </c>
      <c r="BJ469" t="s">
        <v>9599</v>
      </c>
      <c r="BK469" t="s">
        <v>138</v>
      </c>
      <c r="BL469" t="s">
        <v>9600</v>
      </c>
      <c r="BM469" t="s">
        <v>9601</v>
      </c>
      <c r="BN469" t="s">
        <v>74</v>
      </c>
      <c r="BO469" t="s">
        <v>74</v>
      </c>
      <c r="BP469" t="s">
        <v>74</v>
      </c>
      <c r="BQ469" t="s">
        <v>74</v>
      </c>
      <c r="BR469" t="s">
        <v>106</v>
      </c>
      <c r="BS469" t="s">
        <v>9602</v>
      </c>
      <c r="BT469" t="str">
        <f>HYPERLINK("https%3A%2F%2Fwww.webofscience.com%2Fwos%2Fwoscc%2Ffull-record%2FWOS:001419654100018","View Full Record in Web of Science")</f>
        <v>View Full Record in Web of Science</v>
      </c>
    </row>
    <row r="470" spans="1:72" x14ac:dyDescent="0.25">
      <c r="A470" t="s">
        <v>108</v>
      </c>
      <c r="B470" t="s">
        <v>9603</v>
      </c>
      <c r="C470" t="s">
        <v>74</v>
      </c>
      <c r="D470" t="s">
        <v>9604</v>
      </c>
      <c r="E470" t="s">
        <v>74</v>
      </c>
      <c r="F470" t="s">
        <v>9605</v>
      </c>
      <c r="G470" t="s">
        <v>74</v>
      </c>
      <c r="H470" t="s">
        <v>74</v>
      </c>
      <c r="I470" t="s">
        <v>9606</v>
      </c>
      <c r="J470" t="s">
        <v>9607</v>
      </c>
      <c r="K470" t="s">
        <v>114</v>
      </c>
      <c r="L470" t="s">
        <v>74</v>
      </c>
      <c r="M470" t="s">
        <v>78</v>
      </c>
      <c r="N470" t="s">
        <v>115</v>
      </c>
      <c r="O470" t="s">
        <v>9608</v>
      </c>
      <c r="P470" t="s">
        <v>9609</v>
      </c>
      <c r="Q470" t="s">
        <v>9610</v>
      </c>
      <c r="R470" t="s">
        <v>9611</v>
      </c>
      <c r="S470" t="s">
        <v>74</v>
      </c>
      <c r="T470" t="s">
        <v>9612</v>
      </c>
      <c r="U470" t="s">
        <v>74</v>
      </c>
      <c r="V470" t="s">
        <v>9613</v>
      </c>
      <c r="W470" t="s">
        <v>9614</v>
      </c>
      <c r="X470" t="s">
        <v>74</v>
      </c>
      <c r="Y470" t="s">
        <v>9615</v>
      </c>
      <c r="Z470" t="s">
        <v>9616</v>
      </c>
      <c r="AA470" t="s">
        <v>9617</v>
      </c>
      <c r="AB470" t="s">
        <v>74</v>
      </c>
      <c r="AC470" t="s">
        <v>74</v>
      </c>
      <c r="AD470" t="s">
        <v>74</v>
      </c>
      <c r="AE470" t="s">
        <v>74</v>
      </c>
      <c r="AF470" t="s">
        <v>74</v>
      </c>
      <c r="AG470">
        <v>21</v>
      </c>
      <c r="AH470">
        <v>0</v>
      </c>
      <c r="AI470">
        <v>0</v>
      </c>
      <c r="AJ470">
        <v>0</v>
      </c>
      <c r="AK470">
        <v>4</v>
      </c>
      <c r="AL470" t="s">
        <v>129</v>
      </c>
      <c r="AM470" t="s">
        <v>130</v>
      </c>
      <c r="AN470" t="s">
        <v>131</v>
      </c>
      <c r="AO470" t="s">
        <v>159</v>
      </c>
      <c r="AP470" t="s">
        <v>133</v>
      </c>
      <c r="AQ470" t="s">
        <v>9618</v>
      </c>
      <c r="AR470" t="s">
        <v>135</v>
      </c>
      <c r="AS470" t="s">
        <v>74</v>
      </c>
      <c r="AT470" t="s">
        <v>74</v>
      </c>
      <c r="AU470">
        <v>2018</v>
      </c>
      <c r="AV470">
        <v>11109</v>
      </c>
      <c r="AW470" t="s">
        <v>74</v>
      </c>
      <c r="AX470" t="s">
        <v>74</v>
      </c>
      <c r="AY470" t="s">
        <v>74</v>
      </c>
      <c r="AZ470" t="s">
        <v>74</v>
      </c>
      <c r="BA470" t="s">
        <v>74</v>
      </c>
      <c r="BB470">
        <v>16</v>
      </c>
      <c r="BC470">
        <v>26</v>
      </c>
      <c r="BD470" t="s">
        <v>74</v>
      </c>
      <c r="BE470" t="s">
        <v>9619</v>
      </c>
      <c r="BF470" t="str">
        <f>HYPERLINK("http://dx.doi.org/10.1007/978-3-319-99501-4_2","http://dx.doi.org/10.1007/978-3-319-99501-4_2")</f>
        <v>http://dx.doi.org/10.1007/978-3-319-99501-4_2</v>
      </c>
      <c r="BG470" t="s">
        <v>74</v>
      </c>
      <c r="BH470" t="s">
        <v>74</v>
      </c>
      <c r="BI470">
        <v>11</v>
      </c>
      <c r="BJ470" t="s">
        <v>2837</v>
      </c>
      <c r="BK470" t="s">
        <v>203</v>
      </c>
      <c r="BL470" t="s">
        <v>103</v>
      </c>
      <c r="BM470" t="s">
        <v>9620</v>
      </c>
      <c r="BN470" t="s">
        <v>74</v>
      </c>
      <c r="BO470" t="s">
        <v>74</v>
      </c>
      <c r="BP470" t="s">
        <v>74</v>
      </c>
      <c r="BQ470" t="s">
        <v>74</v>
      </c>
      <c r="BR470" t="s">
        <v>106</v>
      </c>
      <c r="BS470" t="s">
        <v>9621</v>
      </c>
      <c r="BT470" t="str">
        <f>HYPERLINK("https%3A%2F%2Fwww.webofscience.com%2Fwos%2Fwoscc%2Ffull-record%2FWOS:000490899300002","View Full Record in Web of Science")</f>
        <v>View Full Record in Web of Science</v>
      </c>
    </row>
    <row r="471" spans="1:72" x14ac:dyDescent="0.25">
      <c r="A471" t="s">
        <v>108</v>
      </c>
      <c r="B471" t="s">
        <v>9622</v>
      </c>
      <c r="C471" t="s">
        <v>74</v>
      </c>
      <c r="D471" t="s">
        <v>74</v>
      </c>
      <c r="E471" t="s">
        <v>465</v>
      </c>
      <c r="F471" t="s">
        <v>9623</v>
      </c>
      <c r="G471" t="s">
        <v>74</v>
      </c>
      <c r="H471" t="s">
        <v>74</v>
      </c>
      <c r="I471" t="s">
        <v>9624</v>
      </c>
      <c r="J471" t="s">
        <v>9625</v>
      </c>
      <c r="K471" t="s">
        <v>8300</v>
      </c>
      <c r="L471" t="s">
        <v>74</v>
      </c>
      <c r="M471" t="s">
        <v>78</v>
      </c>
      <c r="N471" t="s">
        <v>115</v>
      </c>
      <c r="O471" t="s">
        <v>9626</v>
      </c>
      <c r="P471" t="s">
        <v>9627</v>
      </c>
      <c r="Q471" t="s">
        <v>8090</v>
      </c>
      <c r="R471" t="s">
        <v>9628</v>
      </c>
      <c r="S471" t="s">
        <v>74</v>
      </c>
      <c r="T471" t="s">
        <v>9629</v>
      </c>
      <c r="U471" t="s">
        <v>74</v>
      </c>
      <c r="V471" t="s">
        <v>9630</v>
      </c>
      <c r="W471" t="s">
        <v>9631</v>
      </c>
      <c r="X471" t="s">
        <v>9632</v>
      </c>
      <c r="Y471" t="s">
        <v>9633</v>
      </c>
      <c r="Z471" t="s">
        <v>9634</v>
      </c>
      <c r="AA471" t="s">
        <v>9635</v>
      </c>
      <c r="AB471" t="s">
        <v>9636</v>
      </c>
      <c r="AC471" t="s">
        <v>74</v>
      </c>
      <c r="AD471" t="s">
        <v>74</v>
      </c>
      <c r="AE471" t="s">
        <v>74</v>
      </c>
      <c r="AF471" t="s">
        <v>74</v>
      </c>
      <c r="AG471">
        <v>39</v>
      </c>
      <c r="AH471">
        <v>0</v>
      </c>
      <c r="AI471">
        <v>1</v>
      </c>
      <c r="AJ471">
        <v>0</v>
      </c>
      <c r="AK471">
        <v>1</v>
      </c>
      <c r="AL471" t="s">
        <v>465</v>
      </c>
      <c r="AM471" t="s">
        <v>92</v>
      </c>
      <c r="AN471" t="s">
        <v>480</v>
      </c>
      <c r="AO471" t="s">
        <v>8313</v>
      </c>
      <c r="AP471" t="s">
        <v>74</v>
      </c>
      <c r="AQ471" t="s">
        <v>9637</v>
      </c>
      <c r="AR471" t="s">
        <v>8315</v>
      </c>
      <c r="AS471" t="s">
        <v>74</v>
      </c>
      <c r="AT471" t="s">
        <v>74</v>
      </c>
      <c r="AU471">
        <v>2019</v>
      </c>
      <c r="AV471" t="s">
        <v>74</v>
      </c>
      <c r="AW471" t="s">
        <v>74</v>
      </c>
      <c r="AX471" t="s">
        <v>74</v>
      </c>
      <c r="AY471" t="s">
        <v>74</v>
      </c>
      <c r="AZ471" t="s">
        <v>74</v>
      </c>
      <c r="BA471" t="s">
        <v>74</v>
      </c>
      <c r="BB471" t="s">
        <v>74</v>
      </c>
      <c r="BC471" t="s">
        <v>74</v>
      </c>
      <c r="BD471" t="s">
        <v>74</v>
      </c>
      <c r="BE471" t="s">
        <v>9638</v>
      </c>
      <c r="BF471" t="str">
        <f>HYPERLINK("http://dx.doi.org/10.1109/icc.2019.8761051","http://dx.doi.org/10.1109/icc.2019.8761051")</f>
        <v>http://dx.doi.org/10.1109/icc.2019.8761051</v>
      </c>
      <c r="BG471" t="s">
        <v>74</v>
      </c>
      <c r="BH471" t="s">
        <v>74</v>
      </c>
      <c r="BI471">
        <v>7</v>
      </c>
      <c r="BJ471" t="s">
        <v>2268</v>
      </c>
      <c r="BK471" t="s">
        <v>203</v>
      </c>
      <c r="BL471" t="s">
        <v>2269</v>
      </c>
      <c r="BM471" t="s">
        <v>9639</v>
      </c>
      <c r="BN471" t="s">
        <v>74</v>
      </c>
      <c r="BO471" t="s">
        <v>74</v>
      </c>
      <c r="BP471" t="s">
        <v>74</v>
      </c>
      <c r="BQ471" t="s">
        <v>74</v>
      </c>
      <c r="BR471" t="s">
        <v>106</v>
      </c>
      <c r="BS471" t="s">
        <v>9640</v>
      </c>
      <c r="BT471" t="str">
        <f>HYPERLINK("https%3A%2F%2Fwww.webofscience.com%2Fwos%2Fwoscc%2Ffull-record%2FWOS:000492038800005","View Full Record in Web of Science")</f>
        <v>View Full Record in Web of Science</v>
      </c>
    </row>
    <row r="472" spans="1:72" x14ac:dyDescent="0.25">
      <c r="A472" t="s">
        <v>108</v>
      </c>
      <c r="B472" t="s">
        <v>9641</v>
      </c>
      <c r="C472" t="s">
        <v>74</v>
      </c>
      <c r="D472" t="s">
        <v>9642</v>
      </c>
      <c r="E472" t="s">
        <v>74</v>
      </c>
      <c r="F472" t="s">
        <v>9643</v>
      </c>
      <c r="G472" t="s">
        <v>74</v>
      </c>
      <c r="H472" t="s">
        <v>74</v>
      </c>
      <c r="I472" t="s">
        <v>9644</v>
      </c>
      <c r="J472" t="s">
        <v>9645</v>
      </c>
      <c r="K472" t="s">
        <v>74</v>
      </c>
      <c r="L472" t="s">
        <v>74</v>
      </c>
      <c r="M472" t="s">
        <v>78</v>
      </c>
      <c r="N472" t="s">
        <v>115</v>
      </c>
      <c r="O472" t="s">
        <v>9646</v>
      </c>
      <c r="P472" t="s">
        <v>9647</v>
      </c>
      <c r="Q472" t="s">
        <v>5896</v>
      </c>
      <c r="R472" t="s">
        <v>9648</v>
      </c>
      <c r="S472" t="s">
        <v>74</v>
      </c>
      <c r="T472" t="s">
        <v>9649</v>
      </c>
      <c r="U472" t="s">
        <v>9650</v>
      </c>
      <c r="V472" t="s">
        <v>9651</v>
      </c>
      <c r="W472" t="s">
        <v>9652</v>
      </c>
      <c r="X472" t="s">
        <v>9653</v>
      </c>
      <c r="Y472" t="s">
        <v>74</v>
      </c>
      <c r="Z472" t="s">
        <v>9654</v>
      </c>
      <c r="AA472" t="s">
        <v>9655</v>
      </c>
      <c r="AB472" t="s">
        <v>74</v>
      </c>
      <c r="AC472" t="s">
        <v>74</v>
      </c>
      <c r="AD472" t="s">
        <v>74</v>
      </c>
      <c r="AE472" t="s">
        <v>74</v>
      </c>
      <c r="AF472" t="s">
        <v>74</v>
      </c>
      <c r="AG472">
        <v>25</v>
      </c>
      <c r="AH472">
        <v>0</v>
      </c>
      <c r="AI472">
        <v>0</v>
      </c>
      <c r="AJ472">
        <v>0</v>
      </c>
      <c r="AK472">
        <v>4</v>
      </c>
      <c r="AL472" t="s">
        <v>9656</v>
      </c>
      <c r="AM472" t="s">
        <v>9657</v>
      </c>
      <c r="AN472" t="s">
        <v>9658</v>
      </c>
      <c r="AO472" t="s">
        <v>74</v>
      </c>
      <c r="AP472" t="s">
        <v>74</v>
      </c>
      <c r="AQ472" t="s">
        <v>9659</v>
      </c>
      <c r="AR472" t="s">
        <v>74</v>
      </c>
      <c r="AS472" t="s">
        <v>74</v>
      </c>
      <c r="AT472" t="s">
        <v>74</v>
      </c>
      <c r="AU472">
        <v>2010</v>
      </c>
      <c r="AV472" t="s">
        <v>74</v>
      </c>
      <c r="AW472" t="s">
        <v>74</v>
      </c>
      <c r="AX472" t="s">
        <v>74</v>
      </c>
      <c r="AY472" t="s">
        <v>74</v>
      </c>
      <c r="AZ472" t="s">
        <v>74</v>
      </c>
      <c r="BA472" t="s">
        <v>74</v>
      </c>
      <c r="BB472">
        <v>542</v>
      </c>
      <c r="BC472">
        <v>553</v>
      </c>
      <c r="BD472" t="s">
        <v>74</v>
      </c>
      <c r="BE472" t="s">
        <v>74</v>
      </c>
      <c r="BF472" t="s">
        <v>74</v>
      </c>
      <c r="BG472" t="s">
        <v>74</v>
      </c>
      <c r="BH472" t="s">
        <v>74</v>
      </c>
      <c r="BI472">
        <v>12</v>
      </c>
      <c r="BJ472" t="s">
        <v>9660</v>
      </c>
      <c r="BK472" t="s">
        <v>1042</v>
      </c>
      <c r="BL472" t="s">
        <v>2588</v>
      </c>
      <c r="BM472" t="s">
        <v>9661</v>
      </c>
      <c r="BN472" t="s">
        <v>74</v>
      </c>
      <c r="BO472" t="s">
        <v>74</v>
      </c>
      <c r="BP472" t="s">
        <v>74</v>
      </c>
      <c r="BQ472" t="s">
        <v>74</v>
      </c>
      <c r="BR472" t="s">
        <v>106</v>
      </c>
      <c r="BS472" t="s">
        <v>9662</v>
      </c>
      <c r="BT472" t="str">
        <f>HYPERLINK("https%3A%2F%2Fwww.webofscience.com%2Fwos%2Fwoscc%2Ffull-record%2FWOS:000292274900049","View Full Record in Web of Science")</f>
        <v>View Full Record in Web of Science</v>
      </c>
    </row>
    <row r="473" spans="1:72" x14ac:dyDescent="0.25">
      <c r="A473" t="s">
        <v>72</v>
      </c>
      <c r="B473" t="s">
        <v>9663</v>
      </c>
      <c r="C473" t="s">
        <v>74</v>
      </c>
      <c r="D473" t="s">
        <v>74</v>
      </c>
      <c r="E473" t="s">
        <v>74</v>
      </c>
      <c r="F473" t="s">
        <v>9664</v>
      </c>
      <c r="G473" t="s">
        <v>74</v>
      </c>
      <c r="H473" t="s">
        <v>74</v>
      </c>
      <c r="I473" t="s">
        <v>9665</v>
      </c>
      <c r="J473" t="s">
        <v>9666</v>
      </c>
      <c r="K473" t="s">
        <v>74</v>
      </c>
      <c r="L473" t="s">
        <v>74</v>
      </c>
      <c r="M473" t="s">
        <v>78</v>
      </c>
      <c r="N473" t="s">
        <v>79</v>
      </c>
      <c r="O473" t="s">
        <v>74</v>
      </c>
      <c r="P473" t="s">
        <v>74</v>
      </c>
      <c r="Q473" t="s">
        <v>74</v>
      </c>
      <c r="R473" t="s">
        <v>74</v>
      </c>
      <c r="S473" t="s">
        <v>74</v>
      </c>
      <c r="T473" t="s">
        <v>9667</v>
      </c>
      <c r="U473" t="s">
        <v>9668</v>
      </c>
      <c r="V473" t="s">
        <v>9669</v>
      </c>
      <c r="W473" t="s">
        <v>9670</v>
      </c>
      <c r="X473" t="s">
        <v>9671</v>
      </c>
      <c r="Y473" t="s">
        <v>9672</v>
      </c>
      <c r="Z473" t="s">
        <v>9673</v>
      </c>
      <c r="AA473" t="s">
        <v>9674</v>
      </c>
      <c r="AB473" t="s">
        <v>74</v>
      </c>
      <c r="AC473" t="s">
        <v>9675</v>
      </c>
      <c r="AD473" t="s">
        <v>9676</v>
      </c>
      <c r="AE473" t="s">
        <v>9677</v>
      </c>
      <c r="AF473" t="s">
        <v>74</v>
      </c>
      <c r="AG473">
        <v>32</v>
      </c>
      <c r="AH473">
        <v>16</v>
      </c>
      <c r="AI473">
        <v>17</v>
      </c>
      <c r="AJ473">
        <v>0</v>
      </c>
      <c r="AK473">
        <v>33</v>
      </c>
      <c r="AL473" t="s">
        <v>91</v>
      </c>
      <c r="AM473" t="s">
        <v>92</v>
      </c>
      <c r="AN473" t="s">
        <v>2307</v>
      </c>
      <c r="AO473" t="s">
        <v>9678</v>
      </c>
      <c r="AP473" t="s">
        <v>9679</v>
      </c>
      <c r="AQ473" t="s">
        <v>74</v>
      </c>
      <c r="AR473" t="s">
        <v>9680</v>
      </c>
      <c r="AS473" t="s">
        <v>9681</v>
      </c>
      <c r="AT473" t="s">
        <v>1278</v>
      </c>
      <c r="AU473">
        <v>2012</v>
      </c>
      <c r="AV473">
        <v>85</v>
      </c>
      <c r="AW473">
        <v>1</v>
      </c>
      <c r="AX473" t="s">
        <v>74</v>
      </c>
      <c r="AY473" t="s">
        <v>74</v>
      </c>
      <c r="AZ473" t="s">
        <v>74</v>
      </c>
      <c r="BA473" t="s">
        <v>74</v>
      </c>
      <c r="BB473">
        <v>87</v>
      </c>
      <c r="BC473">
        <v>101</v>
      </c>
      <c r="BD473" t="s">
        <v>74</v>
      </c>
      <c r="BE473" t="s">
        <v>9682</v>
      </c>
      <c r="BF473" t="str">
        <f>HYPERLINK("http://dx.doi.org/10.1016/j.jss.2011.07.029","http://dx.doi.org/10.1016/j.jss.2011.07.029")</f>
        <v>http://dx.doi.org/10.1016/j.jss.2011.07.029</v>
      </c>
      <c r="BG473" t="s">
        <v>74</v>
      </c>
      <c r="BH473" t="s">
        <v>74</v>
      </c>
      <c r="BI473">
        <v>15</v>
      </c>
      <c r="BJ473" t="s">
        <v>1190</v>
      </c>
      <c r="BK473" t="s">
        <v>902</v>
      </c>
      <c r="BL473" t="s">
        <v>103</v>
      </c>
      <c r="BM473" t="s">
        <v>9683</v>
      </c>
      <c r="BN473" t="s">
        <v>74</v>
      </c>
      <c r="BO473" t="s">
        <v>74</v>
      </c>
      <c r="BP473" t="s">
        <v>74</v>
      </c>
      <c r="BQ473" t="s">
        <v>74</v>
      </c>
      <c r="BR473" t="s">
        <v>106</v>
      </c>
      <c r="BS473" t="s">
        <v>9684</v>
      </c>
      <c r="BT473" t="str">
        <f>HYPERLINK("https%3A%2F%2Fwww.webofscience.com%2Fwos%2Fwoscc%2Ffull-record%2FWOS:000297892900009","View Full Record in Web of Science")</f>
        <v>View Full Record in Web of Science</v>
      </c>
    </row>
    <row r="474" spans="1:72" x14ac:dyDescent="0.25">
      <c r="A474" t="s">
        <v>72</v>
      </c>
      <c r="B474" t="s">
        <v>9685</v>
      </c>
      <c r="C474" t="s">
        <v>74</v>
      </c>
      <c r="D474" t="s">
        <v>74</v>
      </c>
      <c r="E474" t="s">
        <v>74</v>
      </c>
      <c r="F474" t="s">
        <v>9686</v>
      </c>
      <c r="G474" t="s">
        <v>74</v>
      </c>
      <c r="H474" t="s">
        <v>74</v>
      </c>
      <c r="I474" t="s">
        <v>9687</v>
      </c>
      <c r="J474" t="s">
        <v>8499</v>
      </c>
      <c r="K474" t="s">
        <v>74</v>
      </c>
      <c r="L474" t="s">
        <v>74</v>
      </c>
      <c r="M474" t="s">
        <v>78</v>
      </c>
      <c r="N474" t="s">
        <v>79</v>
      </c>
      <c r="O474" t="s">
        <v>74</v>
      </c>
      <c r="P474" t="s">
        <v>74</v>
      </c>
      <c r="Q474" t="s">
        <v>74</v>
      </c>
      <c r="R474" t="s">
        <v>74</v>
      </c>
      <c r="S474" t="s">
        <v>74</v>
      </c>
      <c r="T474" t="s">
        <v>74</v>
      </c>
      <c r="U474" t="s">
        <v>9688</v>
      </c>
      <c r="V474" t="s">
        <v>9689</v>
      </c>
      <c r="W474" t="s">
        <v>9690</v>
      </c>
      <c r="X474" t="s">
        <v>9691</v>
      </c>
      <c r="Y474" t="s">
        <v>9692</v>
      </c>
      <c r="Z474" t="s">
        <v>9693</v>
      </c>
      <c r="AA474" t="s">
        <v>9694</v>
      </c>
      <c r="AB474" t="s">
        <v>74</v>
      </c>
      <c r="AC474" t="s">
        <v>9695</v>
      </c>
      <c r="AD474" t="s">
        <v>9696</v>
      </c>
      <c r="AE474" t="s">
        <v>9697</v>
      </c>
      <c r="AF474" t="s">
        <v>74</v>
      </c>
      <c r="AG474">
        <v>69</v>
      </c>
      <c r="AH474">
        <v>29</v>
      </c>
      <c r="AI474">
        <v>32</v>
      </c>
      <c r="AJ474">
        <v>3</v>
      </c>
      <c r="AK474">
        <v>15</v>
      </c>
      <c r="AL474" t="s">
        <v>8510</v>
      </c>
      <c r="AM474" t="s">
        <v>8511</v>
      </c>
      <c r="AN474" t="s">
        <v>8512</v>
      </c>
      <c r="AO474" t="s">
        <v>74</v>
      </c>
      <c r="AP474" t="s">
        <v>8513</v>
      </c>
      <c r="AQ474" t="s">
        <v>74</v>
      </c>
      <c r="AR474" t="s">
        <v>8499</v>
      </c>
      <c r="AS474" t="s">
        <v>8514</v>
      </c>
      <c r="AT474" t="s">
        <v>3434</v>
      </c>
      <c r="AU474">
        <v>2024</v>
      </c>
      <c r="AV474">
        <v>19</v>
      </c>
      <c r="AW474">
        <v>12</v>
      </c>
      <c r="AX474" t="s">
        <v>74</v>
      </c>
      <c r="AY474" t="s">
        <v>74</v>
      </c>
      <c r="AZ474" t="s">
        <v>74</v>
      </c>
      <c r="BA474" t="s">
        <v>74</v>
      </c>
      <c r="BB474" t="s">
        <v>74</v>
      </c>
      <c r="BC474" t="s">
        <v>74</v>
      </c>
      <c r="BD474" t="s">
        <v>9698</v>
      </c>
      <c r="BE474" t="s">
        <v>9699</v>
      </c>
      <c r="BF474" t="str">
        <f>HYPERLINK("http://dx.doi.org/10.1371/journal.pone.0315407","http://dx.doi.org/10.1371/journal.pone.0315407")</f>
        <v>http://dx.doi.org/10.1371/journal.pone.0315407</v>
      </c>
      <c r="BG474" t="s">
        <v>74</v>
      </c>
      <c r="BH474" t="s">
        <v>74</v>
      </c>
      <c r="BI474">
        <v>26</v>
      </c>
      <c r="BJ474" t="s">
        <v>5861</v>
      </c>
      <c r="BK474" t="s">
        <v>902</v>
      </c>
      <c r="BL474" t="s">
        <v>5862</v>
      </c>
      <c r="BM474" t="s">
        <v>9700</v>
      </c>
      <c r="BN474">
        <v>39700256</v>
      </c>
      <c r="BO474" t="s">
        <v>398</v>
      </c>
      <c r="BP474" t="s">
        <v>74</v>
      </c>
      <c r="BQ474" t="s">
        <v>74</v>
      </c>
      <c r="BR474" t="s">
        <v>106</v>
      </c>
      <c r="BS474" t="s">
        <v>9701</v>
      </c>
      <c r="BT474" t="str">
        <f>HYPERLINK("https%3A%2F%2Fwww.webofscience.com%2Fwos%2Fwoscc%2Ffull-record%2FWOS:001397531300078","View Full Record in Web of Science")</f>
        <v>View Full Record in Web of Science</v>
      </c>
    </row>
    <row r="475" spans="1:72" x14ac:dyDescent="0.25">
      <c r="A475" t="s">
        <v>72</v>
      </c>
      <c r="B475" t="s">
        <v>9702</v>
      </c>
      <c r="C475" t="s">
        <v>74</v>
      </c>
      <c r="D475" t="s">
        <v>74</v>
      </c>
      <c r="E475" t="s">
        <v>74</v>
      </c>
      <c r="F475" t="s">
        <v>9703</v>
      </c>
      <c r="G475" t="s">
        <v>74</v>
      </c>
      <c r="H475" t="s">
        <v>74</v>
      </c>
      <c r="I475" t="s">
        <v>9704</v>
      </c>
      <c r="J475" t="s">
        <v>9705</v>
      </c>
      <c r="K475" t="s">
        <v>74</v>
      </c>
      <c r="L475" t="s">
        <v>74</v>
      </c>
      <c r="M475" t="s">
        <v>78</v>
      </c>
      <c r="N475" t="s">
        <v>79</v>
      </c>
      <c r="O475" t="s">
        <v>74</v>
      </c>
      <c r="P475" t="s">
        <v>74</v>
      </c>
      <c r="Q475" t="s">
        <v>74</v>
      </c>
      <c r="R475" t="s">
        <v>74</v>
      </c>
      <c r="S475" t="s">
        <v>74</v>
      </c>
      <c r="T475" t="s">
        <v>9706</v>
      </c>
      <c r="U475" t="s">
        <v>74</v>
      </c>
      <c r="V475" t="s">
        <v>9707</v>
      </c>
      <c r="W475" t="s">
        <v>9708</v>
      </c>
      <c r="X475" t="s">
        <v>9709</v>
      </c>
      <c r="Y475" t="s">
        <v>9710</v>
      </c>
      <c r="Z475" t="s">
        <v>9711</v>
      </c>
      <c r="AA475" t="s">
        <v>9712</v>
      </c>
      <c r="AB475" t="s">
        <v>9713</v>
      </c>
      <c r="AC475" t="s">
        <v>74</v>
      </c>
      <c r="AD475" t="s">
        <v>74</v>
      </c>
      <c r="AE475" t="s">
        <v>74</v>
      </c>
      <c r="AF475" t="s">
        <v>74</v>
      </c>
      <c r="AG475">
        <v>56</v>
      </c>
      <c r="AH475">
        <v>5</v>
      </c>
      <c r="AI475">
        <v>6</v>
      </c>
      <c r="AJ475">
        <v>0</v>
      </c>
      <c r="AK475">
        <v>25</v>
      </c>
      <c r="AL475" t="s">
        <v>291</v>
      </c>
      <c r="AM475" t="s">
        <v>92</v>
      </c>
      <c r="AN475" t="s">
        <v>2534</v>
      </c>
      <c r="AO475" t="s">
        <v>9714</v>
      </c>
      <c r="AP475" t="s">
        <v>9715</v>
      </c>
      <c r="AQ475" t="s">
        <v>74</v>
      </c>
      <c r="AR475" t="s">
        <v>9716</v>
      </c>
      <c r="AS475" t="s">
        <v>9717</v>
      </c>
      <c r="AT475" t="s">
        <v>1950</v>
      </c>
      <c r="AU475">
        <v>2024</v>
      </c>
      <c r="AV475">
        <v>20</v>
      </c>
      <c r="AW475">
        <v>2</v>
      </c>
      <c r="AX475" t="s">
        <v>74</v>
      </c>
      <c r="AY475" t="s">
        <v>74</v>
      </c>
      <c r="AZ475" t="s">
        <v>247</v>
      </c>
      <c r="BA475" t="s">
        <v>74</v>
      </c>
      <c r="BB475" t="s">
        <v>74</v>
      </c>
      <c r="BC475" t="s">
        <v>74</v>
      </c>
      <c r="BD475">
        <v>46</v>
      </c>
      <c r="BE475" t="s">
        <v>9718</v>
      </c>
      <c r="BF475" t="str">
        <f>HYPERLINK("http://dx.doi.org/10.1145/3549954","http://dx.doi.org/10.1145/3549954")</f>
        <v>http://dx.doi.org/10.1145/3549954</v>
      </c>
      <c r="BG475" t="s">
        <v>74</v>
      </c>
      <c r="BH475" t="s">
        <v>74</v>
      </c>
      <c r="BI475">
        <v>20</v>
      </c>
      <c r="BJ475" t="s">
        <v>7997</v>
      </c>
      <c r="BK475" t="s">
        <v>902</v>
      </c>
      <c r="BL475" t="s">
        <v>103</v>
      </c>
      <c r="BM475" t="s">
        <v>9719</v>
      </c>
      <c r="BN475" t="s">
        <v>74</v>
      </c>
      <c r="BO475" t="s">
        <v>74</v>
      </c>
      <c r="BP475" t="s">
        <v>74</v>
      </c>
      <c r="BQ475" t="s">
        <v>74</v>
      </c>
      <c r="BR475" t="s">
        <v>106</v>
      </c>
      <c r="BS475" t="s">
        <v>9720</v>
      </c>
      <c r="BT475" t="str">
        <f>HYPERLINK("https%3A%2F%2Fwww.webofscience.com%2Fwos%2Fwoscc%2Ffull-record%2FWOS:001092595800016","View Full Record in Web of Science")</f>
        <v>View Full Record in Web of Science</v>
      </c>
    </row>
    <row r="476" spans="1:72" x14ac:dyDescent="0.25">
      <c r="A476" t="s">
        <v>108</v>
      </c>
      <c r="B476" t="s">
        <v>9721</v>
      </c>
      <c r="C476" t="s">
        <v>74</v>
      </c>
      <c r="D476" t="s">
        <v>74</v>
      </c>
      <c r="E476" t="s">
        <v>273</v>
      </c>
      <c r="F476" t="s">
        <v>9722</v>
      </c>
      <c r="G476" t="s">
        <v>74</v>
      </c>
      <c r="H476" t="s">
        <v>74</v>
      </c>
      <c r="I476" t="s">
        <v>9723</v>
      </c>
      <c r="J476" t="s">
        <v>9724</v>
      </c>
      <c r="K476" t="s">
        <v>74</v>
      </c>
      <c r="L476" t="s">
        <v>74</v>
      </c>
      <c r="M476" t="s">
        <v>78</v>
      </c>
      <c r="N476" t="s">
        <v>115</v>
      </c>
      <c r="O476" t="s">
        <v>9725</v>
      </c>
      <c r="P476" t="s">
        <v>9726</v>
      </c>
      <c r="Q476" t="s">
        <v>7587</v>
      </c>
      <c r="R476" t="s">
        <v>9727</v>
      </c>
      <c r="S476" t="s">
        <v>74</v>
      </c>
      <c r="T476" t="s">
        <v>9728</v>
      </c>
      <c r="U476" t="s">
        <v>74</v>
      </c>
      <c r="V476" t="s">
        <v>9729</v>
      </c>
      <c r="W476" t="s">
        <v>9730</v>
      </c>
      <c r="X476" t="s">
        <v>9731</v>
      </c>
      <c r="Y476" t="s">
        <v>9732</v>
      </c>
      <c r="Z476" t="s">
        <v>9733</v>
      </c>
      <c r="AA476" t="s">
        <v>9734</v>
      </c>
      <c r="AB476" t="s">
        <v>9735</v>
      </c>
      <c r="AC476" t="s">
        <v>9736</v>
      </c>
      <c r="AD476" t="s">
        <v>266</v>
      </c>
      <c r="AE476" t="s">
        <v>9737</v>
      </c>
      <c r="AF476" t="s">
        <v>74</v>
      </c>
      <c r="AG476">
        <v>10</v>
      </c>
      <c r="AH476">
        <v>1</v>
      </c>
      <c r="AI476">
        <v>1</v>
      </c>
      <c r="AJ476">
        <v>1</v>
      </c>
      <c r="AK476">
        <v>1</v>
      </c>
      <c r="AL476" t="s">
        <v>291</v>
      </c>
      <c r="AM476" t="s">
        <v>92</v>
      </c>
      <c r="AN476" t="s">
        <v>292</v>
      </c>
      <c r="AO476" t="s">
        <v>74</v>
      </c>
      <c r="AP476" t="s">
        <v>74</v>
      </c>
      <c r="AQ476" t="s">
        <v>9738</v>
      </c>
      <c r="AR476" t="s">
        <v>74</v>
      </c>
      <c r="AS476" t="s">
        <v>74</v>
      </c>
      <c r="AT476" t="s">
        <v>74</v>
      </c>
      <c r="AU476">
        <v>2016</v>
      </c>
      <c r="AV476" t="s">
        <v>74</v>
      </c>
      <c r="AW476" t="s">
        <v>74</v>
      </c>
      <c r="AX476" t="s">
        <v>74</v>
      </c>
      <c r="AY476" t="s">
        <v>74</v>
      </c>
      <c r="AZ476" t="s">
        <v>74</v>
      </c>
      <c r="BA476" t="s">
        <v>74</v>
      </c>
      <c r="BB476">
        <v>777</v>
      </c>
      <c r="BC476">
        <v>780</v>
      </c>
      <c r="BD476" t="s">
        <v>74</v>
      </c>
      <c r="BE476" t="s">
        <v>9739</v>
      </c>
      <c r="BF476" t="str">
        <f>HYPERLINK("http://dx.doi.org/10.1145/2911451.2914733","http://dx.doi.org/10.1145/2911451.2914733")</f>
        <v>http://dx.doi.org/10.1145/2911451.2914733</v>
      </c>
      <c r="BG476" t="s">
        <v>74</v>
      </c>
      <c r="BH476" t="s">
        <v>74</v>
      </c>
      <c r="BI476">
        <v>4</v>
      </c>
      <c r="BJ476" t="s">
        <v>852</v>
      </c>
      <c r="BK476" t="s">
        <v>203</v>
      </c>
      <c r="BL476" t="s">
        <v>103</v>
      </c>
      <c r="BM476" t="s">
        <v>9740</v>
      </c>
      <c r="BN476" t="s">
        <v>74</v>
      </c>
      <c r="BO476" t="s">
        <v>74</v>
      </c>
      <c r="BP476" t="s">
        <v>74</v>
      </c>
      <c r="BQ476" t="s">
        <v>74</v>
      </c>
      <c r="BR476" t="s">
        <v>106</v>
      </c>
      <c r="BS476" t="s">
        <v>9741</v>
      </c>
      <c r="BT476" t="str">
        <f>HYPERLINK("https%3A%2F%2Fwww.webofscience.com%2Fwos%2Fwoscc%2Ffull-record%2FWOS:000455100800104","View Full Record in Web of Science")</f>
        <v>View Full Record in Web of Science</v>
      </c>
    </row>
    <row r="477" spans="1:72" x14ac:dyDescent="0.25">
      <c r="A477" t="s">
        <v>108</v>
      </c>
      <c r="B477" t="s">
        <v>9742</v>
      </c>
      <c r="C477" t="s">
        <v>74</v>
      </c>
      <c r="D477" t="s">
        <v>9743</v>
      </c>
      <c r="E477" t="s">
        <v>74</v>
      </c>
      <c r="F477" t="s">
        <v>9744</v>
      </c>
      <c r="G477" t="s">
        <v>74</v>
      </c>
      <c r="H477" t="s">
        <v>74</v>
      </c>
      <c r="I477" t="s">
        <v>9745</v>
      </c>
      <c r="J477" t="s">
        <v>9746</v>
      </c>
      <c r="K477" t="s">
        <v>74</v>
      </c>
      <c r="L477" t="s">
        <v>74</v>
      </c>
      <c r="M477" t="s">
        <v>78</v>
      </c>
      <c r="N477" t="s">
        <v>115</v>
      </c>
      <c r="O477" t="s">
        <v>9747</v>
      </c>
      <c r="P477" t="s">
        <v>9748</v>
      </c>
      <c r="Q477" t="s">
        <v>8090</v>
      </c>
      <c r="R477" t="s">
        <v>74</v>
      </c>
      <c r="S477" t="s">
        <v>74</v>
      </c>
      <c r="T477" t="s">
        <v>9749</v>
      </c>
      <c r="U477" t="s">
        <v>74</v>
      </c>
      <c r="V477" t="s">
        <v>9750</v>
      </c>
      <c r="W477" t="s">
        <v>9751</v>
      </c>
      <c r="X477" t="s">
        <v>5473</v>
      </c>
      <c r="Y477" t="s">
        <v>9752</v>
      </c>
      <c r="Z477" t="s">
        <v>9753</v>
      </c>
      <c r="AA477" t="s">
        <v>74</v>
      </c>
      <c r="AB477" t="s">
        <v>74</v>
      </c>
      <c r="AC477" t="s">
        <v>74</v>
      </c>
      <c r="AD477" t="s">
        <v>74</v>
      </c>
      <c r="AE477" t="s">
        <v>74</v>
      </c>
      <c r="AF477" t="s">
        <v>74</v>
      </c>
      <c r="AG477">
        <v>20</v>
      </c>
      <c r="AH477">
        <v>0</v>
      </c>
      <c r="AI477">
        <v>0</v>
      </c>
      <c r="AJ477">
        <v>0</v>
      </c>
      <c r="AK477">
        <v>3</v>
      </c>
      <c r="AL477" t="s">
        <v>465</v>
      </c>
      <c r="AM477" t="s">
        <v>92</v>
      </c>
      <c r="AN477" t="s">
        <v>480</v>
      </c>
      <c r="AO477" t="s">
        <v>74</v>
      </c>
      <c r="AP477" t="s">
        <v>74</v>
      </c>
      <c r="AQ477" t="s">
        <v>9754</v>
      </c>
      <c r="AR477" t="s">
        <v>74</v>
      </c>
      <c r="AS477" t="s">
        <v>74</v>
      </c>
      <c r="AT477" t="s">
        <v>74</v>
      </c>
      <c r="AU477">
        <v>2014</v>
      </c>
      <c r="AV477" t="s">
        <v>74</v>
      </c>
      <c r="AW477" t="s">
        <v>74</v>
      </c>
      <c r="AX477" t="s">
        <v>74</v>
      </c>
      <c r="AY477" t="s">
        <v>74</v>
      </c>
      <c r="AZ477" t="s">
        <v>74</v>
      </c>
      <c r="BA477" t="s">
        <v>74</v>
      </c>
      <c r="BB477">
        <v>443</v>
      </c>
      <c r="BC477">
        <v>448</v>
      </c>
      <c r="BD477" t="s">
        <v>74</v>
      </c>
      <c r="BE477" t="s">
        <v>74</v>
      </c>
      <c r="BF477" t="s">
        <v>74</v>
      </c>
      <c r="BG477" t="s">
        <v>74</v>
      </c>
      <c r="BH477" t="s">
        <v>74</v>
      </c>
      <c r="BI477">
        <v>6</v>
      </c>
      <c r="BJ477" t="s">
        <v>972</v>
      </c>
      <c r="BK477" t="s">
        <v>203</v>
      </c>
      <c r="BL477" t="s">
        <v>953</v>
      </c>
      <c r="BM477" t="s">
        <v>9755</v>
      </c>
      <c r="BN477" t="s">
        <v>74</v>
      </c>
      <c r="BO477" t="s">
        <v>74</v>
      </c>
      <c r="BP477" t="s">
        <v>74</v>
      </c>
      <c r="BQ477" t="s">
        <v>74</v>
      </c>
      <c r="BR477" t="s">
        <v>106</v>
      </c>
      <c r="BS477" t="s">
        <v>9756</v>
      </c>
      <c r="BT477" t="str">
        <f>HYPERLINK("https%3A%2F%2Fwww.webofscience.com%2Fwos%2Fwoscc%2Ffull-record%2FWOS:000380438100089","View Full Record in Web of Science")</f>
        <v>View Full Record in Web of Science</v>
      </c>
    </row>
    <row r="478" spans="1:72" x14ac:dyDescent="0.25">
      <c r="A478" t="s">
        <v>72</v>
      </c>
      <c r="B478" t="s">
        <v>9757</v>
      </c>
      <c r="C478" t="s">
        <v>74</v>
      </c>
      <c r="D478" t="s">
        <v>74</v>
      </c>
      <c r="E478" t="s">
        <v>74</v>
      </c>
      <c r="F478" t="s">
        <v>9758</v>
      </c>
      <c r="G478" t="s">
        <v>74</v>
      </c>
      <c r="H478" t="s">
        <v>74</v>
      </c>
      <c r="I478" t="s">
        <v>9759</v>
      </c>
      <c r="J478" t="s">
        <v>8123</v>
      </c>
      <c r="K478" t="s">
        <v>74</v>
      </c>
      <c r="L478" t="s">
        <v>74</v>
      </c>
      <c r="M478" t="s">
        <v>78</v>
      </c>
      <c r="N478" t="s">
        <v>79</v>
      </c>
      <c r="O478" t="s">
        <v>74</v>
      </c>
      <c r="P478" t="s">
        <v>74</v>
      </c>
      <c r="Q478" t="s">
        <v>74</v>
      </c>
      <c r="R478" t="s">
        <v>74</v>
      </c>
      <c r="S478" t="s">
        <v>74</v>
      </c>
      <c r="T478" t="s">
        <v>9760</v>
      </c>
      <c r="U478" t="s">
        <v>74</v>
      </c>
      <c r="V478" t="s">
        <v>9761</v>
      </c>
      <c r="W478" t="s">
        <v>9762</v>
      </c>
      <c r="X478" t="s">
        <v>9763</v>
      </c>
      <c r="Y478" t="s">
        <v>9764</v>
      </c>
      <c r="Z478" t="s">
        <v>9765</v>
      </c>
      <c r="AA478" t="s">
        <v>9766</v>
      </c>
      <c r="AB478" t="s">
        <v>9767</v>
      </c>
      <c r="AC478" t="s">
        <v>9768</v>
      </c>
      <c r="AD478" t="s">
        <v>9769</v>
      </c>
      <c r="AE478" t="s">
        <v>9770</v>
      </c>
      <c r="AF478" t="s">
        <v>74</v>
      </c>
      <c r="AG478">
        <v>32</v>
      </c>
      <c r="AH478">
        <v>5</v>
      </c>
      <c r="AI478">
        <v>5</v>
      </c>
      <c r="AJ478">
        <v>1</v>
      </c>
      <c r="AK478">
        <v>18</v>
      </c>
      <c r="AL478" t="s">
        <v>1272</v>
      </c>
      <c r="AM478" t="s">
        <v>1273</v>
      </c>
      <c r="AN478" t="s">
        <v>3098</v>
      </c>
      <c r="AO478" t="s">
        <v>74</v>
      </c>
      <c r="AP478" t="s">
        <v>8135</v>
      </c>
      <c r="AQ478" t="s">
        <v>74</v>
      </c>
      <c r="AR478" t="s">
        <v>8136</v>
      </c>
      <c r="AS478" t="s">
        <v>8137</v>
      </c>
      <c r="AT478" t="s">
        <v>1251</v>
      </c>
      <c r="AU478">
        <v>2022</v>
      </c>
      <c r="AV478">
        <v>11</v>
      </c>
      <c r="AW478">
        <v>7</v>
      </c>
      <c r="AX478" t="s">
        <v>74</v>
      </c>
      <c r="AY478" t="s">
        <v>74</v>
      </c>
      <c r="AZ478" t="s">
        <v>74</v>
      </c>
      <c r="BA478" t="s">
        <v>74</v>
      </c>
      <c r="BB478" t="s">
        <v>74</v>
      </c>
      <c r="BC478" t="s">
        <v>74</v>
      </c>
      <c r="BD478">
        <v>1037</v>
      </c>
      <c r="BE478" t="s">
        <v>9771</v>
      </c>
      <c r="BF478" t="str">
        <f>HYPERLINK("http://dx.doi.org/10.3390/electronics11071037","http://dx.doi.org/10.3390/electronics11071037")</f>
        <v>http://dx.doi.org/10.3390/electronics11071037</v>
      </c>
      <c r="BG478" t="s">
        <v>74</v>
      </c>
      <c r="BH478" t="s">
        <v>74</v>
      </c>
      <c r="BI478">
        <v>15</v>
      </c>
      <c r="BJ478" t="s">
        <v>8139</v>
      </c>
      <c r="BK478" t="s">
        <v>902</v>
      </c>
      <c r="BL478" t="s">
        <v>8140</v>
      </c>
      <c r="BM478" t="s">
        <v>9772</v>
      </c>
      <c r="BN478" t="s">
        <v>74</v>
      </c>
      <c r="BO478" t="s">
        <v>398</v>
      </c>
      <c r="BP478" t="s">
        <v>74</v>
      </c>
      <c r="BQ478" t="s">
        <v>74</v>
      </c>
      <c r="BR478" t="s">
        <v>106</v>
      </c>
      <c r="BS478" t="s">
        <v>9773</v>
      </c>
      <c r="BT478" t="str">
        <f>HYPERLINK("https%3A%2F%2Fwww.webofscience.com%2Fwos%2Fwoscc%2Ffull-record%2FWOS:000781403800001","View Full Record in Web of Science")</f>
        <v>View Full Record in Web of Science</v>
      </c>
    </row>
    <row r="479" spans="1:72" x14ac:dyDescent="0.25">
      <c r="A479" t="s">
        <v>72</v>
      </c>
      <c r="B479" t="s">
        <v>9774</v>
      </c>
      <c r="C479" t="s">
        <v>74</v>
      </c>
      <c r="D479" t="s">
        <v>74</v>
      </c>
      <c r="E479" t="s">
        <v>74</v>
      </c>
      <c r="F479" t="s">
        <v>9775</v>
      </c>
      <c r="G479" t="s">
        <v>74</v>
      </c>
      <c r="H479" t="s">
        <v>74</v>
      </c>
      <c r="I479" t="s">
        <v>9776</v>
      </c>
      <c r="J479" t="s">
        <v>2737</v>
      </c>
      <c r="K479" t="s">
        <v>74</v>
      </c>
      <c r="L479" t="s">
        <v>74</v>
      </c>
      <c r="M479" t="s">
        <v>78</v>
      </c>
      <c r="N479" t="s">
        <v>79</v>
      </c>
      <c r="O479" t="s">
        <v>74</v>
      </c>
      <c r="P479" t="s">
        <v>74</v>
      </c>
      <c r="Q479" t="s">
        <v>74</v>
      </c>
      <c r="R479" t="s">
        <v>74</v>
      </c>
      <c r="S479" t="s">
        <v>74</v>
      </c>
      <c r="T479" t="s">
        <v>9777</v>
      </c>
      <c r="U479" t="s">
        <v>74</v>
      </c>
      <c r="V479" t="s">
        <v>9778</v>
      </c>
      <c r="W479" t="s">
        <v>9779</v>
      </c>
      <c r="X479" t="s">
        <v>9780</v>
      </c>
      <c r="Y479" t="s">
        <v>9781</v>
      </c>
      <c r="Z479" t="s">
        <v>9782</v>
      </c>
      <c r="AA479" t="s">
        <v>9783</v>
      </c>
      <c r="AB479" t="s">
        <v>9784</v>
      </c>
      <c r="AC479" t="s">
        <v>9785</v>
      </c>
      <c r="AD479" t="s">
        <v>9786</v>
      </c>
      <c r="AE479" t="s">
        <v>9787</v>
      </c>
      <c r="AF479" t="s">
        <v>74</v>
      </c>
      <c r="AG479">
        <v>50</v>
      </c>
      <c r="AH479">
        <v>49</v>
      </c>
      <c r="AI479">
        <v>53</v>
      </c>
      <c r="AJ479">
        <v>0</v>
      </c>
      <c r="AK479">
        <v>49</v>
      </c>
      <c r="AL479" t="s">
        <v>895</v>
      </c>
      <c r="AM479" t="s">
        <v>896</v>
      </c>
      <c r="AN479" t="s">
        <v>897</v>
      </c>
      <c r="AO479" t="s">
        <v>2750</v>
      </c>
      <c r="AP479" t="s">
        <v>2751</v>
      </c>
      <c r="AQ479" t="s">
        <v>74</v>
      </c>
      <c r="AR479" t="s">
        <v>2752</v>
      </c>
      <c r="AS479" t="s">
        <v>2753</v>
      </c>
      <c r="AT479" t="s">
        <v>4318</v>
      </c>
      <c r="AU479">
        <v>2020</v>
      </c>
      <c r="AV479">
        <v>50</v>
      </c>
      <c r="AW479">
        <v>10</v>
      </c>
      <c r="AX479" t="s">
        <v>74</v>
      </c>
      <c r="AY479" t="s">
        <v>74</v>
      </c>
      <c r="AZ479" t="s">
        <v>74</v>
      </c>
      <c r="BA479" t="s">
        <v>74</v>
      </c>
      <c r="BB479">
        <v>4268</v>
      </c>
      <c r="BC479">
        <v>4280</v>
      </c>
      <c r="BD479" t="s">
        <v>74</v>
      </c>
      <c r="BE479" t="s">
        <v>9788</v>
      </c>
      <c r="BF479" t="str">
        <f>HYPERLINK("http://dx.doi.org/10.1109/TCYB.2019.2900159","http://dx.doi.org/10.1109/TCYB.2019.2900159")</f>
        <v>http://dx.doi.org/10.1109/TCYB.2019.2900159</v>
      </c>
      <c r="BG479" t="s">
        <v>74</v>
      </c>
      <c r="BH479" t="s">
        <v>74</v>
      </c>
      <c r="BI479">
        <v>13</v>
      </c>
      <c r="BJ479" t="s">
        <v>2755</v>
      </c>
      <c r="BK479" t="s">
        <v>902</v>
      </c>
      <c r="BL479" t="s">
        <v>2756</v>
      </c>
      <c r="BM479" t="s">
        <v>9789</v>
      </c>
      <c r="BN479" t="s">
        <v>74</v>
      </c>
      <c r="BO479" t="s">
        <v>74</v>
      </c>
      <c r="BP479" t="s">
        <v>74</v>
      </c>
      <c r="BQ479" t="s">
        <v>74</v>
      </c>
      <c r="BR479" t="s">
        <v>106</v>
      </c>
      <c r="BS479" t="s">
        <v>9790</v>
      </c>
      <c r="BT479" t="str">
        <f>HYPERLINK("https%3A%2F%2Fwww.webofscience.com%2Fwos%2Fwoscc%2Ffull-record%2FWOS:000572625500007","View Full Record in Web of Science")</f>
        <v>View Full Record in Web of Science</v>
      </c>
    </row>
    <row r="480" spans="1:72" x14ac:dyDescent="0.25">
      <c r="A480" t="s">
        <v>72</v>
      </c>
      <c r="B480" t="s">
        <v>9791</v>
      </c>
      <c r="C480" t="s">
        <v>74</v>
      </c>
      <c r="D480" t="s">
        <v>74</v>
      </c>
      <c r="E480" t="s">
        <v>74</v>
      </c>
      <c r="F480" t="s">
        <v>9792</v>
      </c>
      <c r="G480" t="s">
        <v>74</v>
      </c>
      <c r="H480" t="s">
        <v>74</v>
      </c>
      <c r="I480" t="s">
        <v>9793</v>
      </c>
      <c r="J480" t="s">
        <v>9794</v>
      </c>
      <c r="K480" t="s">
        <v>74</v>
      </c>
      <c r="L480" t="s">
        <v>74</v>
      </c>
      <c r="M480" t="s">
        <v>78</v>
      </c>
      <c r="N480" t="s">
        <v>79</v>
      </c>
      <c r="O480" t="s">
        <v>74</v>
      </c>
      <c r="P480" t="s">
        <v>74</v>
      </c>
      <c r="Q480" t="s">
        <v>74</v>
      </c>
      <c r="R480" t="s">
        <v>74</v>
      </c>
      <c r="S480" t="s">
        <v>74</v>
      </c>
      <c r="T480" t="s">
        <v>9795</v>
      </c>
      <c r="U480" t="s">
        <v>74</v>
      </c>
      <c r="V480" t="s">
        <v>9796</v>
      </c>
      <c r="W480" t="s">
        <v>9797</v>
      </c>
      <c r="X480" t="s">
        <v>9798</v>
      </c>
      <c r="Y480" t="s">
        <v>9799</v>
      </c>
      <c r="Z480" t="s">
        <v>9800</v>
      </c>
      <c r="AA480" t="s">
        <v>9801</v>
      </c>
      <c r="AB480" t="s">
        <v>9802</v>
      </c>
      <c r="AC480" t="s">
        <v>9803</v>
      </c>
      <c r="AD480" t="s">
        <v>9804</v>
      </c>
      <c r="AE480" t="s">
        <v>9805</v>
      </c>
      <c r="AF480" t="s">
        <v>74</v>
      </c>
      <c r="AG480">
        <v>56</v>
      </c>
      <c r="AH480">
        <v>5</v>
      </c>
      <c r="AI480">
        <v>5</v>
      </c>
      <c r="AJ480">
        <v>0</v>
      </c>
      <c r="AK480">
        <v>3</v>
      </c>
      <c r="AL480" t="s">
        <v>291</v>
      </c>
      <c r="AM480" t="s">
        <v>92</v>
      </c>
      <c r="AN480" t="s">
        <v>2534</v>
      </c>
      <c r="AO480" t="s">
        <v>9806</v>
      </c>
      <c r="AP480" t="s">
        <v>9807</v>
      </c>
      <c r="AQ480" t="s">
        <v>74</v>
      </c>
      <c r="AR480" t="s">
        <v>9808</v>
      </c>
      <c r="AS480" t="s">
        <v>9809</v>
      </c>
      <c r="AT480" t="s">
        <v>98</v>
      </c>
      <c r="AU480">
        <v>2023</v>
      </c>
      <c r="AV480">
        <v>14</v>
      </c>
      <c r="AW480">
        <v>4</v>
      </c>
      <c r="AX480" t="s">
        <v>74</v>
      </c>
      <c r="AY480" t="s">
        <v>74</v>
      </c>
      <c r="AZ480" t="s">
        <v>247</v>
      </c>
      <c r="BA480" t="s">
        <v>74</v>
      </c>
      <c r="BB480" t="s">
        <v>74</v>
      </c>
      <c r="BC480" t="s">
        <v>74</v>
      </c>
      <c r="BD480">
        <v>31</v>
      </c>
      <c r="BE480" t="s">
        <v>9810</v>
      </c>
      <c r="BF480" t="str">
        <f>HYPERLINK("http://dx.doi.org/10.1145/3615359","http://dx.doi.org/10.1145/3615359")</f>
        <v>http://dx.doi.org/10.1145/3615359</v>
      </c>
      <c r="BG480" t="s">
        <v>74</v>
      </c>
      <c r="BH480" t="s">
        <v>74</v>
      </c>
      <c r="BI480">
        <v>26</v>
      </c>
      <c r="BJ480" t="s">
        <v>852</v>
      </c>
      <c r="BK480" t="s">
        <v>102</v>
      </c>
      <c r="BL480" t="s">
        <v>103</v>
      </c>
      <c r="BM480" t="s">
        <v>9811</v>
      </c>
      <c r="BN480" t="s">
        <v>74</v>
      </c>
      <c r="BO480" t="s">
        <v>105</v>
      </c>
      <c r="BP480" t="s">
        <v>74</v>
      </c>
      <c r="BQ480" t="s">
        <v>74</v>
      </c>
      <c r="BR480" t="s">
        <v>106</v>
      </c>
      <c r="BS480" t="s">
        <v>9812</v>
      </c>
      <c r="BT480" t="str">
        <f>HYPERLINK("https%3A%2F%2Fwww.webofscience.com%2Fwos%2Fwoscc%2Ffull-record%2FWOS:001138073000004","View Full Record in Web of Science")</f>
        <v>View Full Record in Web of Science</v>
      </c>
    </row>
    <row r="481" spans="1:72" x14ac:dyDescent="0.25">
      <c r="A481" t="s">
        <v>72</v>
      </c>
      <c r="B481" t="s">
        <v>9813</v>
      </c>
      <c r="C481" t="s">
        <v>74</v>
      </c>
      <c r="D481" t="s">
        <v>74</v>
      </c>
      <c r="E481" t="s">
        <v>74</v>
      </c>
      <c r="F481" t="s">
        <v>9814</v>
      </c>
      <c r="G481" t="s">
        <v>74</v>
      </c>
      <c r="H481" t="s">
        <v>74</v>
      </c>
      <c r="I481" t="s">
        <v>9815</v>
      </c>
      <c r="J481" t="s">
        <v>9816</v>
      </c>
      <c r="K481" t="s">
        <v>74</v>
      </c>
      <c r="L481" t="s">
        <v>74</v>
      </c>
      <c r="M481" t="s">
        <v>78</v>
      </c>
      <c r="N481" t="s">
        <v>79</v>
      </c>
      <c r="O481" t="s">
        <v>74</v>
      </c>
      <c r="P481" t="s">
        <v>74</v>
      </c>
      <c r="Q481" t="s">
        <v>74</v>
      </c>
      <c r="R481" t="s">
        <v>74</v>
      </c>
      <c r="S481" t="s">
        <v>74</v>
      </c>
      <c r="T481" t="s">
        <v>9817</v>
      </c>
      <c r="U481" t="s">
        <v>74</v>
      </c>
      <c r="V481" t="s">
        <v>9818</v>
      </c>
      <c r="W481" t="s">
        <v>9819</v>
      </c>
      <c r="X481" t="s">
        <v>7662</v>
      </c>
      <c r="Y481" t="s">
        <v>9820</v>
      </c>
      <c r="Z481" t="s">
        <v>9821</v>
      </c>
      <c r="AA481" t="s">
        <v>74</v>
      </c>
      <c r="AB481" t="s">
        <v>74</v>
      </c>
      <c r="AC481" t="s">
        <v>74</v>
      </c>
      <c r="AD481" t="s">
        <v>74</v>
      </c>
      <c r="AE481" t="s">
        <v>74</v>
      </c>
      <c r="AF481" t="s">
        <v>74</v>
      </c>
      <c r="AG481">
        <v>22</v>
      </c>
      <c r="AH481">
        <v>0</v>
      </c>
      <c r="AI481">
        <v>0</v>
      </c>
      <c r="AJ481">
        <v>0</v>
      </c>
      <c r="AK481">
        <v>6</v>
      </c>
      <c r="AL481" t="s">
        <v>9822</v>
      </c>
      <c r="AM481" t="s">
        <v>9823</v>
      </c>
      <c r="AN481" t="s">
        <v>9824</v>
      </c>
      <c r="AO481" t="s">
        <v>9825</v>
      </c>
      <c r="AP481" t="s">
        <v>9826</v>
      </c>
      <c r="AQ481" t="s">
        <v>74</v>
      </c>
      <c r="AR481" t="s">
        <v>9827</v>
      </c>
      <c r="AS481" t="s">
        <v>9828</v>
      </c>
      <c r="AT481" t="s">
        <v>1251</v>
      </c>
      <c r="AU481">
        <v>2012</v>
      </c>
      <c r="AV481" t="s">
        <v>9829</v>
      </c>
      <c r="AW481">
        <v>4</v>
      </c>
      <c r="AX481" t="s">
        <v>74</v>
      </c>
      <c r="AY481" t="s">
        <v>74</v>
      </c>
      <c r="AZ481" t="s">
        <v>74</v>
      </c>
      <c r="BA481" t="s">
        <v>74</v>
      </c>
      <c r="BB481">
        <v>932</v>
      </c>
      <c r="BC481">
        <v>941</v>
      </c>
      <c r="BD481" t="s">
        <v>74</v>
      </c>
      <c r="BE481" t="s">
        <v>9830</v>
      </c>
      <c r="BF481" t="str">
        <f>HYPERLINK("http://dx.doi.org/10.1587/transinf.E95.D.932","http://dx.doi.org/10.1587/transinf.E95.D.932")</f>
        <v>http://dx.doi.org/10.1587/transinf.E95.D.932</v>
      </c>
      <c r="BG481" t="s">
        <v>74</v>
      </c>
      <c r="BH481" t="s">
        <v>74</v>
      </c>
      <c r="BI481">
        <v>10</v>
      </c>
      <c r="BJ481" t="s">
        <v>2540</v>
      </c>
      <c r="BK481" t="s">
        <v>902</v>
      </c>
      <c r="BL481" t="s">
        <v>103</v>
      </c>
      <c r="BM481" t="s">
        <v>9831</v>
      </c>
      <c r="BN481" t="s">
        <v>74</v>
      </c>
      <c r="BO481" t="s">
        <v>372</v>
      </c>
      <c r="BP481" t="s">
        <v>74</v>
      </c>
      <c r="BQ481" t="s">
        <v>74</v>
      </c>
      <c r="BR481" t="s">
        <v>106</v>
      </c>
      <c r="BS481" t="s">
        <v>9832</v>
      </c>
      <c r="BT481" t="str">
        <f>HYPERLINK("https%3A%2F%2Fwww.webofscience.com%2Fwos%2Fwoscc%2Ffull-record%2FWOS:000302834400004","View Full Record in Web of Science")</f>
        <v>View Full Record in Web of Science</v>
      </c>
    </row>
    <row r="482" spans="1:72" x14ac:dyDescent="0.25">
      <c r="A482" t="s">
        <v>108</v>
      </c>
      <c r="B482" t="s">
        <v>9833</v>
      </c>
      <c r="C482" t="s">
        <v>74</v>
      </c>
      <c r="D482" t="s">
        <v>74</v>
      </c>
      <c r="E482" t="s">
        <v>465</v>
      </c>
      <c r="F482" t="s">
        <v>9834</v>
      </c>
      <c r="G482" t="s">
        <v>74</v>
      </c>
      <c r="H482" t="s">
        <v>74</v>
      </c>
      <c r="I482" t="s">
        <v>9835</v>
      </c>
      <c r="J482" t="s">
        <v>9836</v>
      </c>
      <c r="K482" t="s">
        <v>74</v>
      </c>
      <c r="L482" t="s">
        <v>74</v>
      </c>
      <c r="M482" t="s">
        <v>78</v>
      </c>
      <c r="N482" t="s">
        <v>115</v>
      </c>
      <c r="O482" t="s">
        <v>9837</v>
      </c>
      <c r="P482" t="s">
        <v>9838</v>
      </c>
      <c r="Q482" t="s">
        <v>4669</v>
      </c>
      <c r="R482" t="s">
        <v>74</v>
      </c>
      <c r="S482" t="s">
        <v>74</v>
      </c>
      <c r="T482" t="s">
        <v>9839</v>
      </c>
      <c r="U482" t="s">
        <v>74</v>
      </c>
      <c r="V482" t="s">
        <v>9840</v>
      </c>
      <c r="W482" t="s">
        <v>9841</v>
      </c>
      <c r="X482" t="s">
        <v>9842</v>
      </c>
      <c r="Y482" t="s">
        <v>9843</v>
      </c>
      <c r="Z482" t="s">
        <v>9844</v>
      </c>
      <c r="AA482" t="s">
        <v>9845</v>
      </c>
      <c r="AB482" t="s">
        <v>74</v>
      </c>
      <c r="AC482" t="s">
        <v>74</v>
      </c>
      <c r="AD482" t="s">
        <v>74</v>
      </c>
      <c r="AE482" t="s">
        <v>74</v>
      </c>
      <c r="AF482" t="s">
        <v>74</v>
      </c>
      <c r="AG482">
        <v>17</v>
      </c>
      <c r="AH482">
        <v>1</v>
      </c>
      <c r="AI482">
        <v>1</v>
      </c>
      <c r="AJ482">
        <v>0</v>
      </c>
      <c r="AK482">
        <v>3</v>
      </c>
      <c r="AL482" t="s">
        <v>465</v>
      </c>
      <c r="AM482" t="s">
        <v>92</v>
      </c>
      <c r="AN482" t="s">
        <v>480</v>
      </c>
      <c r="AO482" t="s">
        <v>74</v>
      </c>
      <c r="AP482" t="s">
        <v>74</v>
      </c>
      <c r="AQ482" t="s">
        <v>9846</v>
      </c>
      <c r="AR482" t="s">
        <v>74</v>
      </c>
      <c r="AS482" t="s">
        <v>74</v>
      </c>
      <c r="AT482" t="s">
        <v>74</v>
      </c>
      <c r="AU482">
        <v>2020</v>
      </c>
      <c r="AV482" t="s">
        <v>74</v>
      </c>
      <c r="AW482" t="s">
        <v>74</v>
      </c>
      <c r="AX482" t="s">
        <v>74</v>
      </c>
      <c r="AY482" t="s">
        <v>74</v>
      </c>
      <c r="AZ482" t="s">
        <v>74</v>
      </c>
      <c r="BA482" t="s">
        <v>74</v>
      </c>
      <c r="BB482">
        <v>203</v>
      </c>
      <c r="BC482">
        <v>208</v>
      </c>
      <c r="BD482" t="s">
        <v>74</v>
      </c>
      <c r="BE482" t="s">
        <v>9847</v>
      </c>
      <c r="BF482" t="str">
        <f>HYPERLINK("http://dx.doi.org/10.1109/icwr49608.2020.9122274","http://dx.doi.org/10.1109/icwr49608.2020.9122274")</f>
        <v>http://dx.doi.org/10.1109/icwr49608.2020.9122274</v>
      </c>
      <c r="BG482" t="s">
        <v>74</v>
      </c>
      <c r="BH482" t="s">
        <v>74</v>
      </c>
      <c r="BI482">
        <v>6</v>
      </c>
      <c r="BJ482" t="s">
        <v>2292</v>
      </c>
      <c r="BK482" t="s">
        <v>203</v>
      </c>
      <c r="BL482" t="s">
        <v>103</v>
      </c>
      <c r="BM482" t="s">
        <v>9848</v>
      </c>
      <c r="BN482" t="s">
        <v>74</v>
      </c>
      <c r="BO482" t="s">
        <v>74</v>
      </c>
      <c r="BP482" t="s">
        <v>74</v>
      </c>
      <c r="BQ482" t="s">
        <v>74</v>
      </c>
      <c r="BR482" t="s">
        <v>106</v>
      </c>
      <c r="BS482" t="s">
        <v>9849</v>
      </c>
      <c r="BT482" t="str">
        <f>HYPERLINK("https%3A%2F%2Fwww.webofscience.com%2Fwos%2Fwoscc%2Ffull-record%2FWOS:000620335700034","View Full Record in Web of Science")</f>
        <v>View Full Record in Web of Science</v>
      </c>
    </row>
    <row r="483" spans="1:72" x14ac:dyDescent="0.25">
      <c r="A483" t="s">
        <v>72</v>
      </c>
      <c r="B483" t="s">
        <v>9850</v>
      </c>
      <c r="C483" t="s">
        <v>74</v>
      </c>
      <c r="D483" t="s">
        <v>74</v>
      </c>
      <c r="E483" t="s">
        <v>74</v>
      </c>
      <c r="F483" t="s">
        <v>9851</v>
      </c>
      <c r="G483" t="s">
        <v>74</v>
      </c>
      <c r="H483" t="s">
        <v>74</v>
      </c>
      <c r="I483" t="s">
        <v>9852</v>
      </c>
      <c r="J483" t="s">
        <v>4303</v>
      </c>
      <c r="K483" t="s">
        <v>74</v>
      </c>
      <c r="L483" t="s">
        <v>74</v>
      </c>
      <c r="M483" t="s">
        <v>78</v>
      </c>
      <c r="N483" t="s">
        <v>79</v>
      </c>
      <c r="O483" t="s">
        <v>74</v>
      </c>
      <c r="P483" t="s">
        <v>74</v>
      </c>
      <c r="Q483" t="s">
        <v>74</v>
      </c>
      <c r="R483" t="s">
        <v>74</v>
      </c>
      <c r="S483" t="s">
        <v>74</v>
      </c>
      <c r="T483" t="s">
        <v>9853</v>
      </c>
      <c r="U483" t="s">
        <v>9854</v>
      </c>
      <c r="V483" t="s">
        <v>9855</v>
      </c>
      <c r="W483" t="s">
        <v>9856</v>
      </c>
      <c r="X483" t="s">
        <v>9857</v>
      </c>
      <c r="Y483" t="s">
        <v>9858</v>
      </c>
      <c r="Z483" t="s">
        <v>9859</v>
      </c>
      <c r="AA483" t="s">
        <v>9860</v>
      </c>
      <c r="AB483" t="s">
        <v>9861</v>
      </c>
      <c r="AC483" t="s">
        <v>74</v>
      </c>
      <c r="AD483" t="s">
        <v>74</v>
      </c>
      <c r="AE483" t="s">
        <v>74</v>
      </c>
      <c r="AF483" t="s">
        <v>74</v>
      </c>
      <c r="AG483">
        <v>45</v>
      </c>
      <c r="AH483">
        <v>124</v>
      </c>
      <c r="AI483">
        <v>149</v>
      </c>
      <c r="AJ483">
        <v>0</v>
      </c>
      <c r="AK483">
        <v>67</v>
      </c>
      <c r="AL483" t="s">
        <v>178</v>
      </c>
      <c r="AM483" t="s">
        <v>1005</v>
      </c>
      <c r="AN483" t="s">
        <v>1006</v>
      </c>
      <c r="AO483" t="s">
        <v>4314</v>
      </c>
      <c r="AP483" t="s">
        <v>4315</v>
      </c>
      <c r="AQ483" t="s">
        <v>74</v>
      </c>
      <c r="AR483" t="s">
        <v>4316</v>
      </c>
      <c r="AS483" t="s">
        <v>4317</v>
      </c>
      <c r="AT483" t="s">
        <v>1950</v>
      </c>
      <c r="AU483">
        <v>2012</v>
      </c>
      <c r="AV483">
        <v>37</v>
      </c>
      <c r="AW483">
        <v>2</v>
      </c>
      <c r="AX483" t="s">
        <v>74</v>
      </c>
      <c r="AY483" t="s">
        <v>74</v>
      </c>
      <c r="AZ483" t="s">
        <v>74</v>
      </c>
      <c r="BA483" t="s">
        <v>74</v>
      </c>
      <c r="BB483">
        <v>119</v>
      </c>
      <c r="BC483">
        <v>132</v>
      </c>
      <c r="BD483" t="s">
        <v>74</v>
      </c>
      <c r="BE483" t="s">
        <v>9862</v>
      </c>
      <c r="BF483" t="str">
        <f>HYPERLINK("http://dx.doi.org/10.1007/s10462-011-9222-1","http://dx.doi.org/10.1007/s10462-011-9222-1")</f>
        <v>http://dx.doi.org/10.1007/s10462-011-9222-1</v>
      </c>
      <c r="BG483" t="s">
        <v>74</v>
      </c>
      <c r="BH483" t="s">
        <v>74</v>
      </c>
      <c r="BI483">
        <v>14</v>
      </c>
      <c r="BJ483" t="s">
        <v>807</v>
      </c>
      <c r="BK483" t="s">
        <v>902</v>
      </c>
      <c r="BL483" t="s">
        <v>103</v>
      </c>
      <c r="BM483" t="s">
        <v>9863</v>
      </c>
      <c r="BN483" t="s">
        <v>74</v>
      </c>
      <c r="BO483" t="s">
        <v>346</v>
      </c>
      <c r="BP483" t="s">
        <v>74</v>
      </c>
      <c r="BQ483" t="s">
        <v>74</v>
      </c>
      <c r="BR483" t="s">
        <v>106</v>
      </c>
      <c r="BS483" t="s">
        <v>9864</v>
      </c>
      <c r="BT483" t="str">
        <f>HYPERLINK("https%3A%2F%2Fwww.webofscience.com%2Fwos%2Fwoscc%2Ffull-record%2FWOS:000300283700003","View Full Record in Web of Science")</f>
        <v>View Full Record in Web of Science</v>
      </c>
    </row>
    <row r="484" spans="1:72" x14ac:dyDescent="0.25">
      <c r="A484" t="s">
        <v>108</v>
      </c>
      <c r="B484" t="s">
        <v>9865</v>
      </c>
      <c r="C484" t="s">
        <v>74</v>
      </c>
      <c r="D484" t="s">
        <v>9866</v>
      </c>
      <c r="E484" t="s">
        <v>74</v>
      </c>
      <c r="F484" t="s">
        <v>9867</v>
      </c>
      <c r="G484" t="s">
        <v>74</v>
      </c>
      <c r="H484" t="s">
        <v>74</v>
      </c>
      <c r="I484" t="s">
        <v>9868</v>
      </c>
      <c r="J484" t="s">
        <v>9869</v>
      </c>
      <c r="K484" t="s">
        <v>74</v>
      </c>
      <c r="L484" t="s">
        <v>74</v>
      </c>
      <c r="M484" t="s">
        <v>78</v>
      </c>
      <c r="N484" t="s">
        <v>115</v>
      </c>
      <c r="O484" t="s">
        <v>9870</v>
      </c>
      <c r="P484" t="s">
        <v>9871</v>
      </c>
      <c r="Q484" t="s">
        <v>9872</v>
      </c>
      <c r="R484" t="s">
        <v>9873</v>
      </c>
      <c r="S484" t="s">
        <v>74</v>
      </c>
      <c r="T484" t="s">
        <v>9874</v>
      </c>
      <c r="U484" t="s">
        <v>74</v>
      </c>
      <c r="V484" t="s">
        <v>9875</v>
      </c>
      <c r="W484" t="s">
        <v>9876</v>
      </c>
      <c r="X484" t="s">
        <v>9877</v>
      </c>
      <c r="Y484" t="s">
        <v>9878</v>
      </c>
      <c r="Z484" t="s">
        <v>9879</v>
      </c>
      <c r="AA484" t="s">
        <v>3181</v>
      </c>
      <c r="AB484" t="s">
        <v>3182</v>
      </c>
      <c r="AC484" t="s">
        <v>74</v>
      </c>
      <c r="AD484" t="s">
        <v>74</v>
      </c>
      <c r="AE484" t="s">
        <v>74</v>
      </c>
      <c r="AF484" t="s">
        <v>74</v>
      </c>
      <c r="AG484">
        <v>16</v>
      </c>
      <c r="AH484">
        <v>0</v>
      </c>
      <c r="AI484">
        <v>0</v>
      </c>
      <c r="AJ484">
        <v>0</v>
      </c>
      <c r="AK484">
        <v>1</v>
      </c>
      <c r="AL484" t="s">
        <v>465</v>
      </c>
      <c r="AM484" t="s">
        <v>92</v>
      </c>
      <c r="AN484" t="s">
        <v>480</v>
      </c>
      <c r="AO484" t="s">
        <v>74</v>
      </c>
      <c r="AP484" t="s">
        <v>74</v>
      </c>
      <c r="AQ484" t="s">
        <v>9880</v>
      </c>
      <c r="AR484" t="s">
        <v>74</v>
      </c>
      <c r="AS484" t="s">
        <v>74</v>
      </c>
      <c r="AT484" t="s">
        <v>74</v>
      </c>
      <c r="AU484">
        <v>2014</v>
      </c>
      <c r="AV484" t="s">
        <v>74</v>
      </c>
      <c r="AW484" t="s">
        <v>74</v>
      </c>
      <c r="AX484" t="s">
        <v>74</v>
      </c>
      <c r="AY484" t="s">
        <v>74</v>
      </c>
      <c r="AZ484" t="s">
        <v>74</v>
      </c>
      <c r="BA484" t="s">
        <v>74</v>
      </c>
      <c r="BB484">
        <v>234</v>
      </c>
      <c r="BC484">
        <v>239</v>
      </c>
      <c r="BD484" t="s">
        <v>74</v>
      </c>
      <c r="BE484" t="s">
        <v>9881</v>
      </c>
      <c r="BF484" t="str">
        <f>HYPERLINK("http://dx.doi.org/10.1109/COMPSACW.2014.42","http://dx.doi.org/10.1109/COMPSACW.2014.42")</f>
        <v>http://dx.doi.org/10.1109/COMPSACW.2014.42</v>
      </c>
      <c r="BG484" t="s">
        <v>74</v>
      </c>
      <c r="BH484" t="s">
        <v>74</v>
      </c>
      <c r="BI484">
        <v>6</v>
      </c>
      <c r="BJ484" t="s">
        <v>4990</v>
      </c>
      <c r="BK484" t="s">
        <v>203</v>
      </c>
      <c r="BL484" t="s">
        <v>953</v>
      </c>
      <c r="BM484" t="s">
        <v>9882</v>
      </c>
      <c r="BN484" t="s">
        <v>74</v>
      </c>
      <c r="BO484" t="s">
        <v>74</v>
      </c>
      <c r="BP484" t="s">
        <v>74</v>
      </c>
      <c r="BQ484" t="s">
        <v>74</v>
      </c>
      <c r="BR484" t="s">
        <v>106</v>
      </c>
      <c r="BS484" t="s">
        <v>9883</v>
      </c>
      <c r="BT484" t="str">
        <f>HYPERLINK("https%3A%2F%2Fwww.webofscience.com%2Fwos%2Fwoscc%2Ffull-record%2FWOS:000352787700040","View Full Record in Web of Science")</f>
        <v>View Full Record in Web of Science</v>
      </c>
    </row>
    <row r="485" spans="1:72" x14ac:dyDescent="0.25">
      <c r="A485" t="s">
        <v>108</v>
      </c>
      <c r="B485" t="s">
        <v>9884</v>
      </c>
      <c r="C485" t="s">
        <v>74</v>
      </c>
      <c r="D485" t="s">
        <v>9885</v>
      </c>
      <c r="E485" t="s">
        <v>74</v>
      </c>
      <c r="F485" t="s">
        <v>9886</v>
      </c>
      <c r="G485" t="s">
        <v>74</v>
      </c>
      <c r="H485" t="s">
        <v>74</v>
      </c>
      <c r="I485" t="s">
        <v>9887</v>
      </c>
      <c r="J485" t="s">
        <v>9888</v>
      </c>
      <c r="K485" t="s">
        <v>74</v>
      </c>
      <c r="L485" t="s">
        <v>74</v>
      </c>
      <c r="M485" t="s">
        <v>78</v>
      </c>
      <c r="N485" t="s">
        <v>115</v>
      </c>
      <c r="O485" t="s">
        <v>9889</v>
      </c>
      <c r="P485" t="s">
        <v>9890</v>
      </c>
      <c r="Q485" t="s">
        <v>1847</v>
      </c>
      <c r="R485" t="s">
        <v>9891</v>
      </c>
      <c r="S485" t="s">
        <v>74</v>
      </c>
      <c r="T485" t="s">
        <v>9892</v>
      </c>
      <c r="U485" t="s">
        <v>74</v>
      </c>
      <c r="V485" t="s">
        <v>9893</v>
      </c>
      <c r="W485" t="s">
        <v>9894</v>
      </c>
      <c r="X485" t="s">
        <v>9895</v>
      </c>
      <c r="Y485" t="s">
        <v>9896</v>
      </c>
      <c r="Z485" t="s">
        <v>9897</v>
      </c>
      <c r="AA485" t="s">
        <v>9898</v>
      </c>
      <c r="AB485" t="s">
        <v>9899</v>
      </c>
      <c r="AC485" t="s">
        <v>74</v>
      </c>
      <c r="AD485" t="s">
        <v>74</v>
      </c>
      <c r="AE485" t="s">
        <v>74</v>
      </c>
      <c r="AF485" t="s">
        <v>74</v>
      </c>
      <c r="AG485">
        <v>27</v>
      </c>
      <c r="AH485">
        <v>9</v>
      </c>
      <c r="AI485">
        <v>9</v>
      </c>
      <c r="AJ485">
        <v>0</v>
      </c>
      <c r="AK485">
        <v>4</v>
      </c>
      <c r="AL485" t="s">
        <v>465</v>
      </c>
      <c r="AM485" t="s">
        <v>92</v>
      </c>
      <c r="AN485" t="s">
        <v>480</v>
      </c>
      <c r="AO485" t="s">
        <v>74</v>
      </c>
      <c r="AP485" t="s">
        <v>74</v>
      </c>
      <c r="AQ485" t="s">
        <v>9900</v>
      </c>
      <c r="AR485" t="s">
        <v>74</v>
      </c>
      <c r="AS485" t="s">
        <v>74</v>
      </c>
      <c r="AT485" t="s">
        <v>74</v>
      </c>
      <c r="AU485">
        <v>2016</v>
      </c>
      <c r="AV485" t="s">
        <v>74</v>
      </c>
      <c r="AW485" t="s">
        <v>74</v>
      </c>
      <c r="AX485" t="s">
        <v>74</v>
      </c>
      <c r="AY485" t="s">
        <v>74</v>
      </c>
      <c r="AZ485" t="s">
        <v>74</v>
      </c>
      <c r="BA485" t="s">
        <v>74</v>
      </c>
      <c r="BB485">
        <v>406</v>
      </c>
      <c r="BC485">
        <v>410</v>
      </c>
      <c r="BD485" t="s">
        <v>74</v>
      </c>
      <c r="BE485" t="s">
        <v>74</v>
      </c>
      <c r="BF485" t="s">
        <v>74</v>
      </c>
      <c r="BG485" t="s">
        <v>74</v>
      </c>
      <c r="BH485" t="s">
        <v>74</v>
      </c>
      <c r="BI485">
        <v>5</v>
      </c>
      <c r="BJ485" t="s">
        <v>9901</v>
      </c>
      <c r="BK485" t="s">
        <v>138</v>
      </c>
      <c r="BL485" t="s">
        <v>9902</v>
      </c>
      <c r="BM485" t="s">
        <v>9903</v>
      </c>
      <c r="BN485" t="s">
        <v>74</v>
      </c>
      <c r="BO485" t="s">
        <v>74</v>
      </c>
      <c r="BP485" t="s">
        <v>74</v>
      </c>
      <c r="BQ485" t="s">
        <v>74</v>
      </c>
      <c r="BR485" t="s">
        <v>106</v>
      </c>
      <c r="BS485" t="s">
        <v>9904</v>
      </c>
      <c r="BT485" t="str">
        <f>HYPERLINK("https%3A%2F%2Fwww.webofscience.com%2Fwos%2Fwoscc%2Ffull-record%2FWOS:000390760100061","View Full Record in Web of Science")</f>
        <v>View Full Record in Web of Science</v>
      </c>
    </row>
    <row r="486" spans="1:72" x14ac:dyDescent="0.25">
      <c r="A486" t="s">
        <v>72</v>
      </c>
      <c r="B486" t="s">
        <v>9905</v>
      </c>
      <c r="C486" t="s">
        <v>74</v>
      </c>
      <c r="D486" t="s">
        <v>74</v>
      </c>
      <c r="E486" t="s">
        <v>74</v>
      </c>
      <c r="F486" t="s">
        <v>9906</v>
      </c>
      <c r="G486" t="s">
        <v>74</v>
      </c>
      <c r="H486" t="s">
        <v>74</v>
      </c>
      <c r="I486" t="s">
        <v>9907</v>
      </c>
      <c r="J486" t="s">
        <v>377</v>
      </c>
      <c r="K486" t="s">
        <v>74</v>
      </c>
      <c r="L486" t="s">
        <v>74</v>
      </c>
      <c r="M486" t="s">
        <v>78</v>
      </c>
      <c r="N486" t="s">
        <v>79</v>
      </c>
      <c r="O486" t="s">
        <v>74</v>
      </c>
      <c r="P486" t="s">
        <v>74</v>
      </c>
      <c r="Q486" t="s">
        <v>74</v>
      </c>
      <c r="R486" t="s">
        <v>74</v>
      </c>
      <c r="S486" t="s">
        <v>74</v>
      </c>
      <c r="T486" t="s">
        <v>9908</v>
      </c>
      <c r="U486" t="s">
        <v>9909</v>
      </c>
      <c r="V486" t="s">
        <v>9910</v>
      </c>
      <c r="W486" t="s">
        <v>9911</v>
      </c>
      <c r="X486" t="s">
        <v>9912</v>
      </c>
      <c r="Y486" t="s">
        <v>9913</v>
      </c>
      <c r="Z486" t="s">
        <v>9914</v>
      </c>
      <c r="AA486" t="s">
        <v>9915</v>
      </c>
      <c r="AB486" t="s">
        <v>9916</v>
      </c>
      <c r="AC486" t="s">
        <v>9917</v>
      </c>
      <c r="AD486" t="s">
        <v>9918</v>
      </c>
      <c r="AE486" t="s">
        <v>9919</v>
      </c>
      <c r="AF486" t="s">
        <v>74</v>
      </c>
      <c r="AG486">
        <v>36</v>
      </c>
      <c r="AH486">
        <v>20</v>
      </c>
      <c r="AI486">
        <v>24</v>
      </c>
      <c r="AJ486">
        <v>8</v>
      </c>
      <c r="AK486">
        <v>31</v>
      </c>
      <c r="AL486" t="s">
        <v>389</v>
      </c>
      <c r="AM486" t="s">
        <v>390</v>
      </c>
      <c r="AN486" t="s">
        <v>391</v>
      </c>
      <c r="AO486" t="s">
        <v>74</v>
      </c>
      <c r="AP486" t="s">
        <v>392</v>
      </c>
      <c r="AQ486" t="s">
        <v>74</v>
      </c>
      <c r="AR486" t="s">
        <v>393</v>
      </c>
      <c r="AS486" t="s">
        <v>394</v>
      </c>
      <c r="AT486" t="s">
        <v>9920</v>
      </c>
      <c r="AU486">
        <v>2023</v>
      </c>
      <c r="AV486">
        <v>8</v>
      </c>
      <c r="AW486" t="s">
        <v>74</v>
      </c>
      <c r="AX486" t="s">
        <v>74</v>
      </c>
      <c r="AY486" t="s">
        <v>74</v>
      </c>
      <c r="AZ486" t="s">
        <v>74</v>
      </c>
      <c r="BA486" t="s">
        <v>74</v>
      </c>
      <c r="BB486" t="s">
        <v>74</v>
      </c>
      <c r="BC486" t="s">
        <v>74</v>
      </c>
      <c r="BD486">
        <v>1127984</v>
      </c>
      <c r="BE486" t="s">
        <v>9921</v>
      </c>
      <c r="BF486" t="str">
        <f>HYPERLINK("http://dx.doi.org/10.3389/feduc.2023.1127984","http://dx.doi.org/10.3389/feduc.2023.1127984")</f>
        <v>http://dx.doi.org/10.3389/feduc.2023.1127984</v>
      </c>
      <c r="BG486" t="s">
        <v>74</v>
      </c>
      <c r="BH486" t="s">
        <v>74</v>
      </c>
      <c r="BI486">
        <v>17</v>
      </c>
      <c r="BJ486" t="s">
        <v>318</v>
      </c>
      <c r="BK486" t="s">
        <v>102</v>
      </c>
      <c r="BL486" t="s">
        <v>318</v>
      </c>
      <c r="BM486" t="s">
        <v>9922</v>
      </c>
      <c r="BN486" t="s">
        <v>74</v>
      </c>
      <c r="BO486" t="s">
        <v>398</v>
      </c>
      <c r="BP486" t="s">
        <v>74</v>
      </c>
      <c r="BQ486" t="s">
        <v>74</v>
      </c>
      <c r="BR486" t="s">
        <v>106</v>
      </c>
      <c r="BS486" t="s">
        <v>9923</v>
      </c>
      <c r="BT486" t="str">
        <f>HYPERLINK("https%3A%2F%2Fwww.webofscience.com%2Fwos%2Fwoscc%2Ffull-record%2FWOS:000960524000001","View Full Record in Web of Science")</f>
        <v>View Full Record in Web of Science</v>
      </c>
    </row>
    <row r="487" spans="1:72" x14ac:dyDescent="0.25">
      <c r="A487" t="s">
        <v>72</v>
      </c>
      <c r="B487" t="s">
        <v>9924</v>
      </c>
      <c r="C487" t="s">
        <v>74</v>
      </c>
      <c r="D487" t="s">
        <v>74</v>
      </c>
      <c r="E487" t="s">
        <v>74</v>
      </c>
      <c r="F487" t="s">
        <v>9925</v>
      </c>
      <c r="G487" t="s">
        <v>74</v>
      </c>
      <c r="H487" t="s">
        <v>74</v>
      </c>
      <c r="I487" t="s">
        <v>9926</v>
      </c>
      <c r="J487" t="s">
        <v>882</v>
      </c>
      <c r="K487" t="s">
        <v>74</v>
      </c>
      <c r="L487" t="s">
        <v>74</v>
      </c>
      <c r="M487" t="s">
        <v>78</v>
      </c>
      <c r="N487" t="s">
        <v>79</v>
      </c>
      <c r="O487" t="s">
        <v>74</v>
      </c>
      <c r="P487" t="s">
        <v>74</v>
      </c>
      <c r="Q487" t="s">
        <v>74</v>
      </c>
      <c r="R487" t="s">
        <v>74</v>
      </c>
      <c r="S487" t="s">
        <v>74</v>
      </c>
      <c r="T487" t="s">
        <v>9927</v>
      </c>
      <c r="U487" t="s">
        <v>74</v>
      </c>
      <c r="V487" t="s">
        <v>9928</v>
      </c>
      <c r="W487" t="s">
        <v>9929</v>
      </c>
      <c r="X487" t="s">
        <v>9930</v>
      </c>
      <c r="Y487" t="s">
        <v>9931</v>
      </c>
      <c r="Z487" t="s">
        <v>9932</v>
      </c>
      <c r="AA487" t="s">
        <v>9933</v>
      </c>
      <c r="AB487" t="s">
        <v>9934</v>
      </c>
      <c r="AC487" t="s">
        <v>9935</v>
      </c>
      <c r="AD487" t="s">
        <v>9936</v>
      </c>
      <c r="AE487" t="s">
        <v>9937</v>
      </c>
      <c r="AF487" t="s">
        <v>74</v>
      </c>
      <c r="AG487">
        <v>39</v>
      </c>
      <c r="AH487">
        <v>6</v>
      </c>
      <c r="AI487">
        <v>8</v>
      </c>
      <c r="AJ487">
        <v>0</v>
      </c>
      <c r="AK487">
        <v>24</v>
      </c>
      <c r="AL487" t="s">
        <v>895</v>
      </c>
      <c r="AM487" t="s">
        <v>896</v>
      </c>
      <c r="AN487" t="s">
        <v>897</v>
      </c>
      <c r="AO487" t="s">
        <v>898</v>
      </c>
      <c r="AP487" t="s">
        <v>74</v>
      </c>
      <c r="AQ487" t="s">
        <v>74</v>
      </c>
      <c r="AR487" t="s">
        <v>882</v>
      </c>
      <c r="AS487" t="s">
        <v>899</v>
      </c>
      <c r="AT487" t="s">
        <v>74</v>
      </c>
      <c r="AU487">
        <v>2023</v>
      </c>
      <c r="AV487">
        <v>11</v>
      </c>
      <c r="AW487" t="s">
        <v>74</v>
      </c>
      <c r="AX487" t="s">
        <v>74</v>
      </c>
      <c r="AY487" t="s">
        <v>74</v>
      </c>
      <c r="AZ487" t="s">
        <v>74</v>
      </c>
      <c r="BA487" t="s">
        <v>74</v>
      </c>
      <c r="BB487">
        <v>55425</v>
      </c>
      <c r="BC487">
        <v>55434</v>
      </c>
      <c r="BD487" t="s">
        <v>74</v>
      </c>
      <c r="BE487" t="s">
        <v>9938</v>
      </c>
      <c r="BF487" t="str">
        <f>HYPERLINK("http://dx.doi.org/10.1109/ACCESS.2023.3264550","http://dx.doi.org/10.1109/ACCESS.2023.3264550")</f>
        <v>http://dx.doi.org/10.1109/ACCESS.2023.3264550</v>
      </c>
      <c r="BG487" t="s">
        <v>74</v>
      </c>
      <c r="BH487" t="s">
        <v>74</v>
      </c>
      <c r="BI487">
        <v>10</v>
      </c>
      <c r="BJ487" t="s">
        <v>901</v>
      </c>
      <c r="BK487" t="s">
        <v>902</v>
      </c>
      <c r="BL487" t="s">
        <v>903</v>
      </c>
      <c r="BM487" t="s">
        <v>9939</v>
      </c>
      <c r="BN487" t="s">
        <v>74</v>
      </c>
      <c r="BO487" t="s">
        <v>398</v>
      </c>
      <c r="BP487" t="s">
        <v>74</v>
      </c>
      <c r="BQ487" t="s">
        <v>74</v>
      </c>
      <c r="BR487" t="s">
        <v>106</v>
      </c>
      <c r="BS487" t="s">
        <v>9940</v>
      </c>
      <c r="BT487" t="str">
        <f>HYPERLINK("https%3A%2F%2Fwww.webofscience.com%2Fwos%2Fwoscc%2Ffull-record%2FWOS:001005570300001","View Full Record in Web of Science")</f>
        <v>View Full Record in Web of Science</v>
      </c>
    </row>
    <row r="488" spans="1:72" x14ac:dyDescent="0.25">
      <c r="A488" t="s">
        <v>108</v>
      </c>
      <c r="B488" t="s">
        <v>9941</v>
      </c>
      <c r="C488" t="s">
        <v>74</v>
      </c>
      <c r="D488" t="s">
        <v>74</v>
      </c>
      <c r="E488" t="s">
        <v>74</v>
      </c>
      <c r="F488" t="s">
        <v>9942</v>
      </c>
      <c r="G488" t="s">
        <v>74</v>
      </c>
      <c r="H488" t="s">
        <v>74</v>
      </c>
      <c r="I488" t="s">
        <v>9943</v>
      </c>
      <c r="J488" t="s">
        <v>9944</v>
      </c>
      <c r="K488" t="s">
        <v>74</v>
      </c>
      <c r="L488" t="s">
        <v>74</v>
      </c>
      <c r="M488" t="s">
        <v>78</v>
      </c>
      <c r="N488" t="s">
        <v>115</v>
      </c>
      <c r="O488" t="s">
        <v>9945</v>
      </c>
      <c r="P488" t="s">
        <v>9946</v>
      </c>
      <c r="Q488" t="s">
        <v>9947</v>
      </c>
      <c r="R488" t="s">
        <v>74</v>
      </c>
      <c r="S488" t="s">
        <v>74</v>
      </c>
      <c r="T488" t="s">
        <v>9948</v>
      </c>
      <c r="U488" t="s">
        <v>74</v>
      </c>
      <c r="V488" t="s">
        <v>9949</v>
      </c>
      <c r="W488" t="s">
        <v>9950</v>
      </c>
      <c r="X488" t="s">
        <v>9951</v>
      </c>
      <c r="Y488" t="s">
        <v>9952</v>
      </c>
      <c r="Z488" t="s">
        <v>74</v>
      </c>
      <c r="AA488" t="s">
        <v>9953</v>
      </c>
      <c r="AB488" t="s">
        <v>9954</v>
      </c>
      <c r="AC488" t="s">
        <v>9955</v>
      </c>
      <c r="AD488" t="s">
        <v>9955</v>
      </c>
      <c r="AE488" t="s">
        <v>9956</v>
      </c>
      <c r="AF488" t="s">
        <v>74</v>
      </c>
      <c r="AG488">
        <v>34</v>
      </c>
      <c r="AH488">
        <v>4</v>
      </c>
      <c r="AI488">
        <v>4</v>
      </c>
      <c r="AJ488">
        <v>0</v>
      </c>
      <c r="AK488">
        <v>4</v>
      </c>
      <c r="AL488" t="s">
        <v>362</v>
      </c>
      <c r="AM488" t="s">
        <v>363</v>
      </c>
      <c r="AN488" t="s">
        <v>364</v>
      </c>
      <c r="AO488" t="s">
        <v>9957</v>
      </c>
      <c r="AP488" t="s">
        <v>74</v>
      </c>
      <c r="AQ488" t="s">
        <v>74</v>
      </c>
      <c r="AR488" t="s">
        <v>9958</v>
      </c>
      <c r="AS488" t="s">
        <v>9959</v>
      </c>
      <c r="AT488" t="s">
        <v>74</v>
      </c>
      <c r="AU488">
        <v>2021</v>
      </c>
      <c r="AV488">
        <v>46</v>
      </c>
      <c r="AW488" t="s">
        <v>74</v>
      </c>
      <c r="AX488">
        <v>20</v>
      </c>
      <c r="AY488" t="s">
        <v>74</v>
      </c>
      <c r="AZ488" t="s">
        <v>74</v>
      </c>
      <c r="BA488" t="s">
        <v>74</v>
      </c>
      <c r="BB488">
        <v>11208</v>
      </c>
      <c r="BC488">
        <v>11212</v>
      </c>
      <c r="BD488" t="s">
        <v>74</v>
      </c>
      <c r="BE488" t="s">
        <v>9960</v>
      </c>
      <c r="BF488" t="str">
        <f>HYPERLINK("http://dx.doi.org/10.1016/j.matpr.2021.02.428","http://dx.doi.org/10.1016/j.matpr.2021.02.428")</f>
        <v>http://dx.doi.org/10.1016/j.matpr.2021.02.428</v>
      </c>
      <c r="BG488" t="s">
        <v>74</v>
      </c>
      <c r="BH488" t="s">
        <v>1545</v>
      </c>
      <c r="BI488">
        <v>5</v>
      </c>
      <c r="BJ488" t="s">
        <v>9961</v>
      </c>
      <c r="BK488" t="s">
        <v>203</v>
      </c>
      <c r="BL488" t="s">
        <v>9962</v>
      </c>
      <c r="BM488" t="s">
        <v>9963</v>
      </c>
      <c r="BN488" t="s">
        <v>74</v>
      </c>
      <c r="BO488" t="s">
        <v>74</v>
      </c>
      <c r="BP488" t="s">
        <v>74</v>
      </c>
      <c r="BQ488" t="s">
        <v>74</v>
      </c>
      <c r="BR488" t="s">
        <v>106</v>
      </c>
      <c r="BS488" t="s">
        <v>9964</v>
      </c>
      <c r="BT488" t="str">
        <f>HYPERLINK("https%3A%2F%2Fwww.webofscience.com%2Fwos%2Fwoscc%2Ffull-record%2FWOS:000700925600014","View Full Record in Web of Science")</f>
        <v>View Full Record in Web of Science</v>
      </c>
    </row>
    <row r="489" spans="1:72" x14ac:dyDescent="0.25">
      <c r="A489" t="s">
        <v>108</v>
      </c>
      <c r="B489" t="s">
        <v>9965</v>
      </c>
      <c r="C489" t="s">
        <v>74</v>
      </c>
      <c r="D489" t="s">
        <v>74</v>
      </c>
      <c r="E489" t="s">
        <v>273</v>
      </c>
      <c r="F489" t="s">
        <v>9966</v>
      </c>
      <c r="G489" t="s">
        <v>74</v>
      </c>
      <c r="H489" t="s">
        <v>74</v>
      </c>
      <c r="I489" t="s">
        <v>9967</v>
      </c>
      <c r="J489" t="s">
        <v>9968</v>
      </c>
      <c r="K489" t="s">
        <v>74</v>
      </c>
      <c r="L489" t="s">
        <v>74</v>
      </c>
      <c r="M489" t="s">
        <v>78</v>
      </c>
      <c r="N489" t="s">
        <v>115</v>
      </c>
      <c r="O489" t="s">
        <v>9969</v>
      </c>
      <c r="P489" t="s">
        <v>9970</v>
      </c>
      <c r="Q489" t="s">
        <v>8325</v>
      </c>
      <c r="R489" t="s">
        <v>9971</v>
      </c>
      <c r="S489" t="s">
        <v>74</v>
      </c>
      <c r="T489" t="s">
        <v>9972</v>
      </c>
      <c r="U489" t="s">
        <v>74</v>
      </c>
      <c r="V489" t="s">
        <v>9973</v>
      </c>
      <c r="W489" t="s">
        <v>9974</v>
      </c>
      <c r="X489" t="s">
        <v>9975</v>
      </c>
      <c r="Y489" t="s">
        <v>9976</v>
      </c>
      <c r="Z489" t="s">
        <v>9977</v>
      </c>
      <c r="AA489" t="s">
        <v>74</v>
      </c>
      <c r="AB489" t="s">
        <v>74</v>
      </c>
      <c r="AC489" t="s">
        <v>9978</v>
      </c>
      <c r="AD489" t="s">
        <v>9979</v>
      </c>
      <c r="AE489" t="s">
        <v>9980</v>
      </c>
      <c r="AF489" t="s">
        <v>74</v>
      </c>
      <c r="AG489">
        <v>17</v>
      </c>
      <c r="AH489">
        <v>6</v>
      </c>
      <c r="AI489">
        <v>6</v>
      </c>
      <c r="AJ489">
        <v>0</v>
      </c>
      <c r="AK489">
        <v>3</v>
      </c>
      <c r="AL489" t="s">
        <v>291</v>
      </c>
      <c r="AM489" t="s">
        <v>92</v>
      </c>
      <c r="AN489" t="s">
        <v>341</v>
      </c>
      <c r="AO489" t="s">
        <v>74</v>
      </c>
      <c r="AP489" t="s">
        <v>74</v>
      </c>
      <c r="AQ489" t="s">
        <v>9981</v>
      </c>
      <c r="AR489" t="s">
        <v>74</v>
      </c>
      <c r="AS489" t="s">
        <v>74</v>
      </c>
      <c r="AT489" t="s">
        <v>74</v>
      </c>
      <c r="AU489">
        <v>2019</v>
      </c>
      <c r="AV489" t="s">
        <v>74</v>
      </c>
      <c r="AW489" t="s">
        <v>74</v>
      </c>
      <c r="AX489" t="s">
        <v>74</v>
      </c>
      <c r="AY489" t="s">
        <v>74</v>
      </c>
      <c r="AZ489" t="s">
        <v>74</v>
      </c>
      <c r="BA489" t="s">
        <v>74</v>
      </c>
      <c r="BB489">
        <v>344</v>
      </c>
      <c r="BC489">
        <v>348</v>
      </c>
      <c r="BD489" t="s">
        <v>74</v>
      </c>
      <c r="BE489" t="s">
        <v>9982</v>
      </c>
      <c r="BF489" t="str">
        <f>HYPERLINK("http://dx.doi.org/10.1145/3323873.3325054","http://dx.doi.org/10.1145/3323873.3325054")</f>
        <v>http://dx.doi.org/10.1145/3323873.3325054</v>
      </c>
      <c r="BG489" t="s">
        <v>74</v>
      </c>
      <c r="BH489" t="s">
        <v>74</v>
      </c>
      <c r="BI489">
        <v>5</v>
      </c>
      <c r="BJ489" t="s">
        <v>1190</v>
      </c>
      <c r="BK489" t="s">
        <v>203</v>
      </c>
      <c r="BL489" t="s">
        <v>103</v>
      </c>
      <c r="BM489" t="s">
        <v>9983</v>
      </c>
      <c r="BN489" t="s">
        <v>74</v>
      </c>
      <c r="BO489" t="s">
        <v>74</v>
      </c>
      <c r="BP489" t="s">
        <v>74</v>
      </c>
      <c r="BQ489" t="s">
        <v>74</v>
      </c>
      <c r="BR489" t="s">
        <v>106</v>
      </c>
      <c r="BS489" t="s">
        <v>9984</v>
      </c>
      <c r="BT489" t="str">
        <f>HYPERLINK("https%3A%2F%2Fwww.webofscience.com%2Fwos%2Fwoscc%2Ffull-record%2FWOS:000482188900051","View Full Record in Web of Science")</f>
        <v>View Full Record in Web of Science</v>
      </c>
    </row>
    <row r="490" spans="1:72" x14ac:dyDescent="0.25">
      <c r="A490" t="s">
        <v>108</v>
      </c>
      <c r="B490" t="s">
        <v>9985</v>
      </c>
      <c r="C490" t="s">
        <v>74</v>
      </c>
      <c r="D490" t="s">
        <v>74</v>
      </c>
      <c r="E490" t="s">
        <v>465</v>
      </c>
      <c r="F490" t="s">
        <v>9986</v>
      </c>
      <c r="G490" t="s">
        <v>74</v>
      </c>
      <c r="H490" t="s">
        <v>74</v>
      </c>
      <c r="I490" t="s">
        <v>9987</v>
      </c>
      <c r="J490" t="s">
        <v>9988</v>
      </c>
      <c r="K490" t="s">
        <v>74</v>
      </c>
      <c r="L490" t="s">
        <v>74</v>
      </c>
      <c r="M490" t="s">
        <v>78</v>
      </c>
      <c r="N490" t="s">
        <v>115</v>
      </c>
      <c r="O490" t="s">
        <v>9989</v>
      </c>
      <c r="P490" t="s">
        <v>9990</v>
      </c>
      <c r="Q490" t="s">
        <v>9991</v>
      </c>
      <c r="R490" t="s">
        <v>465</v>
      </c>
      <c r="S490" t="s">
        <v>9992</v>
      </c>
      <c r="T490" t="s">
        <v>9993</v>
      </c>
      <c r="U490" t="s">
        <v>6348</v>
      </c>
      <c r="V490" t="s">
        <v>9994</v>
      </c>
      <c r="W490" t="s">
        <v>9995</v>
      </c>
      <c r="X490" t="s">
        <v>9996</v>
      </c>
      <c r="Y490" t="s">
        <v>9997</v>
      </c>
      <c r="Z490" t="s">
        <v>9998</v>
      </c>
      <c r="AA490" t="s">
        <v>9999</v>
      </c>
      <c r="AB490" t="s">
        <v>74</v>
      </c>
      <c r="AC490" t="s">
        <v>10000</v>
      </c>
      <c r="AD490" t="s">
        <v>10001</v>
      </c>
      <c r="AE490" t="s">
        <v>10002</v>
      </c>
      <c r="AF490" t="s">
        <v>74</v>
      </c>
      <c r="AG490">
        <v>15</v>
      </c>
      <c r="AH490">
        <v>4</v>
      </c>
      <c r="AI490">
        <v>4</v>
      </c>
      <c r="AJ490">
        <v>0</v>
      </c>
      <c r="AK490">
        <v>5</v>
      </c>
      <c r="AL490" t="s">
        <v>465</v>
      </c>
      <c r="AM490" t="s">
        <v>92</v>
      </c>
      <c r="AN490" t="s">
        <v>480</v>
      </c>
      <c r="AO490" t="s">
        <v>74</v>
      </c>
      <c r="AP490" t="s">
        <v>74</v>
      </c>
      <c r="AQ490" t="s">
        <v>10003</v>
      </c>
      <c r="AR490" t="s">
        <v>74</v>
      </c>
      <c r="AS490" t="s">
        <v>74</v>
      </c>
      <c r="AT490" t="s">
        <v>74</v>
      </c>
      <c r="AU490">
        <v>2017</v>
      </c>
      <c r="AV490" t="s">
        <v>74</v>
      </c>
      <c r="AW490" t="s">
        <v>74</v>
      </c>
      <c r="AX490" t="s">
        <v>74</v>
      </c>
      <c r="AY490" t="s">
        <v>74</v>
      </c>
      <c r="AZ490" t="s">
        <v>74</v>
      </c>
      <c r="BA490" t="s">
        <v>74</v>
      </c>
      <c r="BB490">
        <v>93</v>
      </c>
      <c r="BC490">
        <v>97</v>
      </c>
      <c r="BD490" t="s">
        <v>74</v>
      </c>
      <c r="BE490" t="s">
        <v>74</v>
      </c>
      <c r="BF490" t="s">
        <v>74</v>
      </c>
      <c r="BG490" t="s">
        <v>74</v>
      </c>
      <c r="BH490" t="s">
        <v>74</v>
      </c>
      <c r="BI490">
        <v>5</v>
      </c>
      <c r="BJ490" t="s">
        <v>101</v>
      </c>
      <c r="BK490" t="s">
        <v>203</v>
      </c>
      <c r="BL490" t="s">
        <v>103</v>
      </c>
      <c r="BM490" t="s">
        <v>10004</v>
      </c>
      <c r="BN490" t="s">
        <v>74</v>
      </c>
      <c r="BO490" t="s">
        <v>74</v>
      </c>
      <c r="BP490" t="s">
        <v>74</v>
      </c>
      <c r="BQ490" t="s">
        <v>74</v>
      </c>
      <c r="BR490" t="s">
        <v>106</v>
      </c>
      <c r="BS490" t="s">
        <v>10005</v>
      </c>
      <c r="BT490" t="str">
        <f>HYPERLINK("https%3A%2F%2Fwww.webofscience.com%2Fwos%2Fwoscc%2Ffull-record%2FWOS:000428208400017","View Full Record in Web of Science")</f>
        <v>View Full Record in Web of Science</v>
      </c>
    </row>
    <row r="491" spans="1:72" x14ac:dyDescent="0.25">
      <c r="A491" t="s">
        <v>72</v>
      </c>
      <c r="B491" t="s">
        <v>10006</v>
      </c>
      <c r="C491" t="s">
        <v>74</v>
      </c>
      <c r="D491" t="s">
        <v>74</v>
      </c>
      <c r="E491" t="s">
        <v>74</v>
      </c>
      <c r="F491" t="s">
        <v>10007</v>
      </c>
      <c r="G491" t="s">
        <v>74</v>
      </c>
      <c r="H491" t="s">
        <v>74</v>
      </c>
      <c r="I491" t="s">
        <v>10008</v>
      </c>
      <c r="J491" t="s">
        <v>10009</v>
      </c>
      <c r="K491" t="s">
        <v>74</v>
      </c>
      <c r="L491" t="s">
        <v>74</v>
      </c>
      <c r="M491" t="s">
        <v>78</v>
      </c>
      <c r="N491" t="s">
        <v>79</v>
      </c>
      <c r="O491" t="s">
        <v>74</v>
      </c>
      <c r="P491" t="s">
        <v>74</v>
      </c>
      <c r="Q491" t="s">
        <v>74</v>
      </c>
      <c r="R491" t="s">
        <v>74</v>
      </c>
      <c r="S491" t="s">
        <v>74</v>
      </c>
      <c r="T491" t="s">
        <v>10010</v>
      </c>
      <c r="U491" t="s">
        <v>10011</v>
      </c>
      <c r="V491" t="s">
        <v>10012</v>
      </c>
      <c r="W491" t="s">
        <v>10013</v>
      </c>
      <c r="X491" t="s">
        <v>10014</v>
      </c>
      <c r="Y491" t="s">
        <v>10015</v>
      </c>
      <c r="Z491" t="s">
        <v>10016</v>
      </c>
      <c r="AA491" t="s">
        <v>10017</v>
      </c>
      <c r="AB491" t="s">
        <v>74</v>
      </c>
      <c r="AC491" t="s">
        <v>10018</v>
      </c>
      <c r="AD491" t="s">
        <v>10019</v>
      </c>
      <c r="AE491" t="s">
        <v>10020</v>
      </c>
      <c r="AF491" t="s">
        <v>74</v>
      </c>
      <c r="AG491">
        <v>27</v>
      </c>
      <c r="AH491">
        <v>3</v>
      </c>
      <c r="AI491">
        <v>5</v>
      </c>
      <c r="AJ491">
        <v>0</v>
      </c>
      <c r="AK491">
        <v>32</v>
      </c>
      <c r="AL491" t="s">
        <v>1813</v>
      </c>
      <c r="AM491" t="s">
        <v>1814</v>
      </c>
      <c r="AN491" t="s">
        <v>10021</v>
      </c>
      <c r="AO491" t="s">
        <v>10022</v>
      </c>
      <c r="AP491" t="s">
        <v>10023</v>
      </c>
      <c r="AQ491" t="s">
        <v>74</v>
      </c>
      <c r="AR491" t="s">
        <v>10024</v>
      </c>
      <c r="AS491" t="s">
        <v>10025</v>
      </c>
      <c r="AT491" t="s">
        <v>509</v>
      </c>
      <c r="AU491">
        <v>2019</v>
      </c>
      <c r="AV491">
        <v>28</v>
      </c>
      <c r="AW491">
        <v>3</v>
      </c>
      <c r="AX491" t="s">
        <v>74</v>
      </c>
      <c r="AY491" t="s">
        <v>74</v>
      </c>
      <c r="AZ491" t="s">
        <v>74</v>
      </c>
      <c r="BA491" t="s">
        <v>74</v>
      </c>
      <c r="BB491" t="s">
        <v>74</v>
      </c>
      <c r="BC491" t="s">
        <v>74</v>
      </c>
      <c r="BD491">
        <v>1950008</v>
      </c>
      <c r="BE491" t="s">
        <v>10026</v>
      </c>
      <c r="BF491" t="str">
        <f>HYPERLINK("http://dx.doi.org/10.1142/S0218843019500084","http://dx.doi.org/10.1142/S0218843019500084")</f>
        <v>http://dx.doi.org/10.1142/S0218843019500084</v>
      </c>
      <c r="BG491" t="s">
        <v>74</v>
      </c>
      <c r="BH491" t="s">
        <v>74</v>
      </c>
      <c r="BI491">
        <v>24</v>
      </c>
      <c r="BJ491" t="s">
        <v>852</v>
      </c>
      <c r="BK491" t="s">
        <v>902</v>
      </c>
      <c r="BL491" t="s">
        <v>103</v>
      </c>
      <c r="BM491" t="s">
        <v>10027</v>
      </c>
      <c r="BN491" t="s">
        <v>74</v>
      </c>
      <c r="BO491" t="s">
        <v>74</v>
      </c>
      <c r="BP491" t="s">
        <v>74</v>
      </c>
      <c r="BQ491" t="s">
        <v>74</v>
      </c>
      <c r="BR491" t="s">
        <v>106</v>
      </c>
      <c r="BS491" t="s">
        <v>10028</v>
      </c>
      <c r="BT491" t="str">
        <f>HYPERLINK("https%3A%2F%2Fwww.webofscience.com%2Fwos%2Fwoscc%2Ffull-record%2FWOS:000495363800003","View Full Record in Web of Science")</f>
        <v>View Full Record in Web of Science</v>
      </c>
    </row>
    <row r="492" spans="1:72" x14ac:dyDescent="0.25">
      <c r="A492" t="s">
        <v>72</v>
      </c>
      <c r="B492" t="s">
        <v>10029</v>
      </c>
      <c r="C492" t="s">
        <v>74</v>
      </c>
      <c r="D492" t="s">
        <v>74</v>
      </c>
      <c r="E492" t="s">
        <v>74</v>
      </c>
      <c r="F492" t="s">
        <v>10030</v>
      </c>
      <c r="G492" t="s">
        <v>74</v>
      </c>
      <c r="H492" t="s">
        <v>74</v>
      </c>
      <c r="I492" t="s">
        <v>10031</v>
      </c>
      <c r="J492" t="s">
        <v>10032</v>
      </c>
      <c r="K492" t="s">
        <v>74</v>
      </c>
      <c r="L492" t="s">
        <v>74</v>
      </c>
      <c r="M492" t="s">
        <v>78</v>
      </c>
      <c r="N492" t="s">
        <v>79</v>
      </c>
      <c r="O492" t="s">
        <v>74</v>
      </c>
      <c r="P492" t="s">
        <v>74</v>
      </c>
      <c r="Q492" t="s">
        <v>74</v>
      </c>
      <c r="R492" t="s">
        <v>74</v>
      </c>
      <c r="S492" t="s">
        <v>74</v>
      </c>
      <c r="T492" t="s">
        <v>10033</v>
      </c>
      <c r="U492" t="s">
        <v>74</v>
      </c>
      <c r="V492" t="s">
        <v>10034</v>
      </c>
      <c r="W492" t="s">
        <v>10035</v>
      </c>
      <c r="X492" t="s">
        <v>10036</v>
      </c>
      <c r="Y492" t="s">
        <v>10037</v>
      </c>
      <c r="Z492" t="s">
        <v>10038</v>
      </c>
      <c r="AA492" t="s">
        <v>10039</v>
      </c>
      <c r="AB492" t="s">
        <v>10040</v>
      </c>
      <c r="AC492" t="s">
        <v>74</v>
      </c>
      <c r="AD492" t="s">
        <v>74</v>
      </c>
      <c r="AE492" t="s">
        <v>74</v>
      </c>
      <c r="AF492" t="s">
        <v>74</v>
      </c>
      <c r="AG492">
        <v>63</v>
      </c>
      <c r="AH492">
        <v>29</v>
      </c>
      <c r="AI492">
        <v>33</v>
      </c>
      <c r="AJ492">
        <v>0</v>
      </c>
      <c r="AK492">
        <v>28</v>
      </c>
      <c r="AL492" t="s">
        <v>631</v>
      </c>
      <c r="AM492" t="s">
        <v>632</v>
      </c>
      <c r="AN492" t="s">
        <v>633</v>
      </c>
      <c r="AO492" t="s">
        <v>74</v>
      </c>
      <c r="AP492" t="s">
        <v>10041</v>
      </c>
      <c r="AQ492" t="s">
        <v>74</v>
      </c>
      <c r="AR492" t="s">
        <v>10032</v>
      </c>
      <c r="AS492" t="s">
        <v>10042</v>
      </c>
      <c r="AT492" t="s">
        <v>1166</v>
      </c>
      <c r="AU492">
        <v>2019</v>
      </c>
      <c r="AV492">
        <v>1</v>
      </c>
      <c r="AW492">
        <v>3</v>
      </c>
      <c r="AX492" t="s">
        <v>74</v>
      </c>
      <c r="AY492" t="s">
        <v>74</v>
      </c>
      <c r="AZ492" t="s">
        <v>247</v>
      </c>
      <c r="BA492" t="s">
        <v>74</v>
      </c>
      <c r="BB492">
        <v>261</v>
      </c>
      <c r="BC492">
        <v>270</v>
      </c>
      <c r="BD492" t="s">
        <v>74</v>
      </c>
      <c r="BE492" t="s">
        <v>10043</v>
      </c>
      <c r="BF492" t="str">
        <f>HYPERLINK("http://dx.doi.org/10.1002/ppp3.43","http://dx.doi.org/10.1002/ppp3.43")</f>
        <v>http://dx.doi.org/10.1002/ppp3.43</v>
      </c>
      <c r="BG492" t="s">
        <v>74</v>
      </c>
      <c r="BH492" t="s">
        <v>74</v>
      </c>
      <c r="BI492">
        <v>10</v>
      </c>
      <c r="BJ492" t="s">
        <v>10044</v>
      </c>
      <c r="BK492" t="s">
        <v>902</v>
      </c>
      <c r="BL492" t="s">
        <v>10045</v>
      </c>
      <c r="BM492" t="s">
        <v>10046</v>
      </c>
      <c r="BN492" t="s">
        <v>74</v>
      </c>
      <c r="BO492" t="s">
        <v>372</v>
      </c>
      <c r="BP492" t="s">
        <v>74</v>
      </c>
      <c r="BQ492" t="s">
        <v>74</v>
      </c>
      <c r="BR492" t="s">
        <v>106</v>
      </c>
      <c r="BS492" t="s">
        <v>10047</v>
      </c>
      <c r="BT492" t="str">
        <f>HYPERLINK("https%3A%2F%2Fwww.webofscience.com%2Fwos%2Fwoscc%2Ffull-record%2FWOS:000683381100019","View Full Record in Web of Science")</f>
        <v>View Full Record in Web of Science</v>
      </c>
    </row>
    <row r="493" spans="1:72" x14ac:dyDescent="0.25">
      <c r="A493" t="s">
        <v>108</v>
      </c>
      <c r="B493" t="s">
        <v>10048</v>
      </c>
      <c r="C493" t="s">
        <v>74</v>
      </c>
      <c r="D493" t="s">
        <v>10049</v>
      </c>
      <c r="E493" t="s">
        <v>74</v>
      </c>
      <c r="F493" t="s">
        <v>10050</v>
      </c>
      <c r="G493" t="s">
        <v>74</v>
      </c>
      <c r="H493" t="s">
        <v>74</v>
      </c>
      <c r="I493" t="s">
        <v>10051</v>
      </c>
      <c r="J493" t="s">
        <v>10052</v>
      </c>
      <c r="K493" t="s">
        <v>4853</v>
      </c>
      <c r="L493" t="s">
        <v>74</v>
      </c>
      <c r="M493" t="s">
        <v>78</v>
      </c>
      <c r="N493" t="s">
        <v>115</v>
      </c>
      <c r="O493" t="s">
        <v>10053</v>
      </c>
      <c r="P493" t="s">
        <v>10054</v>
      </c>
      <c r="Q493" t="s">
        <v>10055</v>
      </c>
      <c r="R493" t="s">
        <v>10056</v>
      </c>
      <c r="S493" t="s">
        <v>74</v>
      </c>
      <c r="T493" t="s">
        <v>10057</v>
      </c>
      <c r="U493" t="s">
        <v>74</v>
      </c>
      <c r="V493" t="s">
        <v>10058</v>
      </c>
      <c r="W493" t="s">
        <v>10059</v>
      </c>
      <c r="X493" t="s">
        <v>10060</v>
      </c>
      <c r="Y493" t="s">
        <v>10061</v>
      </c>
      <c r="Z493" t="s">
        <v>10062</v>
      </c>
      <c r="AA493" t="s">
        <v>10063</v>
      </c>
      <c r="AB493" t="s">
        <v>10064</v>
      </c>
      <c r="AC493" t="s">
        <v>74</v>
      </c>
      <c r="AD493" t="s">
        <v>74</v>
      </c>
      <c r="AE493" t="s">
        <v>74</v>
      </c>
      <c r="AF493" t="s">
        <v>74</v>
      </c>
      <c r="AG493">
        <v>31</v>
      </c>
      <c r="AH493">
        <v>1</v>
      </c>
      <c r="AI493">
        <v>2</v>
      </c>
      <c r="AJ493">
        <v>10</v>
      </c>
      <c r="AK493">
        <v>46</v>
      </c>
      <c r="AL493" t="s">
        <v>129</v>
      </c>
      <c r="AM493" t="s">
        <v>130</v>
      </c>
      <c r="AN493" t="s">
        <v>131</v>
      </c>
      <c r="AO493" t="s">
        <v>4865</v>
      </c>
      <c r="AP493" t="s">
        <v>4866</v>
      </c>
      <c r="AQ493" t="s">
        <v>10065</v>
      </c>
      <c r="AR493" t="s">
        <v>4868</v>
      </c>
      <c r="AS493" t="s">
        <v>74</v>
      </c>
      <c r="AT493" t="s">
        <v>74</v>
      </c>
      <c r="AU493">
        <v>2024</v>
      </c>
      <c r="AV493">
        <v>2130</v>
      </c>
      <c r="AW493" t="s">
        <v>74</v>
      </c>
      <c r="AX493" t="s">
        <v>74</v>
      </c>
      <c r="AY493" t="s">
        <v>74</v>
      </c>
      <c r="AZ493" t="s">
        <v>74</v>
      </c>
      <c r="BA493" t="s">
        <v>74</v>
      </c>
      <c r="BB493">
        <v>393</v>
      </c>
      <c r="BC493">
        <v>412</v>
      </c>
      <c r="BD493" t="s">
        <v>74</v>
      </c>
      <c r="BE493" t="s">
        <v>10066</v>
      </c>
      <c r="BF493" t="str">
        <f>HYPERLINK("http://dx.doi.org/10.1007/978-3-031-63235-8_26","http://dx.doi.org/10.1007/978-3-031-63235-8_26")</f>
        <v>http://dx.doi.org/10.1007/978-3-031-63235-8_26</v>
      </c>
      <c r="BG493" t="s">
        <v>74</v>
      </c>
      <c r="BH493" t="s">
        <v>74</v>
      </c>
      <c r="BI493">
        <v>20</v>
      </c>
      <c r="BJ493" t="s">
        <v>318</v>
      </c>
      <c r="BK493" t="s">
        <v>1042</v>
      </c>
      <c r="BL493" t="s">
        <v>318</v>
      </c>
      <c r="BM493" t="s">
        <v>10067</v>
      </c>
      <c r="BN493" t="s">
        <v>74</v>
      </c>
      <c r="BO493" t="s">
        <v>74</v>
      </c>
      <c r="BP493" t="s">
        <v>74</v>
      </c>
      <c r="BQ493" t="s">
        <v>74</v>
      </c>
      <c r="BR493" t="s">
        <v>106</v>
      </c>
      <c r="BS493" t="s">
        <v>10068</v>
      </c>
      <c r="BT493" t="str">
        <f>HYPERLINK("https%3A%2F%2Fwww.webofscience.com%2Fwos%2Fwoscc%2Ffull-record%2FWOS:001285637200026","View Full Record in Web of Science")</f>
        <v>View Full Record in Web of Science</v>
      </c>
    </row>
    <row r="494" spans="1:72" x14ac:dyDescent="0.25">
      <c r="A494" t="s">
        <v>108</v>
      </c>
      <c r="B494" t="s">
        <v>6411</v>
      </c>
      <c r="C494" t="s">
        <v>74</v>
      </c>
      <c r="D494" t="s">
        <v>10069</v>
      </c>
      <c r="E494" t="s">
        <v>74</v>
      </c>
      <c r="F494" t="s">
        <v>6412</v>
      </c>
      <c r="G494" t="s">
        <v>74</v>
      </c>
      <c r="H494" t="s">
        <v>74</v>
      </c>
      <c r="I494" t="s">
        <v>10070</v>
      </c>
      <c r="J494" t="s">
        <v>10071</v>
      </c>
      <c r="K494" t="s">
        <v>74</v>
      </c>
      <c r="L494" t="s">
        <v>74</v>
      </c>
      <c r="M494" t="s">
        <v>78</v>
      </c>
      <c r="N494" t="s">
        <v>115</v>
      </c>
      <c r="O494" t="s">
        <v>10072</v>
      </c>
      <c r="P494" t="s">
        <v>10073</v>
      </c>
      <c r="Q494" t="s">
        <v>5469</v>
      </c>
      <c r="R494" t="s">
        <v>10074</v>
      </c>
      <c r="S494" t="s">
        <v>74</v>
      </c>
      <c r="T494" t="s">
        <v>10075</v>
      </c>
      <c r="U494" t="s">
        <v>74</v>
      </c>
      <c r="V494" t="s">
        <v>10076</v>
      </c>
      <c r="W494" t="s">
        <v>10077</v>
      </c>
      <c r="X494" t="s">
        <v>6417</v>
      </c>
      <c r="Y494" t="s">
        <v>10078</v>
      </c>
      <c r="Z494" t="s">
        <v>6419</v>
      </c>
      <c r="AA494" t="s">
        <v>10079</v>
      </c>
      <c r="AB494" t="s">
        <v>10080</v>
      </c>
      <c r="AC494" t="s">
        <v>10081</v>
      </c>
      <c r="AD494" t="s">
        <v>10082</v>
      </c>
      <c r="AE494" t="s">
        <v>10083</v>
      </c>
      <c r="AF494" t="s">
        <v>74</v>
      </c>
      <c r="AG494">
        <v>14</v>
      </c>
      <c r="AH494">
        <v>0</v>
      </c>
      <c r="AI494">
        <v>0</v>
      </c>
      <c r="AJ494">
        <v>0</v>
      </c>
      <c r="AK494">
        <v>0</v>
      </c>
      <c r="AL494" t="s">
        <v>291</v>
      </c>
      <c r="AM494" t="s">
        <v>92</v>
      </c>
      <c r="AN494" t="s">
        <v>341</v>
      </c>
      <c r="AO494" t="s">
        <v>74</v>
      </c>
      <c r="AP494" t="s">
        <v>74</v>
      </c>
      <c r="AQ494" t="s">
        <v>10084</v>
      </c>
      <c r="AR494" t="s">
        <v>74</v>
      </c>
      <c r="AS494" t="s">
        <v>74</v>
      </c>
      <c r="AT494" t="s">
        <v>74</v>
      </c>
      <c r="AU494">
        <v>2015</v>
      </c>
      <c r="AV494" t="s">
        <v>74</v>
      </c>
      <c r="AW494" t="s">
        <v>74</v>
      </c>
      <c r="AX494" t="s">
        <v>74</v>
      </c>
      <c r="AY494" t="s">
        <v>74</v>
      </c>
      <c r="AZ494" t="s">
        <v>74</v>
      </c>
      <c r="BA494" t="s">
        <v>74</v>
      </c>
      <c r="BB494" t="s">
        <v>74</v>
      </c>
      <c r="BC494" t="s">
        <v>74</v>
      </c>
      <c r="BD494" t="s">
        <v>74</v>
      </c>
      <c r="BE494" t="s">
        <v>10085</v>
      </c>
      <c r="BF494" t="str">
        <f>HYPERLINK("http://dx.doi.org/10.1145/2820783.2820875","http://dx.doi.org/10.1145/2820783.2820875")</f>
        <v>http://dx.doi.org/10.1145/2820783.2820875</v>
      </c>
      <c r="BG494" t="s">
        <v>74</v>
      </c>
      <c r="BH494" t="s">
        <v>74</v>
      </c>
      <c r="BI494">
        <v>4</v>
      </c>
      <c r="BJ494" t="s">
        <v>852</v>
      </c>
      <c r="BK494" t="s">
        <v>203</v>
      </c>
      <c r="BL494" t="s">
        <v>103</v>
      </c>
      <c r="BM494" t="s">
        <v>10086</v>
      </c>
      <c r="BN494" t="s">
        <v>74</v>
      </c>
      <c r="BO494" t="s">
        <v>346</v>
      </c>
      <c r="BP494" t="s">
        <v>74</v>
      </c>
      <c r="BQ494" t="s">
        <v>74</v>
      </c>
      <c r="BR494" t="s">
        <v>106</v>
      </c>
      <c r="BS494" t="s">
        <v>10087</v>
      </c>
      <c r="BT494" t="str">
        <f>HYPERLINK("https%3A%2F%2Fwww.webofscience.com%2Fwos%2Fwoscc%2Ffull-record%2FWOS:000395825700084","View Full Record in Web of Science")</f>
        <v>View Full Record in Web of Science</v>
      </c>
    </row>
    <row r="495" spans="1:72" x14ac:dyDescent="0.25">
      <c r="A495" t="s">
        <v>72</v>
      </c>
      <c r="B495" t="s">
        <v>10088</v>
      </c>
      <c r="C495" t="s">
        <v>74</v>
      </c>
      <c r="D495" t="s">
        <v>74</v>
      </c>
      <c r="E495" t="s">
        <v>74</v>
      </c>
      <c r="F495" t="s">
        <v>10089</v>
      </c>
      <c r="G495" t="s">
        <v>74</v>
      </c>
      <c r="H495" t="s">
        <v>74</v>
      </c>
      <c r="I495" t="s">
        <v>10090</v>
      </c>
      <c r="J495" t="s">
        <v>10091</v>
      </c>
      <c r="K495" t="s">
        <v>74</v>
      </c>
      <c r="L495" t="s">
        <v>74</v>
      </c>
      <c r="M495" t="s">
        <v>78</v>
      </c>
      <c r="N495" t="s">
        <v>79</v>
      </c>
      <c r="O495" t="s">
        <v>74</v>
      </c>
      <c r="P495" t="s">
        <v>74</v>
      </c>
      <c r="Q495" t="s">
        <v>74</v>
      </c>
      <c r="R495" t="s">
        <v>74</v>
      </c>
      <c r="S495" t="s">
        <v>74</v>
      </c>
      <c r="T495" t="s">
        <v>10092</v>
      </c>
      <c r="U495" t="s">
        <v>10093</v>
      </c>
      <c r="V495" t="s">
        <v>10094</v>
      </c>
      <c r="W495" t="s">
        <v>10095</v>
      </c>
      <c r="X495" t="s">
        <v>10096</v>
      </c>
      <c r="Y495" t="s">
        <v>10097</v>
      </c>
      <c r="Z495" t="s">
        <v>10098</v>
      </c>
      <c r="AA495" t="s">
        <v>10099</v>
      </c>
      <c r="AB495" t="s">
        <v>74</v>
      </c>
      <c r="AC495" t="s">
        <v>74</v>
      </c>
      <c r="AD495" t="s">
        <v>74</v>
      </c>
      <c r="AE495" t="s">
        <v>74</v>
      </c>
      <c r="AF495" t="s">
        <v>74</v>
      </c>
      <c r="AG495">
        <v>39</v>
      </c>
      <c r="AH495">
        <v>9</v>
      </c>
      <c r="AI495">
        <v>12</v>
      </c>
      <c r="AJ495">
        <v>1</v>
      </c>
      <c r="AK495">
        <v>43</v>
      </c>
      <c r="AL495" t="s">
        <v>10100</v>
      </c>
      <c r="AM495" t="s">
        <v>10101</v>
      </c>
      <c r="AN495" t="s">
        <v>10102</v>
      </c>
      <c r="AO495" t="s">
        <v>10103</v>
      </c>
      <c r="AP495" t="s">
        <v>10104</v>
      </c>
      <c r="AQ495" t="s">
        <v>74</v>
      </c>
      <c r="AR495" t="s">
        <v>10105</v>
      </c>
      <c r="AS495" t="s">
        <v>10106</v>
      </c>
      <c r="AT495" t="s">
        <v>74</v>
      </c>
      <c r="AU495">
        <v>2022</v>
      </c>
      <c r="AV495">
        <v>42</v>
      </c>
      <c r="AW495">
        <v>2</v>
      </c>
      <c r="AX495" t="s">
        <v>74</v>
      </c>
      <c r="AY495" t="s">
        <v>74</v>
      </c>
      <c r="AZ495" t="s">
        <v>74</v>
      </c>
      <c r="BA495" t="s">
        <v>74</v>
      </c>
      <c r="BB495">
        <v>331</v>
      </c>
      <c r="BC495">
        <v>340</v>
      </c>
      <c r="BD495" t="s">
        <v>74</v>
      </c>
      <c r="BE495" t="s">
        <v>10107</v>
      </c>
      <c r="BF495" t="str">
        <f>HYPERLINK("http://dx.doi.org/10.1123/jtpe.2021-0283","http://dx.doi.org/10.1123/jtpe.2021-0283")</f>
        <v>http://dx.doi.org/10.1123/jtpe.2021-0283</v>
      </c>
      <c r="BG495" t="s">
        <v>74</v>
      </c>
      <c r="BH495" t="s">
        <v>10108</v>
      </c>
      <c r="BI495">
        <v>10</v>
      </c>
      <c r="BJ495" t="s">
        <v>10109</v>
      </c>
      <c r="BK495" t="s">
        <v>745</v>
      </c>
      <c r="BL495" t="s">
        <v>10109</v>
      </c>
      <c r="BM495" t="s">
        <v>10110</v>
      </c>
      <c r="BN495" t="s">
        <v>74</v>
      </c>
      <c r="BO495" t="s">
        <v>74</v>
      </c>
      <c r="BP495" t="s">
        <v>74</v>
      </c>
      <c r="BQ495" t="s">
        <v>74</v>
      </c>
      <c r="BR495" t="s">
        <v>106</v>
      </c>
      <c r="BS495" t="s">
        <v>10111</v>
      </c>
      <c r="BT495" t="str">
        <f>HYPERLINK("https%3A%2F%2Fwww.webofscience.com%2Fwos%2Fwoscc%2Ffull-record%2FWOS:000928352400001","View Full Record in Web of Science")</f>
        <v>View Full Record in Web of Science</v>
      </c>
    </row>
    <row r="496" spans="1:72" x14ac:dyDescent="0.25">
      <c r="A496" t="s">
        <v>72</v>
      </c>
      <c r="B496" t="s">
        <v>10112</v>
      </c>
      <c r="C496" t="s">
        <v>74</v>
      </c>
      <c r="D496" t="s">
        <v>74</v>
      </c>
      <c r="E496" t="s">
        <v>74</v>
      </c>
      <c r="F496" t="s">
        <v>10113</v>
      </c>
      <c r="G496" t="s">
        <v>74</v>
      </c>
      <c r="H496" t="s">
        <v>74</v>
      </c>
      <c r="I496" t="s">
        <v>10114</v>
      </c>
      <c r="J496" t="s">
        <v>10115</v>
      </c>
      <c r="K496" t="s">
        <v>74</v>
      </c>
      <c r="L496" t="s">
        <v>74</v>
      </c>
      <c r="M496" t="s">
        <v>78</v>
      </c>
      <c r="N496" t="s">
        <v>79</v>
      </c>
      <c r="O496" t="s">
        <v>74</v>
      </c>
      <c r="P496" t="s">
        <v>74</v>
      </c>
      <c r="Q496" t="s">
        <v>74</v>
      </c>
      <c r="R496" t="s">
        <v>74</v>
      </c>
      <c r="S496" t="s">
        <v>74</v>
      </c>
      <c r="T496" t="s">
        <v>10116</v>
      </c>
      <c r="U496" t="s">
        <v>10117</v>
      </c>
      <c r="V496" t="s">
        <v>10118</v>
      </c>
      <c r="W496" t="s">
        <v>10119</v>
      </c>
      <c r="X496" t="s">
        <v>10120</v>
      </c>
      <c r="Y496" t="s">
        <v>10121</v>
      </c>
      <c r="Z496" t="s">
        <v>10122</v>
      </c>
      <c r="AA496" t="s">
        <v>10123</v>
      </c>
      <c r="AB496" t="s">
        <v>10124</v>
      </c>
      <c r="AC496" t="s">
        <v>10125</v>
      </c>
      <c r="AD496" t="s">
        <v>10126</v>
      </c>
      <c r="AE496" t="s">
        <v>10127</v>
      </c>
      <c r="AF496" t="s">
        <v>74</v>
      </c>
      <c r="AG496">
        <v>34</v>
      </c>
      <c r="AH496">
        <v>2</v>
      </c>
      <c r="AI496">
        <v>2</v>
      </c>
      <c r="AJ496">
        <v>0</v>
      </c>
      <c r="AK496">
        <v>14</v>
      </c>
      <c r="AL496" t="s">
        <v>895</v>
      </c>
      <c r="AM496" t="s">
        <v>896</v>
      </c>
      <c r="AN496" t="s">
        <v>897</v>
      </c>
      <c r="AO496" t="s">
        <v>10128</v>
      </c>
      <c r="AP496" t="s">
        <v>10129</v>
      </c>
      <c r="AQ496" t="s">
        <v>74</v>
      </c>
      <c r="AR496" t="s">
        <v>10130</v>
      </c>
      <c r="AS496" t="s">
        <v>10131</v>
      </c>
      <c r="AT496" t="s">
        <v>1278</v>
      </c>
      <c r="AU496">
        <v>2020</v>
      </c>
      <c r="AV496">
        <v>65</v>
      </c>
      <c r="AW496">
        <v>1</v>
      </c>
      <c r="AX496" t="s">
        <v>74</v>
      </c>
      <c r="AY496" t="s">
        <v>74</v>
      </c>
      <c r="AZ496" t="s">
        <v>74</v>
      </c>
      <c r="BA496" t="s">
        <v>74</v>
      </c>
      <c r="BB496">
        <v>223</v>
      </c>
      <c r="BC496">
        <v>236</v>
      </c>
      <c r="BD496" t="s">
        <v>74</v>
      </c>
      <c r="BE496" t="s">
        <v>10132</v>
      </c>
      <c r="BF496" t="str">
        <f>HYPERLINK("http://dx.doi.org/10.1109/TAC.2019.2917715","http://dx.doi.org/10.1109/TAC.2019.2917715")</f>
        <v>http://dx.doi.org/10.1109/TAC.2019.2917715</v>
      </c>
      <c r="BG496" t="s">
        <v>74</v>
      </c>
      <c r="BH496" t="s">
        <v>74</v>
      </c>
      <c r="BI496">
        <v>14</v>
      </c>
      <c r="BJ496" t="s">
        <v>2632</v>
      </c>
      <c r="BK496" t="s">
        <v>902</v>
      </c>
      <c r="BL496" t="s">
        <v>2633</v>
      </c>
      <c r="BM496" t="s">
        <v>10133</v>
      </c>
      <c r="BN496" t="s">
        <v>74</v>
      </c>
      <c r="BO496" t="s">
        <v>346</v>
      </c>
      <c r="BP496" t="s">
        <v>74</v>
      </c>
      <c r="BQ496" t="s">
        <v>74</v>
      </c>
      <c r="BR496" t="s">
        <v>106</v>
      </c>
      <c r="BS496" t="s">
        <v>10134</v>
      </c>
      <c r="BT496" t="str">
        <f>HYPERLINK("https%3A%2F%2Fwww.webofscience.com%2Fwos%2Fwoscc%2Ffull-record%2FWOS:000506851100016","View Full Record in Web of Science")</f>
        <v>View Full Record in Web of Science</v>
      </c>
    </row>
    <row r="497" spans="1:72" x14ac:dyDescent="0.25">
      <c r="A497" t="s">
        <v>72</v>
      </c>
      <c r="B497" t="s">
        <v>10135</v>
      </c>
      <c r="C497" t="s">
        <v>74</v>
      </c>
      <c r="D497" t="s">
        <v>74</v>
      </c>
      <c r="E497" t="s">
        <v>74</v>
      </c>
      <c r="F497" t="s">
        <v>10136</v>
      </c>
      <c r="G497" t="s">
        <v>74</v>
      </c>
      <c r="H497" t="s">
        <v>74</v>
      </c>
      <c r="I497" t="s">
        <v>10137</v>
      </c>
      <c r="J497" t="s">
        <v>10138</v>
      </c>
      <c r="K497" t="s">
        <v>74</v>
      </c>
      <c r="L497" t="s">
        <v>74</v>
      </c>
      <c r="M497" t="s">
        <v>78</v>
      </c>
      <c r="N497" t="s">
        <v>79</v>
      </c>
      <c r="O497" t="s">
        <v>74</v>
      </c>
      <c r="P497" t="s">
        <v>74</v>
      </c>
      <c r="Q497" t="s">
        <v>74</v>
      </c>
      <c r="R497" t="s">
        <v>74</v>
      </c>
      <c r="S497" t="s">
        <v>74</v>
      </c>
      <c r="T497" t="s">
        <v>10139</v>
      </c>
      <c r="U497" t="s">
        <v>74</v>
      </c>
      <c r="V497" t="s">
        <v>10140</v>
      </c>
      <c r="W497" t="s">
        <v>10141</v>
      </c>
      <c r="X497" t="s">
        <v>10142</v>
      </c>
      <c r="Y497" t="s">
        <v>10143</v>
      </c>
      <c r="Z497" t="s">
        <v>10144</v>
      </c>
      <c r="AA497" t="s">
        <v>10145</v>
      </c>
      <c r="AB497" t="s">
        <v>10146</v>
      </c>
      <c r="AC497" t="s">
        <v>74</v>
      </c>
      <c r="AD497" t="s">
        <v>74</v>
      </c>
      <c r="AE497" t="s">
        <v>74</v>
      </c>
      <c r="AF497" t="s">
        <v>74</v>
      </c>
      <c r="AG497">
        <v>22</v>
      </c>
      <c r="AH497">
        <v>42</v>
      </c>
      <c r="AI497">
        <v>48</v>
      </c>
      <c r="AJ497">
        <v>0</v>
      </c>
      <c r="AK497">
        <v>44</v>
      </c>
      <c r="AL497" t="s">
        <v>631</v>
      </c>
      <c r="AM497" t="s">
        <v>632</v>
      </c>
      <c r="AN497" t="s">
        <v>633</v>
      </c>
      <c r="AO497" t="s">
        <v>10147</v>
      </c>
      <c r="AP497" t="s">
        <v>10148</v>
      </c>
      <c r="AQ497" t="s">
        <v>74</v>
      </c>
      <c r="AR497" t="s">
        <v>10149</v>
      </c>
      <c r="AS497" t="s">
        <v>10150</v>
      </c>
      <c r="AT497" t="s">
        <v>368</v>
      </c>
      <c r="AU497">
        <v>2020</v>
      </c>
      <c r="AV497">
        <v>50</v>
      </c>
      <c r="AW497">
        <v>5</v>
      </c>
      <c r="AX497" t="s">
        <v>74</v>
      </c>
      <c r="AY497" t="s">
        <v>74</v>
      </c>
      <c r="AZ497" t="s">
        <v>247</v>
      </c>
      <c r="BA497" t="s">
        <v>74</v>
      </c>
      <c r="BB497">
        <v>645</v>
      </c>
      <c r="BC497">
        <v>657</v>
      </c>
      <c r="BD497" t="s">
        <v>74</v>
      </c>
      <c r="BE497" t="s">
        <v>10151</v>
      </c>
      <c r="BF497" t="str">
        <f>HYPERLINK("http://dx.doi.org/10.1002/spe.2687","http://dx.doi.org/10.1002/spe.2687")</f>
        <v>http://dx.doi.org/10.1002/spe.2687</v>
      </c>
      <c r="BG497" t="s">
        <v>74</v>
      </c>
      <c r="BH497" t="s">
        <v>74</v>
      </c>
      <c r="BI497">
        <v>13</v>
      </c>
      <c r="BJ497" t="s">
        <v>10152</v>
      </c>
      <c r="BK497" t="s">
        <v>902</v>
      </c>
      <c r="BL497" t="s">
        <v>103</v>
      </c>
      <c r="BM497" t="s">
        <v>10153</v>
      </c>
      <c r="BN497" t="s">
        <v>74</v>
      </c>
      <c r="BO497" t="s">
        <v>74</v>
      </c>
      <c r="BP497" t="s">
        <v>74</v>
      </c>
      <c r="BQ497" t="s">
        <v>74</v>
      </c>
      <c r="BR497" t="s">
        <v>106</v>
      </c>
      <c r="BS497" t="s">
        <v>10154</v>
      </c>
      <c r="BT497" t="str">
        <f>HYPERLINK("https%3A%2F%2Fwww.webofscience.com%2Fwos%2Fwoscc%2Ffull-record%2FWOS:000526578200011","View Full Record in Web of Science")</f>
        <v>View Full Record in Web of Science</v>
      </c>
    </row>
    <row r="498" spans="1:72" x14ac:dyDescent="0.25">
      <c r="A498" t="s">
        <v>72</v>
      </c>
      <c r="B498" t="s">
        <v>10155</v>
      </c>
      <c r="C498" t="s">
        <v>74</v>
      </c>
      <c r="D498" t="s">
        <v>74</v>
      </c>
      <c r="E498" t="s">
        <v>74</v>
      </c>
      <c r="F498" t="s">
        <v>10156</v>
      </c>
      <c r="G498" t="s">
        <v>74</v>
      </c>
      <c r="H498" t="s">
        <v>74</v>
      </c>
      <c r="I498" t="s">
        <v>10157</v>
      </c>
      <c r="J498" t="s">
        <v>1572</v>
      </c>
      <c r="K498" t="s">
        <v>74</v>
      </c>
      <c r="L498" t="s">
        <v>74</v>
      </c>
      <c r="M498" t="s">
        <v>78</v>
      </c>
      <c r="N498" t="s">
        <v>726</v>
      </c>
      <c r="O498" t="s">
        <v>74</v>
      </c>
      <c r="P498" t="s">
        <v>74</v>
      </c>
      <c r="Q498" t="s">
        <v>74</v>
      </c>
      <c r="R498" t="s">
        <v>74</v>
      </c>
      <c r="S498" t="s">
        <v>74</v>
      </c>
      <c r="T498" t="s">
        <v>10158</v>
      </c>
      <c r="U498" t="s">
        <v>10159</v>
      </c>
      <c r="V498" t="s">
        <v>10160</v>
      </c>
      <c r="W498" t="s">
        <v>10161</v>
      </c>
      <c r="X498" t="s">
        <v>10162</v>
      </c>
      <c r="Y498" t="s">
        <v>10163</v>
      </c>
      <c r="Z498" t="s">
        <v>10164</v>
      </c>
      <c r="AA498" t="s">
        <v>10165</v>
      </c>
      <c r="AB498" t="s">
        <v>10166</v>
      </c>
      <c r="AC498" t="s">
        <v>74</v>
      </c>
      <c r="AD498" t="s">
        <v>74</v>
      </c>
      <c r="AE498" t="s">
        <v>74</v>
      </c>
      <c r="AF498" t="s">
        <v>74</v>
      </c>
      <c r="AG498">
        <v>71</v>
      </c>
      <c r="AH498">
        <v>41</v>
      </c>
      <c r="AI498">
        <v>44</v>
      </c>
      <c r="AJ498">
        <v>0</v>
      </c>
      <c r="AK498">
        <v>99</v>
      </c>
      <c r="AL498" t="s">
        <v>362</v>
      </c>
      <c r="AM498" t="s">
        <v>363</v>
      </c>
      <c r="AN498" t="s">
        <v>364</v>
      </c>
      <c r="AO498" t="s">
        <v>1584</v>
      </c>
      <c r="AP498" t="s">
        <v>1585</v>
      </c>
      <c r="AQ498" t="s">
        <v>74</v>
      </c>
      <c r="AR498" t="s">
        <v>1586</v>
      </c>
      <c r="AS498" t="s">
        <v>1587</v>
      </c>
      <c r="AT498" t="s">
        <v>10167</v>
      </c>
      <c r="AU498">
        <v>2021</v>
      </c>
      <c r="AV498">
        <v>45</v>
      </c>
      <c r="AW498" t="s">
        <v>74</v>
      </c>
      <c r="AX498" t="s">
        <v>74</v>
      </c>
      <c r="AY498" t="s">
        <v>74</v>
      </c>
      <c r="AZ498" t="s">
        <v>74</v>
      </c>
      <c r="BA498" t="s">
        <v>74</v>
      </c>
      <c r="BB498" t="s">
        <v>74</v>
      </c>
      <c r="BC498" t="s">
        <v>74</v>
      </c>
      <c r="BD498">
        <v>101026</v>
      </c>
      <c r="BE498" t="s">
        <v>10168</v>
      </c>
      <c r="BF498" t="str">
        <f>HYPERLINK("http://dx.doi.org/10.1016/j.elerap.2020.101026","http://dx.doi.org/10.1016/j.elerap.2020.101026")</f>
        <v>http://dx.doi.org/10.1016/j.elerap.2020.101026</v>
      </c>
      <c r="BG498" t="s">
        <v>74</v>
      </c>
      <c r="BH498" t="s">
        <v>10169</v>
      </c>
      <c r="BI498">
        <v>18</v>
      </c>
      <c r="BJ498" t="s">
        <v>1590</v>
      </c>
      <c r="BK498" t="s">
        <v>745</v>
      </c>
      <c r="BL498" t="s">
        <v>1591</v>
      </c>
      <c r="BM498" t="s">
        <v>10170</v>
      </c>
      <c r="BN498" t="s">
        <v>74</v>
      </c>
      <c r="BO498" t="s">
        <v>74</v>
      </c>
      <c r="BP498" t="s">
        <v>74</v>
      </c>
      <c r="BQ498" t="s">
        <v>74</v>
      </c>
      <c r="BR498" t="s">
        <v>106</v>
      </c>
      <c r="BS498" t="s">
        <v>10171</v>
      </c>
      <c r="BT498" t="str">
        <f>HYPERLINK("https%3A%2F%2Fwww.webofscience.com%2Fwos%2Fwoscc%2Ffull-record%2FWOS:000609019600003","View Full Record in Web of Science")</f>
        <v>View Full Record in Web of Science</v>
      </c>
    </row>
    <row r="499" spans="1:72" x14ac:dyDescent="0.25">
      <c r="A499" t="s">
        <v>72</v>
      </c>
      <c r="B499" t="s">
        <v>10172</v>
      </c>
      <c r="C499" t="s">
        <v>74</v>
      </c>
      <c r="D499" t="s">
        <v>74</v>
      </c>
      <c r="E499" t="s">
        <v>74</v>
      </c>
      <c r="F499" t="s">
        <v>10173</v>
      </c>
      <c r="G499" t="s">
        <v>74</v>
      </c>
      <c r="H499" t="s">
        <v>74</v>
      </c>
      <c r="I499" t="s">
        <v>10174</v>
      </c>
      <c r="J499" t="s">
        <v>10175</v>
      </c>
      <c r="K499" t="s">
        <v>74</v>
      </c>
      <c r="L499" t="s">
        <v>74</v>
      </c>
      <c r="M499" t="s">
        <v>78</v>
      </c>
      <c r="N499" t="s">
        <v>79</v>
      </c>
      <c r="O499" t="s">
        <v>74</v>
      </c>
      <c r="P499" t="s">
        <v>74</v>
      </c>
      <c r="Q499" t="s">
        <v>74</v>
      </c>
      <c r="R499" t="s">
        <v>74</v>
      </c>
      <c r="S499" t="s">
        <v>74</v>
      </c>
      <c r="T499" t="s">
        <v>10176</v>
      </c>
      <c r="U499" t="s">
        <v>10177</v>
      </c>
      <c r="V499" t="s">
        <v>10178</v>
      </c>
      <c r="W499" t="s">
        <v>10179</v>
      </c>
      <c r="X499" t="s">
        <v>10180</v>
      </c>
      <c r="Y499" t="s">
        <v>10181</v>
      </c>
      <c r="Z499" t="s">
        <v>10182</v>
      </c>
      <c r="AA499" t="s">
        <v>74</v>
      </c>
      <c r="AB499" t="s">
        <v>10183</v>
      </c>
      <c r="AC499" t="s">
        <v>10184</v>
      </c>
      <c r="AD499" t="s">
        <v>10185</v>
      </c>
      <c r="AE499" t="s">
        <v>10186</v>
      </c>
      <c r="AF499" t="s">
        <v>74</v>
      </c>
      <c r="AG499">
        <v>61</v>
      </c>
      <c r="AH499">
        <v>24</v>
      </c>
      <c r="AI499">
        <v>37</v>
      </c>
      <c r="AJ499">
        <v>0</v>
      </c>
      <c r="AK499">
        <v>33</v>
      </c>
      <c r="AL499" t="s">
        <v>178</v>
      </c>
      <c r="AM499" t="s">
        <v>92</v>
      </c>
      <c r="AN499" t="s">
        <v>179</v>
      </c>
      <c r="AO499" t="s">
        <v>10187</v>
      </c>
      <c r="AP499" t="s">
        <v>74</v>
      </c>
      <c r="AQ499" t="s">
        <v>74</v>
      </c>
      <c r="AR499" t="s">
        <v>10188</v>
      </c>
      <c r="AS499" t="s">
        <v>10189</v>
      </c>
      <c r="AT499" t="s">
        <v>10190</v>
      </c>
      <c r="AU499">
        <v>2020</v>
      </c>
      <c r="AV499">
        <v>7</v>
      </c>
      <c r="AW499">
        <v>1</v>
      </c>
      <c r="AX499" t="s">
        <v>74</v>
      </c>
      <c r="AY499" t="s">
        <v>74</v>
      </c>
      <c r="AZ499" t="s">
        <v>74</v>
      </c>
      <c r="BA499" t="s">
        <v>74</v>
      </c>
      <c r="BB499" t="s">
        <v>74</v>
      </c>
      <c r="BC499" t="s">
        <v>74</v>
      </c>
      <c r="BD499">
        <v>23</v>
      </c>
      <c r="BE499" t="s">
        <v>10191</v>
      </c>
      <c r="BF499" t="str">
        <f>HYPERLINK("http://dx.doi.org/10.1186/s40594-020-00217-4","http://dx.doi.org/10.1186/s40594-020-00217-4")</f>
        <v>http://dx.doi.org/10.1186/s40594-020-00217-4</v>
      </c>
      <c r="BG499" t="s">
        <v>74</v>
      </c>
      <c r="BH499" t="s">
        <v>74</v>
      </c>
      <c r="BI499">
        <v>16</v>
      </c>
      <c r="BJ499" t="s">
        <v>5740</v>
      </c>
      <c r="BK499" t="s">
        <v>745</v>
      </c>
      <c r="BL499" t="s">
        <v>318</v>
      </c>
      <c r="BM499" t="s">
        <v>10192</v>
      </c>
      <c r="BN499" t="s">
        <v>74</v>
      </c>
      <c r="BO499" t="s">
        <v>398</v>
      </c>
      <c r="BP499" t="s">
        <v>74</v>
      </c>
      <c r="BQ499" t="s">
        <v>74</v>
      </c>
      <c r="BR499" t="s">
        <v>106</v>
      </c>
      <c r="BS499" t="s">
        <v>10193</v>
      </c>
      <c r="BT499" t="str">
        <f>HYPERLINK("https%3A%2F%2Fwww.webofscience.com%2Fwos%2Fwoscc%2Ffull-record%2FWOS:000536776100001","View Full Record in Web of Science")</f>
        <v>View Full Record in Web of Science</v>
      </c>
    </row>
    <row r="500" spans="1:72" x14ac:dyDescent="0.25">
      <c r="A500" t="s">
        <v>72</v>
      </c>
      <c r="B500" t="s">
        <v>10194</v>
      </c>
      <c r="C500" t="s">
        <v>74</v>
      </c>
      <c r="D500" t="s">
        <v>74</v>
      </c>
      <c r="E500" t="s">
        <v>74</v>
      </c>
      <c r="F500" t="s">
        <v>10195</v>
      </c>
      <c r="G500" t="s">
        <v>74</v>
      </c>
      <c r="H500" t="s">
        <v>74</v>
      </c>
      <c r="I500" t="s">
        <v>10196</v>
      </c>
      <c r="J500" t="s">
        <v>5244</v>
      </c>
      <c r="K500" t="s">
        <v>74</v>
      </c>
      <c r="L500" t="s">
        <v>74</v>
      </c>
      <c r="M500" t="s">
        <v>78</v>
      </c>
      <c r="N500" t="s">
        <v>79</v>
      </c>
      <c r="O500" t="s">
        <v>74</v>
      </c>
      <c r="P500" t="s">
        <v>74</v>
      </c>
      <c r="Q500" t="s">
        <v>74</v>
      </c>
      <c r="R500" t="s">
        <v>74</v>
      </c>
      <c r="S500" t="s">
        <v>74</v>
      </c>
      <c r="T500" t="s">
        <v>10197</v>
      </c>
      <c r="U500" t="s">
        <v>10198</v>
      </c>
      <c r="V500" t="s">
        <v>10199</v>
      </c>
      <c r="W500" t="s">
        <v>10200</v>
      </c>
      <c r="X500" t="s">
        <v>10201</v>
      </c>
      <c r="Y500" t="s">
        <v>10202</v>
      </c>
      <c r="Z500" t="s">
        <v>10203</v>
      </c>
      <c r="AA500" t="s">
        <v>10204</v>
      </c>
      <c r="AB500" t="s">
        <v>10205</v>
      </c>
      <c r="AC500" t="s">
        <v>74</v>
      </c>
      <c r="AD500" t="s">
        <v>74</v>
      </c>
      <c r="AE500" t="s">
        <v>74</v>
      </c>
      <c r="AF500" t="s">
        <v>74</v>
      </c>
      <c r="AG500">
        <v>30</v>
      </c>
      <c r="AH500">
        <v>10</v>
      </c>
      <c r="AI500">
        <v>12</v>
      </c>
      <c r="AJ500">
        <v>5</v>
      </c>
      <c r="AK500">
        <v>44</v>
      </c>
      <c r="AL500" t="s">
        <v>2946</v>
      </c>
      <c r="AM500" t="s">
        <v>5023</v>
      </c>
      <c r="AN500" t="s">
        <v>5024</v>
      </c>
      <c r="AO500" t="s">
        <v>5253</v>
      </c>
      <c r="AP500" t="s">
        <v>5254</v>
      </c>
      <c r="AQ500" t="s">
        <v>74</v>
      </c>
      <c r="AR500" t="s">
        <v>5255</v>
      </c>
      <c r="AS500" t="s">
        <v>5256</v>
      </c>
      <c r="AT500" t="s">
        <v>7043</v>
      </c>
      <c r="AU500">
        <v>2021</v>
      </c>
      <c r="AV500">
        <v>17</v>
      </c>
      <c r="AW500">
        <v>6</v>
      </c>
      <c r="AX500" t="s">
        <v>74</v>
      </c>
      <c r="AY500" t="s">
        <v>74</v>
      </c>
      <c r="AZ500" t="s">
        <v>74</v>
      </c>
      <c r="BA500" t="s">
        <v>74</v>
      </c>
      <c r="BB500">
        <v>728</v>
      </c>
      <c r="BC500">
        <v>752</v>
      </c>
      <c r="BD500" t="s">
        <v>74</v>
      </c>
      <c r="BE500" t="s">
        <v>10206</v>
      </c>
      <c r="BF500" t="str">
        <f>HYPERLINK("http://dx.doi.org/10.1108/IJWIS-06-2021-0065","http://dx.doi.org/10.1108/IJWIS-06-2021-0065")</f>
        <v>http://dx.doi.org/10.1108/IJWIS-06-2021-0065</v>
      </c>
      <c r="BG500" t="s">
        <v>74</v>
      </c>
      <c r="BH500" t="s">
        <v>10207</v>
      </c>
      <c r="BI500">
        <v>25</v>
      </c>
      <c r="BJ500" t="s">
        <v>852</v>
      </c>
      <c r="BK500" t="s">
        <v>102</v>
      </c>
      <c r="BL500" t="s">
        <v>103</v>
      </c>
      <c r="BM500" t="s">
        <v>10208</v>
      </c>
      <c r="BN500" t="s">
        <v>74</v>
      </c>
      <c r="BO500" t="s">
        <v>74</v>
      </c>
      <c r="BP500" t="s">
        <v>74</v>
      </c>
      <c r="BQ500" t="s">
        <v>74</v>
      </c>
      <c r="BR500" t="s">
        <v>106</v>
      </c>
      <c r="BS500" t="s">
        <v>10209</v>
      </c>
      <c r="BT500" t="str">
        <f>HYPERLINK("https%3A%2F%2Fwww.webofscience.com%2Fwos%2Fwoscc%2Ffull-record%2FWOS:000705462000001","View Full Record in Web of Science")</f>
        <v>View Full Record in Web of Science</v>
      </c>
    </row>
    <row r="501" spans="1:72" x14ac:dyDescent="0.25">
      <c r="A501" t="s">
        <v>108</v>
      </c>
      <c r="B501" t="s">
        <v>10210</v>
      </c>
      <c r="C501" t="s">
        <v>74</v>
      </c>
      <c r="D501" t="s">
        <v>10211</v>
      </c>
      <c r="E501" t="s">
        <v>74</v>
      </c>
      <c r="F501" t="s">
        <v>10212</v>
      </c>
      <c r="G501" t="s">
        <v>74</v>
      </c>
      <c r="H501" t="s">
        <v>74</v>
      </c>
      <c r="I501" t="s">
        <v>10213</v>
      </c>
      <c r="J501" t="s">
        <v>10214</v>
      </c>
      <c r="K501" t="s">
        <v>147</v>
      </c>
      <c r="L501" t="s">
        <v>74</v>
      </c>
      <c r="M501" t="s">
        <v>78</v>
      </c>
      <c r="N501" t="s">
        <v>115</v>
      </c>
      <c r="O501" t="s">
        <v>10215</v>
      </c>
      <c r="P501" t="s">
        <v>10216</v>
      </c>
      <c r="Q501" t="s">
        <v>10217</v>
      </c>
      <c r="R501" t="s">
        <v>10218</v>
      </c>
      <c r="S501" t="s">
        <v>74</v>
      </c>
      <c r="T501" t="s">
        <v>74</v>
      </c>
      <c r="U501" t="s">
        <v>74</v>
      </c>
      <c r="V501" t="s">
        <v>10219</v>
      </c>
      <c r="W501" t="s">
        <v>10220</v>
      </c>
      <c r="X501" t="s">
        <v>10221</v>
      </c>
      <c r="Y501" t="s">
        <v>10222</v>
      </c>
      <c r="Z501" t="s">
        <v>74</v>
      </c>
      <c r="AA501" t="s">
        <v>74</v>
      </c>
      <c r="AB501" t="s">
        <v>10223</v>
      </c>
      <c r="AC501" t="s">
        <v>74</v>
      </c>
      <c r="AD501" t="s">
        <v>74</v>
      </c>
      <c r="AE501" t="s">
        <v>74</v>
      </c>
      <c r="AF501" t="s">
        <v>74</v>
      </c>
      <c r="AG501">
        <v>11</v>
      </c>
      <c r="AH501">
        <v>22</v>
      </c>
      <c r="AI501">
        <v>22</v>
      </c>
      <c r="AJ501">
        <v>0</v>
      </c>
      <c r="AK501">
        <v>7</v>
      </c>
      <c r="AL501" t="s">
        <v>197</v>
      </c>
      <c r="AM501" t="s">
        <v>198</v>
      </c>
      <c r="AN501" t="s">
        <v>199</v>
      </c>
      <c r="AO501" t="s">
        <v>159</v>
      </c>
      <c r="AP501" t="s">
        <v>133</v>
      </c>
      <c r="AQ501" t="s">
        <v>10224</v>
      </c>
      <c r="AR501" t="s">
        <v>161</v>
      </c>
      <c r="AS501" t="s">
        <v>74</v>
      </c>
      <c r="AT501" t="s">
        <v>74</v>
      </c>
      <c r="AU501">
        <v>2014</v>
      </c>
      <c r="AV501">
        <v>8538</v>
      </c>
      <c r="AW501" t="s">
        <v>74</v>
      </c>
      <c r="AX501" t="s">
        <v>74</v>
      </c>
      <c r="AY501" t="s">
        <v>74</v>
      </c>
      <c r="AZ501" t="s">
        <v>74</v>
      </c>
      <c r="BA501" t="s">
        <v>74</v>
      </c>
      <c r="BB501">
        <v>314</v>
      </c>
      <c r="BC501">
        <v>319</v>
      </c>
      <c r="BD501" t="s">
        <v>74</v>
      </c>
      <c r="BE501" t="s">
        <v>74</v>
      </c>
      <c r="BF501" t="s">
        <v>74</v>
      </c>
      <c r="BG501" t="s">
        <v>74</v>
      </c>
      <c r="BH501" t="s">
        <v>74</v>
      </c>
      <c r="BI501">
        <v>6</v>
      </c>
      <c r="BJ501" t="s">
        <v>461</v>
      </c>
      <c r="BK501" t="s">
        <v>203</v>
      </c>
      <c r="BL501" t="s">
        <v>103</v>
      </c>
      <c r="BM501" t="s">
        <v>10225</v>
      </c>
      <c r="BN501" t="s">
        <v>74</v>
      </c>
      <c r="BO501" t="s">
        <v>74</v>
      </c>
      <c r="BP501" t="s">
        <v>74</v>
      </c>
      <c r="BQ501" t="s">
        <v>74</v>
      </c>
      <c r="BR501" t="s">
        <v>106</v>
      </c>
      <c r="BS501" t="s">
        <v>10226</v>
      </c>
      <c r="BT501" t="str">
        <f>HYPERLINK("https%3A%2F%2Fwww.webofscience.com%2Fwos%2Fwoscc%2Ffull-record%2FWOS:000345647000030","View Full Record in Web of Science")</f>
        <v>View Full Record in Web of Science</v>
      </c>
    </row>
    <row r="502" spans="1:72" x14ac:dyDescent="0.25">
      <c r="A502" t="s">
        <v>108</v>
      </c>
      <c r="B502" t="s">
        <v>10227</v>
      </c>
      <c r="C502" t="s">
        <v>74</v>
      </c>
      <c r="D502" t="s">
        <v>1651</v>
      </c>
      <c r="E502" t="s">
        <v>74</v>
      </c>
      <c r="F502" t="s">
        <v>10228</v>
      </c>
      <c r="G502" t="s">
        <v>74</v>
      </c>
      <c r="H502" t="s">
        <v>74</v>
      </c>
      <c r="I502" t="s">
        <v>10229</v>
      </c>
      <c r="J502" t="s">
        <v>10230</v>
      </c>
      <c r="K502" t="s">
        <v>5730</v>
      </c>
      <c r="L502" t="s">
        <v>74</v>
      </c>
      <c r="M502" t="s">
        <v>78</v>
      </c>
      <c r="N502" t="s">
        <v>115</v>
      </c>
      <c r="O502" t="s">
        <v>10231</v>
      </c>
      <c r="P502" t="s">
        <v>10232</v>
      </c>
      <c r="Q502" t="s">
        <v>1880</v>
      </c>
      <c r="R502" t="s">
        <v>74</v>
      </c>
      <c r="S502" t="s">
        <v>74</v>
      </c>
      <c r="T502" t="s">
        <v>10233</v>
      </c>
      <c r="U502" t="s">
        <v>74</v>
      </c>
      <c r="V502" t="s">
        <v>10234</v>
      </c>
      <c r="W502" t="s">
        <v>10235</v>
      </c>
      <c r="X502" t="s">
        <v>10236</v>
      </c>
      <c r="Y502" t="s">
        <v>10237</v>
      </c>
      <c r="Z502" t="s">
        <v>74</v>
      </c>
      <c r="AA502" t="s">
        <v>74</v>
      </c>
      <c r="AB502" t="s">
        <v>74</v>
      </c>
      <c r="AC502" t="s">
        <v>74</v>
      </c>
      <c r="AD502" t="s">
        <v>74</v>
      </c>
      <c r="AE502" t="s">
        <v>74</v>
      </c>
      <c r="AF502" t="s">
        <v>74</v>
      </c>
      <c r="AG502">
        <v>25</v>
      </c>
      <c r="AH502">
        <v>0</v>
      </c>
      <c r="AI502">
        <v>0</v>
      </c>
      <c r="AJ502">
        <v>0</v>
      </c>
      <c r="AK502">
        <v>5</v>
      </c>
      <c r="AL502" t="s">
        <v>5625</v>
      </c>
      <c r="AM502" t="s">
        <v>1669</v>
      </c>
      <c r="AN502" t="s">
        <v>1670</v>
      </c>
      <c r="AO502" t="s">
        <v>5737</v>
      </c>
      <c r="AP502" t="s">
        <v>74</v>
      </c>
      <c r="AQ502" t="s">
        <v>10238</v>
      </c>
      <c r="AR502" t="s">
        <v>5739</v>
      </c>
      <c r="AS502" t="s">
        <v>74</v>
      </c>
      <c r="AT502" t="s">
        <v>74</v>
      </c>
      <c r="AU502">
        <v>2015</v>
      </c>
      <c r="AV502" t="s">
        <v>74</v>
      </c>
      <c r="AW502" t="s">
        <v>74</v>
      </c>
      <c r="AX502" t="s">
        <v>74</v>
      </c>
      <c r="AY502" t="s">
        <v>74</v>
      </c>
      <c r="AZ502" t="s">
        <v>74</v>
      </c>
      <c r="BA502" t="s">
        <v>74</v>
      </c>
      <c r="BB502">
        <v>3057</v>
      </c>
      <c r="BC502">
        <v>3064</v>
      </c>
      <c r="BD502" t="s">
        <v>74</v>
      </c>
      <c r="BE502" t="s">
        <v>74</v>
      </c>
      <c r="BF502" t="s">
        <v>74</v>
      </c>
      <c r="BG502" t="s">
        <v>74</v>
      </c>
      <c r="BH502" t="s">
        <v>74</v>
      </c>
      <c r="BI502">
        <v>8</v>
      </c>
      <c r="BJ502" t="s">
        <v>318</v>
      </c>
      <c r="BK502" t="s">
        <v>1042</v>
      </c>
      <c r="BL502" t="s">
        <v>318</v>
      </c>
      <c r="BM502" t="s">
        <v>10239</v>
      </c>
      <c r="BN502" t="s">
        <v>74</v>
      </c>
      <c r="BO502" t="s">
        <v>74</v>
      </c>
      <c r="BP502" t="s">
        <v>74</v>
      </c>
      <c r="BQ502" t="s">
        <v>74</v>
      </c>
      <c r="BR502" t="s">
        <v>106</v>
      </c>
      <c r="BS502" t="s">
        <v>10240</v>
      </c>
      <c r="BT502" t="str">
        <f>HYPERLINK("https%3A%2F%2Fwww.webofscience.com%2Fwos%2Fwoscc%2Ffull-record%2FWOS:000398586303015","View Full Record in Web of Science")</f>
        <v>View Full Record in Web of Science</v>
      </c>
    </row>
    <row r="503" spans="1:72" x14ac:dyDescent="0.25">
      <c r="A503" t="s">
        <v>108</v>
      </c>
      <c r="B503" t="s">
        <v>10241</v>
      </c>
      <c r="C503" t="s">
        <v>74</v>
      </c>
      <c r="D503" t="s">
        <v>74</v>
      </c>
      <c r="E503" t="s">
        <v>465</v>
      </c>
      <c r="F503" t="s">
        <v>10242</v>
      </c>
      <c r="G503" t="s">
        <v>74</v>
      </c>
      <c r="H503" t="s">
        <v>74</v>
      </c>
      <c r="I503" t="s">
        <v>10243</v>
      </c>
      <c r="J503" t="s">
        <v>10244</v>
      </c>
      <c r="K503" t="s">
        <v>3923</v>
      </c>
      <c r="L503" t="s">
        <v>74</v>
      </c>
      <c r="M503" t="s">
        <v>78</v>
      </c>
      <c r="N503" t="s">
        <v>115</v>
      </c>
      <c r="O503" t="s">
        <v>10245</v>
      </c>
      <c r="P503" t="s">
        <v>10246</v>
      </c>
      <c r="Q503" t="s">
        <v>10247</v>
      </c>
      <c r="R503" t="s">
        <v>10248</v>
      </c>
      <c r="S503" t="s">
        <v>10249</v>
      </c>
      <c r="T503" t="s">
        <v>10250</v>
      </c>
      <c r="U503" t="s">
        <v>74</v>
      </c>
      <c r="V503" t="s">
        <v>10251</v>
      </c>
      <c r="W503" t="s">
        <v>10252</v>
      </c>
      <c r="X503" t="s">
        <v>5495</v>
      </c>
      <c r="Y503" t="s">
        <v>10253</v>
      </c>
      <c r="Z503" t="s">
        <v>10254</v>
      </c>
      <c r="AA503" t="s">
        <v>10255</v>
      </c>
      <c r="AB503" t="s">
        <v>74</v>
      </c>
      <c r="AC503" t="s">
        <v>74</v>
      </c>
      <c r="AD503" t="s">
        <v>74</v>
      </c>
      <c r="AE503" t="s">
        <v>74</v>
      </c>
      <c r="AF503" t="s">
        <v>74</v>
      </c>
      <c r="AG503">
        <v>39</v>
      </c>
      <c r="AH503">
        <v>0</v>
      </c>
      <c r="AI503">
        <v>0</v>
      </c>
      <c r="AJ503">
        <v>0</v>
      </c>
      <c r="AK503">
        <v>2</v>
      </c>
      <c r="AL503" t="s">
        <v>465</v>
      </c>
      <c r="AM503" t="s">
        <v>92</v>
      </c>
      <c r="AN503" t="s">
        <v>480</v>
      </c>
      <c r="AO503" t="s">
        <v>3933</v>
      </c>
      <c r="AP503" t="s">
        <v>74</v>
      </c>
      <c r="AQ503" t="s">
        <v>10256</v>
      </c>
      <c r="AR503" t="s">
        <v>3935</v>
      </c>
      <c r="AS503" t="s">
        <v>74</v>
      </c>
      <c r="AT503" t="s">
        <v>74</v>
      </c>
      <c r="AU503">
        <v>2016</v>
      </c>
      <c r="AV503" t="s">
        <v>74</v>
      </c>
      <c r="AW503" t="s">
        <v>74</v>
      </c>
      <c r="AX503" t="s">
        <v>74</v>
      </c>
      <c r="AY503" t="s">
        <v>74</v>
      </c>
      <c r="AZ503" t="s">
        <v>74</v>
      </c>
      <c r="BA503" t="s">
        <v>74</v>
      </c>
      <c r="BB503" t="s">
        <v>74</v>
      </c>
      <c r="BC503" t="s">
        <v>74</v>
      </c>
      <c r="BD503" t="s">
        <v>74</v>
      </c>
      <c r="BE503" t="s">
        <v>74</v>
      </c>
      <c r="BF503" t="s">
        <v>74</v>
      </c>
      <c r="BG503" t="s">
        <v>74</v>
      </c>
      <c r="BH503" t="s">
        <v>74</v>
      </c>
      <c r="BI503">
        <v>7</v>
      </c>
      <c r="BJ503" t="s">
        <v>2700</v>
      </c>
      <c r="BK503" t="s">
        <v>203</v>
      </c>
      <c r="BL503" t="s">
        <v>103</v>
      </c>
      <c r="BM503" t="s">
        <v>10257</v>
      </c>
      <c r="BN503" t="s">
        <v>74</v>
      </c>
      <c r="BO503" t="s">
        <v>74</v>
      </c>
      <c r="BP503" t="s">
        <v>74</v>
      </c>
      <c r="BQ503" t="s">
        <v>74</v>
      </c>
      <c r="BR503" t="s">
        <v>106</v>
      </c>
      <c r="BS503" t="s">
        <v>10258</v>
      </c>
      <c r="BT503" t="str">
        <f>HYPERLINK("https%3A%2F%2Fwww.webofscience.com%2Fwos%2Fwoscc%2Ffull-record%2FWOS:000404443800012","View Full Record in Web of Science")</f>
        <v>View Full Record in Web of Science</v>
      </c>
    </row>
    <row r="504" spans="1:72" x14ac:dyDescent="0.25">
      <c r="A504" t="s">
        <v>72</v>
      </c>
      <c r="B504" t="s">
        <v>10259</v>
      </c>
      <c r="C504" t="s">
        <v>74</v>
      </c>
      <c r="D504" t="s">
        <v>74</v>
      </c>
      <c r="E504" t="s">
        <v>74</v>
      </c>
      <c r="F504" t="s">
        <v>10260</v>
      </c>
      <c r="G504" t="s">
        <v>74</v>
      </c>
      <c r="H504" t="s">
        <v>74</v>
      </c>
      <c r="I504" t="s">
        <v>10261</v>
      </c>
      <c r="J504" t="s">
        <v>1532</v>
      </c>
      <c r="K504" t="s">
        <v>74</v>
      </c>
      <c r="L504" t="s">
        <v>74</v>
      </c>
      <c r="M504" t="s">
        <v>78</v>
      </c>
      <c r="N504" t="s">
        <v>79</v>
      </c>
      <c r="O504" t="s">
        <v>74</v>
      </c>
      <c r="P504" t="s">
        <v>74</v>
      </c>
      <c r="Q504" t="s">
        <v>74</v>
      </c>
      <c r="R504" t="s">
        <v>74</v>
      </c>
      <c r="S504" t="s">
        <v>74</v>
      </c>
      <c r="T504" t="s">
        <v>10262</v>
      </c>
      <c r="U504" t="s">
        <v>74</v>
      </c>
      <c r="V504" t="s">
        <v>10263</v>
      </c>
      <c r="W504" t="s">
        <v>10264</v>
      </c>
      <c r="X504" t="s">
        <v>10265</v>
      </c>
      <c r="Y504" t="s">
        <v>10266</v>
      </c>
      <c r="Z504" t="s">
        <v>10267</v>
      </c>
      <c r="AA504" t="s">
        <v>10268</v>
      </c>
      <c r="AB504" t="s">
        <v>10269</v>
      </c>
      <c r="AC504" t="s">
        <v>10270</v>
      </c>
      <c r="AD504" t="s">
        <v>2463</v>
      </c>
      <c r="AE504" t="s">
        <v>10271</v>
      </c>
      <c r="AF504" t="s">
        <v>74</v>
      </c>
      <c r="AG504">
        <v>42</v>
      </c>
      <c r="AH504">
        <v>4</v>
      </c>
      <c r="AI504">
        <v>4</v>
      </c>
      <c r="AJ504">
        <v>0</v>
      </c>
      <c r="AK504">
        <v>4</v>
      </c>
      <c r="AL504" t="s">
        <v>895</v>
      </c>
      <c r="AM504" t="s">
        <v>896</v>
      </c>
      <c r="AN504" t="s">
        <v>897</v>
      </c>
      <c r="AO504" t="s">
        <v>1541</v>
      </c>
      <c r="AP504" t="s">
        <v>74</v>
      </c>
      <c r="AQ504" t="s">
        <v>74</v>
      </c>
      <c r="AR504" t="s">
        <v>1542</v>
      </c>
      <c r="AS504" t="s">
        <v>1543</v>
      </c>
      <c r="AT504" t="s">
        <v>98</v>
      </c>
      <c r="AU504">
        <v>2025</v>
      </c>
      <c r="AV504">
        <v>12</v>
      </c>
      <c r="AW504">
        <v>6</v>
      </c>
      <c r="AX504" t="s">
        <v>74</v>
      </c>
      <c r="AY504" t="s">
        <v>74</v>
      </c>
      <c r="AZ504" t="s">
        <v>74</v>
      </c>
      <c r="BA504" t="s">
        <v>74</v>
      </c>
      <c r="BB504">
        <v>5515</v>
      </c>
      <c r="BC504">
        <v>5525</v>
      </c>
      <c r="BD504" t="s">
        <v>74</v>
      </c>
      <c r="BE504" t="s">
        <v>10272</v>
      </c>
      <c r="BF504" t="str">
        <f>HYPERLINK("http://dx.doi.org/10.1109/TCSS.2024.3506633","http://dx.doi.org/10.1109/TCSS.2024.3506633")</f>
        <v>http://dx.doi.org/10.1109/TCSS.2024.3506633</v>
      </c>
      <c r="BG504" t="s">
        <v>74</v>
      </c>
      <c r="BH504" t="s">
        <v>10273</v>
      </c>
      <c r="BI504">
        <v>11</v>
      </c>
      <c r="BJ504" t="s">
        <v>1546</v>
      </c>
      <c r="BK504" t="s">
        <v>902</v>
      </c>
      <c r="BL504" t="s">
        <v>103</v>
      </c>
      <c r="BM504" t="s">
        <v>10274</v>
      </c>
      <c r="BN504" t="s">
        <v>74</v>
      </c>
      <c r="BO504" t="s">
        <v>74</v>
      </c>
      <c r="BP504" t="s">
        <v>74</v>
      </c>
      <c r="BQ504" t="s">
        <v>74</v>
      </c>
      <c r="BR504" t="s">
        <v>106</v>
      </c>
      <c r="BS504" t="s">
        <v>10275</v>
      </c>
      <c r="BT504" t="str">
        <f>HYPERLINK("https%3A%2F%2Fwww.webofscience.com%2Fwos%2Fwoscc%2Ffull-record%2FWOS:001381441000001","View Full Record in Web of Science")</f>
        <v>View Full Record in Web of Science</v>
      </c>
    </row>
    <row r="505" spans="1:72" x14ac:dyDescent="0.25">
      <c r="A505" t="s">
        <v>108</v>
      </c>
      <c r="B505" t="s">
        <v>10276</v>
      </c>
      <c r="C505" t="s">
        <v>74</v>
      </c>
      <c r="D505" t="s">
        <v>10277</v>
      </c>
      <c r="E505" t="s">
        <v>74</v>
      </c>
      <c r="F505" t="s">
        <v>10278</v>
      </c>
      <c r="G505" t="s">
        <v>74</v>
      </c>
      <c r="H505" t="s">
        <v>74</v>
      </c>
      <c r="I505" t="s">
        <v>10279</v>
      </c>
      <c r="J505" t="s">
        <v>10280</v>
      </c>
      <c r="K505" t="s">
        <v>147</v>
      </c>
      <c r="L505" t="s">
        <v>74</v>
      </c>
      <c r="M505" t="s">
        <v>78</v>
      </c>
      <c r="N505" t="s">
        <v>115</v>
      </c>
      <c r="O505" t="s">
        <v>10281</v>
      </c>
      <c r="P505" t="s">
        <v>10282</v>
      </c>
      <c r="Q505" t="s">
        <v>10283</v>
      </c>
      <c r="R505" t="s">
        <v>10284</v>
      </c>
      <c r="S505" t="s">
        <v>74</v>
      </c>
      <c r="T505" t="s">
        <v>10285</v>
      </c>
      <c r="U505" t="s">
        <v>74</v>
      </c>
      <c r="V505" t="s">
        <v>10286</v>
      </c>
      <c r="W505" t="s">
        <v>10287</v>
      </c>
      <c r="X505" t="s">
        <v>10288</v>
      </c>
      <c r="Y505" t="s">
        <v>10289</v>
      </c>
      <c r="Z505" t="s">
        <v>10290</v>
      </c>
      <c r="AA505" t="s">
        <v>10291</v>
      </c>
      <c r="AB505" t="s">
        <v>74</v>
      </c>
      <c r="AC505" t="s">
        <v>74</v>
      </c>
      <c r="AD505" t="s">
        <v>74</v>
      </c>
      <c r="AE505" t="s">
        <v>74</v>
      </c>
      <c r="AF505" t="s">
        <v>74</v>
      </c>
      <c r="AG505">
        <v>12</v>
      </c>
      <c r="AH505">
        <v>2</v>
      </c>
      <c r="AI505">
        <v>2</v>
      </c>
      <c r="AJ505">
        <v>0</v>
      </c>
      <c r="AK505">
        <v>6</v>
      </c>
      <c r="AL505" t="s">
        <v>197</v>
      </c>
      <c r="AM505" t="s">
        <v>198</v>
      </c>
      <c r="AN505" t="s">
        <v>199</v>
      </c>
      <c r="AO505" t="s">
        <v>159</v>
      </c>
      <c r="AP505" t="s">
        <v>74</v>
      </c>
      <c r="AQ505" t="s">
        <v>10292</v>
      </c>
      <c r="AR505" t="s">
        <v>161</v>
      </c>
      <c r="AS505" t="s">
        <v>74</v>
      </c>
      <c r="AT505" t="s">
        <v>74</v>
      </c>
      <c r="AU505">
        <v>2012</v>
      </c>
      <c r="AV505">
        <v>7654</v>
      </c>
      <c r="AW505" t="s">
        <v>74</v>
      </c>
      <c r="AX505" t="s">
        <v>74</v>
      </c>
      <c r="AY505" t="s">
        <v>74</v>
      </c>
      <c r="AZ505" t="s">
        <v>74</v>
      </c>
      <c r="BA505" t="s">
        <v>74</v>
      </c>
      <c r="BB505">
        <v>99</v>
      </c>
      <c r="BC505">
        <v>108</v>
      </c>
      <c r="BD505" t="s">
        <v>74</v>
      </c>
      <c r="BE505" t="s">
        <v>74</v>
      </c>
      <c r="BF505" t="s">
        <v>74</v>
      </c>
      <c r="BG505" t="s">
        <v>74</v>
      </c>
      <c r="BH505" t="s">
        <v>74</v>
      </c>
      <c r="BI505">
        <v>10</v>
      </c>
      <c r="BJ505" t="s">
        <v>1399</v>
      </c>
      <c r="BK505" t="s">
        <v>203</v>
      </c>
      <c r="BL505" t="s">
        <v>103</v>
      </c>
      <c r="BM505" t="s">
        <v>10293</v>
      </c>
      <c r="BN505" t="s">
        <v>74</v>
      </c>
      <c r="BO505" t="s">
        <v>74</v>
      </c>
      <c r="BP505" t="s">
        <v>74</v>
      </c>
      <c r="BQ505" t="s">
        <v>74</v>
      </c>
      <c r="BR505" t="s">
        <v>106</v>
      </c>
      <c r="BS505" t="s">
        <v>10294</v>
      </c>
      <c r="BT505" t="str">
        <f>HYPERLINK("https%3A%2F%2Fwww.webofscience.com%2Fwos%2Fwoscc%2Ffull-record%2FWOS:000340584900011","View Full Record in Web of Science")</f>
        <v>View Full Record in Web of Science</v>
      </c>
    </row>
    <row r="506" spans="1:72" x14ac:dyDescent="0.25">
      <c r="A506" t="s">
        <v>108</v>
      </c>
      <c r="B506" t="s">
        <v>10295</v>
      </c>
      <c r="C506" t="s">
        <v>74</v>
      </c>
      <c r="D506" t="s">
        <v>74</v>
      </c>
      <c r="E506" t="s">
        <v>10296</v>
      </c>
      <c r="F506" t="s">
        <v>10297</v>
      </c>
      <c r="G506" t="s">
        <v>74</v>
      </c>
      <c r="H506" t="s">
        <v>74</v>
      </c>
      <c r="I506" t="s">
        <v>10298</v>
      </c>
      <c r="J506" t="s">
        <v>10299</v>
      </c>
      <c r="K506" t="s">
        <v>5509</v>
      </c>
      <c r="L506" t="s">
        <v>74</v>
      </c>
      <c r="M506" t="s">
        <v>78</v>
      </c>
      <c r="N506" t="s">
        <v>115</v>
      </c>
      <c r="O506" t="s">
        <v>10300</v>
      </c>
      <c r="P506" t="s">
        <v>10301</v>
      </c>
      <c r="Q506" t="s">
        <v>10302</v>
      </c>
      <c r="R506" t="s">
        <v>5505</v>
      </c>
      <c r="S506" t="s">
        <v>74</v>
      </c>
      <c r="T506" t="s">
        <v>74</v>
      </c>
      <c r="U506" t="s">
        <v>74</v>
      </c>
      <c r="V506" t="s">
        <v>10303</v>
      </c>
      <c r="W506" t="s">
        <v>10304</v>
      </c>
      <c r="X506" t="s">
        <v>10305</v>
      </c>
      <c r="Y506" t="s">
        <v>10306</v>
      </c>
      <c r="Z506" t="s">
        <v>10307</v>
      </c>
      <c r="AA506" t="s">
        <v>10308</v>
      </c>
      <c r="AB506" t="s">
        <v>10309</v>
      </c>
      <c r="AC506" t="s">
        <v>10310</v>
      </c>
      <c r="AD506" t="s">
        <v>10311</v>
      </c>
      <c r="AE506" t="s">
        <v>10312</v>
      </c>
      <c r="AF506" t="s">
        <v>74</v>
      </c>
      <c r="AG506">
        <v>24</v>
      </c>
      <c r="AH506">
        <v>5</v>
      </c>
      <c r="AI506">
        <v>6</v>
      </c>
      <c r="AJ506">
        <v>0</v>
      </c>
      <c r="AK506">
        <v>3</v>
      </c>
      <c r="AL506" t="s">
        <v>5523</v>
      </c>
      <c r="AM506" t="s">
        <v>5524</v>
      </c>
      <c r="AN506" t="s">
        <v>5525</v>
      </c>
      <c r="AO506" t="s">
        <v>5526</v>
      </c>
      <c r="AP506" t="s">
        <v>5527</v>
      </c>
      <c r="AQ506" t="s">
        <v>74</v>
      </c>
      <c r="AR506" t="s">
        <v>5529</v>
      </c>
      <c r="AS506" t="s">
        <v>74</v>
      </c>
      <c r="AT506" t="s">
        <v>74</v>
      </c>
      <c r="AU506">
        <v>2015</v>
      </c>
      <c r="AV506" t="s">
        <v>74</v>
      </c>
      <c r="AW506" t="s">
        <v>74</v>
      </c>
      <c r="AX506" t="s">
        <v>74</v>
      </c>
      <c r="AY506" t="s">
        <v>74</v>
      </c>
      <c r="AZ506" t="s">
        <v>74</v>
      </c>
      <c r="BA506" t="s">
        <v>74</v>
      </c>
      <c r="BB506">
        <v>1896</v>
      </c>
      <c r="BC506">
        <v>1902</v>
      </c>
      <c r="BD506" t="s">
        <v>74</v>
      </c>
      <c r="BE506" t="s">
        <v>74</v>
      </c>
      <c r="BF506" t="s">
        <v>74</v>
      </c>
      <c r="BG506" t="s">
        <v>74</v>
      </c>
      <c r="BH506" t="s">
        <v>74</v>
      </c>
      <c r="BI506">
        <v>7</v>
      </c>
      <c r="BJ506" t="s">
        <v>952</v>
      </c>
      <c r="BK506" t="s">
        <v>203</v>
      </c>
      <c r="BL506" t="s">
        <v>953</v>
      </c>
      <c r="BM506" t="s">
        <v>10313</v>
      </c>
      <c r="BN506" t="s">
        <v>74</v>
      </c>
      <c r="BO506" t="s">
        <v>74</v>
      </c>
      <c r="BP506" t="s">
        <v>74</v>
      </c>
      <c r="BQ506" t="s">
        <v>74</v>
      </c>
      <c r="BR506" t="s">
        <v>106</v>
      </c>
      <c r="BS506" t="s">
        <v>10314</v>
      </c>
      <c r="BT506" t="str">
        <f>HYPERLINK("https%3A%2F%2Fwww.webofscience.com%2Fwos%2Fwoscc%2Ffull-record%2FWOS:000485625501130","View Full Record in Web of Science")</f>
        <v>View Full Record in Web of Science</v>
      </c>
    </row>
    <row r="507" spans="1:72" x14ac:dyDescent="0.25">
      <c r="A507" t="s">
        <v>72</v>
      </c>
      <c r="B507" t="s">
        <v>10315</v>
      </c>
      <c r="C507" t="s">
        <v>74</v>
      </c>
      <c r="D507" t="s">
        <v>74</v>
      </c>
      <c r="E507" t="s">
        <v>74</v>
      </c>
      <c r="F507" t="s">
        <v>10316</v>
      </c>
      <c r="G507" t="s">
        <v>74</v>
      </c>
      <c r="H507" t="s">
        <v>74</v>
      </c>
      <c r="I507" t="s">
        <v>10317</v>
      </c>
      <c r="J507" t="s">
        <v>10318</v>
      </c>
      <c r="K507" t="s">
        <v>74</v>
      </c>
      <c r="L507" t="s">
        <v>74</v>
      </c>
      <c r="M507" t="s">
        <v>78</v>
      </c>
      <c r="N507" t="s">
        <v>79</v>
      </c>
      <c r="O507" t="s">
        <v>74</v>
      </c>
      <c r="P507" t="s">
        <v>74</v>
      </c>
      <c r="Q507" t="s">
        <v>74</v>
      </c>
      <c r="R507" t="s">
        <v>74</v>
      </c>
      <c r="S507" t="s">
        <v>74</v>
      </c>
      <c r="T507" t="s">
        <v>10319</v>
      </c>
      <c r="U507" t="s">
        <v>10320</v>
      </c>
      <c r="V507" t="s">
        <v>10321</v>
      </c>
      <c r="W507" t="s">
        <v>10322</v>
      </c>
      <c r="X507" t="s">
        <v>10323</v>
      </c>
      <c r="Y507" t="s">
        <v>10324</v>
      </c>
      <c r="Z507" t="s">
        <v>10325</v>
      </c>
      <c r="AA507" t="s">
        <v>10326</v>
      </c>
      <c r="AB507" t="s">
        <v>10327</v>
      </c>
      <c r="AC507" t="s">
        <v>10328</v>
      </c>
      <c r="AD507" t="s">
        <v>10329</v>
      </c>
      <c r="AE507" t="s">
        <v>10330</v>
      </c>
      <c r="AF507" t="s">
        <v>74</v>
      </c>
      <c r="AG507">
        <v>45</v>
      </c>
      <c r="AH507">
        <v>0</v>
      </c>
      <c r="AI507">
        <v>0</v>
      </c>
      <c r="AJ507">
        <v>4</v>
      </c>
      <c r="AK507">
        <v>6</v>
      </c>
      <c r="AL507" t="s">
        <v>4837</v>
      </c>
      <c r="AM507" t="s">
        <v>4838</v>
      </c>
      <c r="AN507" t="s">
        <v>4839</v>
      </c>
      <c r="AO507" t="s">
        <v>10331</v>
      </c>
      <c r="AP507" t="s">
        <v>10332</v>
      </c>
      <c r="AQ507" t="s">
        <v>74</v>
      </c>
      <c r="AR507" t="s">
        <v>10333</v>
      </c>
      <c r="AS507" t="s">
        <v>10334</v>
      </c>
      <c r="AT507" t="s">
        <v>74</v>
      </c>
      <c r="AU507">
        <v>2026</v>
      </c>
      <c r="AV507">
        <v>86</v>
      </c>
      <c r="AW507">
        <v>3</v>
      </c>
      <c r="AX507" t="s">
        <v>74</v>
      </c>
      <c r="AY507" t="s">
        <v>74</v>
      </c>
      <c r="AZ507" t="s">
        <v>74</v>
      </c>
      <c r="BA507" t="s">
        <v>74</v>
      </c>
      <c r="BB507" t="s">
        <v>74</v>
      </c>
      <c r="BC507" t="s">
        <v>74</v>
      </c>
      <c r="BD507">
        <v>73155</v>
      </c>
      <c r="BE507" t="s">
        <v>10335</v>
      </c>
      <c r="BF507" t="str">
        <f>HYPERLINK("http://dx.doi.org/10.32604/cmc.2025.073155","http://dx.doi.org/10.32604/cmc.2025.073155")</f>
        <v>http://dx.doi.org/10.32604/cmc.2025.073155</v>
      </c>
      <c r="BG507" t="s">
        <v>74</v>
      </c>
      <c r="BH507" t="s">
        <v>74</v>
      </c>
      <c r="BI507">
        <v>21</v>
      </c>
      <c r="BJ507" t="s">
        <v>10336</v>
      </c>
      <c r="BK507" t="s">
        <v>902</v>
      </c>
      <c r="BL507" t="s">
        <v>10337</v>
      </c>
      <c r="BM507" t="s">
        <v>10338</v>
      </c>
      <c r="BN507" t="s">
        <v>74</v>
      </c>
      <c r="BO507" t="s">
        <v>372</v>
      </c>
      <c r="BP507" t="s">
        <v>74</v>
      </c>
      <c r="BQ507" t="s">
        <v>74</v>
      </c>
      <c r="BR507" t="s">
        <v>106</v>
      </c>
      <c r="BS507" t="s">
        <v>10339</v>
      </c>
      <c r="BT507" t="str">
        <f>HYPERLINK("https%3A%2F%2Fwww.webofscience.com%2Fwos%2Fwoscc%2Ffull-record%2FWOS:001672788000001","View Full Record in Web of Science")</f>
        <v>View Full Record in Web of Science</v>
      </c>
    </row>
    <row r="508" spans="1:72" x14ac:dyDescent="0.25">
      <c r="A508" t="s">
        <v>72</v>
      </c>
      <c r="B508" t="s">
        <v>10340</v>
      </c>
      <c r="C508" t="s">
        <v>74</v>
      </c>
      <c r="D508" t="s">
        <v>74</v>
      </c>
      <c r="E508" t="s">
        <v>74</v>
      </c>
      <c r="F508" t="s">
        <v>10341</v>
      </c>
      <c r="G508" t="s">
        <v>74</v>
      </c>
      <c r="H508" t="s">
        <v>74</v>
      </c>
      <c r="I508" t="s">
        <v>10342</v>
      </c>
      <c r="J508" t="s">
        <v>10343</v>
      </c>
      <c r="K508" t="s">
        <v>74</v>
      </c>
      <c r="L508" t="s">
        <v>74</v>
      </c>
      <c r="M508" t="s">
        <v>78</v>
      </c>
      <c r="N508" t="s">
        <v>79</v>
      </c>
      <c r="O508" t="s">
        <v>74</v>
      </c>
      <c r="P508" t="s">
        <v>74</v>
      </c>
      <c r="Q508" t="s">
        <v>74</v>
      </c>
      <c r="R508" t="s">
        <v>74</v>
      </c>
      <c r="S508" t="s">
        <v>74</v>
      </c>
      <c r="T508" t="s">
        <v>10344</v>
      </c>
      <c r="U508" t="s">
        <v>10345</v>
      </c>
      <c r="V508" t="s">
        <v>10346</v>
      </c>
      <c r="W508" t="s">
        <v>10347</v>
      </c>
      <c r="X508" t="s">
        <v>10348</v>
      </c>
      <c r="Y508" t="s">
        <v>10349</v>
      </c>
      <c r="Z508" t="s">
        <v>10350</v>
      </c>
      <c r="AA508" t="s">
        <v>10351</v>
      </c>
      <c r="AB508" t="s">
        <v>10352</v>
      </c>
      <c r="AC508" t="s">
        <v>10353</v>
      </c>
      <c r="AD508" t="s">
        <v>10354</v>
      </c>
      <c r="AE508" t="s">
        <v>74</v>
      </c>
      <c r="AF508" t="s">
        <v>74</v>
      </c>
      <c r="AG508">
        <v>30</v>
      </c>
      <c r="AH508">
        <v>46</v>
      </c>
      <c r="AI508">
        <v>57</v>
      </c>
      <c r="AJ508">
        <v>0</v>
      </c>
      <c r="AK508">
        <v>25</v>
      </c>
      <c r="AL508" t="s">
        <v>631</v>
      </c>
      <c r="AM508" t="s">
        <v>632</v>
      </c>
      <c r="AN508" t="s">
        <v>633</v>
      </c>
      <c r="AO508" t="s">
        <v>10355</v>
      </c>
      <c r="AP508" t="s">
        <v>10356</v>
      </c>
      <c r="AQ508" t="s">
        <v>74</v>
      </c>
      <c r="AR508" t="s">
        <v>10357</v>
      </c>
      <c r="AS508" t="s">
        <v>10358</v>
      </c>
      <c r="AT508" t="s">
        <v>368</v>
      </c>
      <c r="AU508">
        <v>2020</v>
      </c>
      <c r="AV508">
        <v>23</v>
      </c>
      <c r="AW508">
        <v>3</v>
      </c>
      <c r="AX508" t="s">
        <v>74</v>
      </c>
      <c r="AY508" t="s">
        <v>74</v>
      </c>
      <c r="AZ508" t="s">
        <v>74</v>
      </c>
      <c r="BA508" t="s">
        <v>74</v>
      </c>
      <c r="BB508" t="s">
        <v>74</v>
      </c>
      <c r="BC508" t="s">
        <v>74</v>
      </c>
      <c r="BD508" t="s">
        <v>10359</v>
      </c>
      <c r="BE508" t="s">
        <v>10360</v>
      </c>
      <c r="BF508" t="str">
        <f>HYPERLINK("http://dx.doi.org/10.1111/desc.12915","http://dx.doi.org/10.1111/desc.12915")</f>
        <v>http://dx.doi.org/10.1111/desc.12915</v>
      </c>
      <c r="BG508" t="s">
        <v>74</v>
      </c>
      <c r="BH508" t="s">
        <v>74</v>
      </c>
      <c r="BI508">
        <v>12</v>
      </c>
      <c r="BJ508" t="s">
        <v>10361</v>
      </c>
      <c r="BK508" t="s">
        <v>250</v>
      </c>
      <c r="BL508" t="s">
        <v>251</v>
      </c>
      <c r="BM508" t="s">
        <v>10362</v>
      </c>
      <c r="BN508">
        <v>31618505</v>
      </c>
      <c r="BO508" t="s">
        <v>1331</v>
      </c>
      <c r="BP508" t="s">
        <v>74</v>
      </c>
      <c r="BQ508" t="s">
        <v>74</v>
      </c>
      <c r="BR508" t="s">
        <v>106</v>
      </c>
      <c r="BS508" t="s">
        <v>10363</v>
      </c>
      <c r="BT508" t="str">
        <f>HYPERLINK("https%3A%2F%2Fwww.webofscience.com%2Fwos%2Fwoscc%2Ffull-record%2FWOS:000526985500006","View Full Record in Web of Science")</f>
        <v>View Full Record in Web of Science</v>
      </c>
    </row>
    <row r="509" spans="1:72" x14ac:dyDescent="0.25">
      <c r="A509" t="s">
        <v>72</v>
      </c>
      <c r="B509" t="s">
        <v>10364</v>
      </c>
      <c r="C509" t="s">
        <v>74</v>
      </c>
      <c r="D509" t="s">
        <v>74</v>
      </c>
      <c r="E509" t="s">
        <v>74</v>
      </c>
      <c r="F509" t="s">
        <v>10365</v>
      </c>
      <c r="G509" t="s">
        <v>74</v>
      </c>
      <c r="H509" t="s">
        <v>74</v>
      </c>
      <c r="I509" t="s">
        <v>10366</v>
      </c>
      <c r="J509" t="s">
        <v>10367</v>
      </c>
      <c r="K509" t="s">
        <v>74</v>
      </c>
      <c r="L509" t="s">
        <v>74</v>
      </c>
      <c r="M509" t="s">
        <v>78</v>
      </c>
      <c r="N509" t="s">
        <v>79</v>
      </c>
      <c r="O509" t="s">
        <v>74</v>
      </c>
      <c r="P509" t="s">
        <v>74</v>
      </c>
      <c r="Q509" t="s">
        <v>74</v>
      </c>
      <c r="R509" t="s">
        <v>74</v>
      </c>
      <c r="S509" t="s">
        <v>74</v>
      </c>
      <c r="T509" t="s">
        <v>10368</v>
      </c>
      <c r="U509" t="s">
        <v>2505</v>
      </c>
      <c r="V509" t="s">
        <v>10369</v>
      </c>
      <c r="W509" t="s">
        <v>10370</v>
      </c>
      <c r="X509" t="s">
        <v>10371</v>
      </c>
      <c r="Y509" t="s">
        <v>10372</v>
      </c>
      <c r="Z509" t="s">
        <v>10373</v>
      </c>
      <c r="AA509" t="s">
        <v>10374</v>
      </c>
      <c r="AB509" t="s">
        <v>10375</v>
      </c>
      <c r="AC509" t="s">
        <v>10376</v>
      </c>
      <c r="AD509" t="s">
        <v>10377</v>
      </c>
      <c r="AE509" t="s">
        <v>10378</v>
      </c>
      <c r="AF509" t="s">
        <v>74</v>
      </c>
      <c r="AG509">
        <v>25</v>
      </c>
      <c r="AH509">
        <v>2</v>
      </c>
      <c r="AI509">
        <v>2</v>
      </c>
      <c r="AJ509">
        <v>0</v>
      </c>
      <c r="AK509">
        <v>7</v>
      </c>
      <c r="AL509" t="s">
        <v>2579</v>
      </c>
      <c r="AM509" t="s">
        <v>737</v>
      </c>
      <c r="AN509" t="s">
        <v>2580</v>
      </c>
      <c r="AO509" t="s">
        <v>10379</v>
      </c>
      <c r="AP509" t="s">
        <v>10380</v>
      </c>
      <c r="AQ509" t="s">
        <v>74</v>
      </c>
      <c r="AR509" t="s">
        <v>10381</v>
      </c>
      <c r="AS509" t="s">
        <v>10382</v>
      </c>
      <c r="AT509" t="s">
        <v>1251</v>
      </c>
      <c r="AU509">
        <v>2011</v>
      </c>
      <c r="AV509">
        <v>19</v>
      </c>
      <c r="AW509">
        <v>2</v>
      </c>
      <c r="AX509" t="s">
        <v>74</v>
      </c>
      <c r="AY509" t="s">
        <v>74</v>
      </c>
      <c r="AZ509" t="s">
        <v>74</v>
      </c>
      <c r="BA509" t="s">
        <v>74</v>
      </c>
      <c r="BB509">
        <v>395</v>
      </c>
      <c r="BC509">
        <v>404</v>
      </c>
      <c r="BD509" t="s">
        <v>74</v>
      </c>
      <c r="BE509" t="s">
        <v>10383</v>
      </c>
      <c r="BF509" t="str">
        <f>HYPERLINK("http://dx.doi.org/10.1093/jigpal/jzq036","http://dx.doi.org/10.1093/jigpal/jzq036")</f>
        <v>http://dx.doi.org/10.1093/jigpal/jzq036</v>
      </c>
      <c r="BG509" t="s">
        <v>74</v>
      </c>
      <c r="BH509" t="s">
        <v>74</v>
      </c>
      <c r="BI509">
        <v>10</v>
      </c>
      <c r="BJ509" t="s">
        <v>10384</v>
      </c>
      <c r="BK509" t="s">
        <v>902</v>
      </c>
      <c r="BL509" t="s">
        <v>3918</v>
      </c>
      <c r="BM509" t="s">
        <v>10385</v>
      </c>
      <c r="BN509" t="s">
        <v>74</v>
      </c>
      <c r="BO509" t="s">
        <v>346</v>
      </c>
      <c r="BP509" t="s">
        <v>74</v>
      </c>
      <c r="BQ509" t="s">
        <v>74</v>
      </c>
      <c r="BR509" t="s">
        <v>106</v>
      </c>
      <c r="BS509" t="s">
        <v>10386</v>
      </c>
      <c r="BT509" t="str">
        <f>HYPERLINK("https%3A%2F%2Fwww.webofscience.com%2Fwos%2Fwoscc%2Ffull-record%2FWOS:000289313000010","View Full Record in Web of Science")</f>
        <v>View Full Record in Web of Science</v>
      </c>
    </row>
    <row r="510" spans="1:72" x14ac:dyDescent="0.25">
      <c r="A510" t="s">
        <v>72</v>
      </c>
      <c r="B510" t="s">
        <v>10387</v>
      </c>
      <c r="C510" t="s">
        <v>74</v>
      </c>
      <c r="D510" t="s">
        <v>74</v>
      </c>
      <c r="E510" t="s">
        <v>74</v>
      </c>
      <c r="F510" t="s">
        <v>10388</v>
      </c>
      <c r="G510" t="s">
        <v>74</v>
      </c>
      <c r="H510" t="s">
        <v>74</v>
      </c>
      <c r="I510" t="s">
        <v>10389</v>
      </c>
      <c r="J510" t="s">
        <v>10390</v>
      </c>
      <c r="K510" t="s">
        <v>74</v>
      </c>
      <c r="L510" t="s">
        <v>74</v>
      </c>
      <c r="M510" t="s">
        <v>78</v>
      </c>
      <c r="N510" t="s">
        <v>79</v>
      </c>
      <c r="O510" t="s">
        <v>74</v>
      </c>
      <c r="P510" t="s">
        <v>74</v>
      </c>
      <c r="Q510" t="s">
        <v>74</v>
      </c>
      <c r="R510" t="s">
        <v>74</v>
      </c>
      <c r="S510" t="s">
        <v>74</v>
      </c>
      <c r="T510" t="s">
        <v>10391</v>
      </c>
      <c r="U510" t="s">
        <v>74</v>
      </c>
      <c r="V510" t="s">
        <v>10392</v>
      </c>
      <c r="W510" t="s">
        <v>10393</v>
      </c>
      <c r="X510" t="s">
        <v>1828</v>
      </c>
      <c r="Y510" t="s">
        <v>10394</v>
      </c>
      <c r="Z510" t="s">
        <v>10395</v>
      </c>
      <c r="AA510" t="s">
        <v>74</v>
      </c>
      <c r="AB510" t="s">
        <v>74</v>
      </c>
      <c r="AC510" t="s">
        <v>74</v>
      </c>
      <c r="AD510" t="s">
        <v>74</v>
      </c>
      <c r="AE510" t="s">
        <v>74</v>
      </c>
      <c r="AF510" t="s">
        <v>74</v>
      </c>
      <c r="AG510">
        <v>33</v>
      </c>
      <c r="AH510">
        <v>11</v>
      </c>
      <c r="AI510">
        <v>17</v>
      </c>
      <c r="AJ510">
        <v>0</v>
      </c>
      <c r="AK510">
        <v>17</v>
      </c>
      <c r="AL510" t="s">
        <v>1136</v>
      </c>
      <c r="AM510" t="s">
        <v>1137</v>
      </c>
      <c r="AN510" t="s">
        <v>1138</v>
      </c>
      <c r="AO510" t="s">
        <v>10396</v>
      </c>
      <c r="AP510" t="s">
        <v>74</v>
      </c>
      <c r="AQ510" t="s">
        <v>74</v>
      </c>
      <c r="AR510" t="s">
        <v>10397</v>
      </c>
      <c r="AS510" t="s">
        <v>10398</v>
      </c>
      <c r="AT510" t="s">
        <v>1950</v>
      </c>
      <c r="AU510">
        <v>2009</v>
      </c>
      <c r="AV510">
        <v>17</v>
      </c>
      <c r="AW510">
        <v>1</v>
      </c>
      <c r="AX510" t="s">
        <v>74</v>
      </c>
      <c r="AY510" t="s">
        <v>74</v>
      </c>
      <c r="AZ510" t="s">
        <v>74</v>
      </c>
      <c r="BA510" t="s">
        <v>74</v>
      </c>
      <c r="BB510">
        <v>39</v>
      </c>
      <c r="BC510">
        <v>55</v>
      </c>
      <c r="BD510" t="s">
        <v>74</v>
      </c>
      <c r="BE510" t="s">
        <v>10399</v>
      </c>
      <c r="BF510" t="str">
        <f>HYPERLINK("http://dx.doi.org/10.1177/1069072708325740","http://dx.doi.org/10.1177/1069072708325740")</f>
        <v>http://dx.doi.org/10.1177/1069072708325740</v>
      </c>
      <c r="BG510" t="s">
        <v>74</v>
      </c>
      <c r="BH510" t="s">
        <v>74</v>
      </c>
      <c r="BI510">
        <v>17</v>
      </c>
      <c r="BJ510" t="s">
        <v>10400</v>
      </c>
      <c r="BK510" t="s">
        <v>250</v>
      </c>
      <c r="BL510" t="s">
        <v>251</v>
      </c>
      <c r="BM510" t="s">
        <v>10401</v>
      </c>
      <c r="BN510" t="s">
        <v>74</v>
      </c>
      <c r="BO510" t="s">
        <v>74</v>
      </c>
      <c r="BP510" t="s">
        <v>74</v>
      </c>
      <c r="BQ510" t="s">
        <v>74</v>
      </c>
      <c r="BR510" t="s">
        <v>106</v>
      </c>
      <c r="BS510" t="s">
        <v>10402</v>
      </c>
      <c r="BT510" t="str">
        <f>HYPERLINK("https%3A%2F%2Fwww.webofscience.com%2Fwos%2Fwoscc%2Ffull-record%2FWOS:000262039900002","View Full Record in Web of Science")</f>
        <v>View Full Record in Web of Science</v>
      </c>
    </row>
    <row r="511" spans="1:72" x14ac:dyDescent="0.25">
      <c r="A511" t="s">
        <v>72</v>
      </c>
      <c r="B511" t="s">
        <v>10403</v>
      </c>
      <c r="C511" t="s">
        <v>74</v>
      </c>
      <c r="D511" t="s">
        <v>74</v>
      </c>
      <c r="E511" t="s">
        <v>74</v>
      </c>
      <c r="F511" t="s">
        <v>10404</v>
      </c>
      <c r="G511" t="s">
        <v>74</v>
      </c>
      <c r="H511" t="s">
        <v>74</v>
      </c>
      <c r="I511" t="s">
        <v>10405</v>
      </c>
      <c r="J511" t="s">
        <v>1172</v>
      </c>
      <c r="K511" t="s">
        <v>74</v>
      </c>
      <c r="L511" t="s">
        <v>74</v>
      </c>
      <c r="M511" t="s">
        <v>78</v>
      </c>
      <c r="N511" t="s">
        <v>79</v>
      </c>
      <c r="O511" t="s">
        <v>74</v>
      </c>
      <c r="P511" t="s">
        <v>74</v>
      </c>
      <c r="Q511" t="s">
        <v>74</v>
      </c>
      <c r="R511" t="s">
        <v>74</v>
      </c>
      <c r="S511" t="s">
        <v>74</v>
      </c>
      <c r="T511" t="s">
        <v>10406</v>
      </c>
      <c r="U511" t="s">
        <v>74</v>
      </c>
      <c r="V511" t="s">
        <v>10407</v>
      </c>
      <c r="W511" t="s">
        <v>10408</v>
      </c>
      <c r="X511" t="s">
        <v>10409</v>
      </c>
      <c r="Y511" t="s">
        <v>74</v>
      </c>
      <c r="Z511" t="s">
        <v>10410</v>
      </c>
      <c r="AA511" t="s">
        <v>74</v>
      </c>
      <c r="AB511" t="s">
        <v>74</v>
      </c>
      <c r="AC511" t="s">
        <v>10411</v>
      </c>
      <c r="AD511" t="s">
        <v>10412</v>
      </c>
      <c r="AE511" t="s">
        <v>10413</v>
      </c>
      <c r="AF511" t="s">
        <v>74</v>
      </c>
      <c r="AG511">
        <v>19</v>
      </c>
      <c r="AH511">
        <v>10</v>
      </c>
      <c r="AI511">
        <v>10</v>
      </c>
      <c r="AJ511">
        <v>0</v>
      </c>
      <c r="AK511">
        <v>8</v>
      </c>
      <c r="AL511" t="s">
        <v>1184</v>
      </c>
      <c r="AM511" t="s">
        <v>1185</v>
      </c>
      <c r="AN511" t="s">
        <v>1186</v>
      </c>
      <c r="AO511" t="s">
        <v>1187</v>
      </c>
      <c r="AP511" t="s">
        <v>74</v>
      </c>
      <c r="AQ511" t="s">
        <v>74</v>
      </c>
      <c r="AR511" t="s">
        <v>1188</v>
      </c>
      <c r="AS511" t="s">
        <v>1189</v>
      </c>
      <c r="AT511" t="s">
        <v>74</v>
      </c>
      <c r="AU511">
        <v>2010</v>
      </c>
      <c r="AV511">
        <v>16</v>
      </c>
      <c r="AW511">
        <v>16</v>
      </c>
      <c r="AX511" t="s">
        <v>74</v>
      </c>
      <c r="AY511" t="s">
        <v>74</v>
      </c>
      <c r="AZ511" t="s">
        <v>74</v>
      </c>
      <c r="BA511" t="s">
        <v>74</v>
      </c>
      <c r="BB511">
        <v>2196</v>
      </c>
      <c r="BC511">
        <v>2213</v>
      </c>
      <c r="BD511" t="s">
        <v>74</v>
      </c>
      <c r="BE511" t="s">
        <v>74</v>
      </c>
      <c r="BF511" t="s">
        <v>74</v>
      </c>
      <c r="BG511" t="s">
        <v>74</v>
      </c>
      <c r="BH511" t="s">
        <v>74</v>
      </c>
      <c r="BI511">
        <v>18</v>
      </c>
      <c r="BJ511" t="s">
        <v>1190</v>
      </c>
      <c r="BK511" t="s">
        <v>902</v>
      </c>
      <c r="BL511" t="s">
        <v>103</v>
      </c>
      <c r="BM511" t="s">
        <v>10414</v>
      </c>
      <c r="BN511" t="s">
        <v>74</v>
      </c>
      <c r="BO511" t="s">
        <v>74</v>
      </c>
      <c r="BP511" t="s">
        <v>74</v>
      </c>
      <c r="BQ511" t="s">
        <v>74</v>
      </c>
      <c r="BR511" t="s">
        <v>106</v>
      </c>
      <c r="BS511" t="s">
        <v>10415</v>
      </c>
      <c r="BT511" t="str">
        <f>HYPERLINK("https%3A%2F%2Fwww.webofscience.com%2Fwos%2Fwoscc%2Ffull-record%2FWOS:000289716600003","View Full Record in Web of Science")</f>
        <v>View Full Record in Web of Science</v>
      </c>
    </row>
    <row r="512" spans="1:72" x14ac:dyDescent="0.25">
      <c r="A512" t="s">
        <v>108</v>
      </c>
      <c r="B512" t="s">
        <v>10416</v>
      </c>
      <c r="C512" t="s">
        <v>74</v>
      </c>
      <c r="D512" t="s">
        <v>10417</v>
      </c>
      <c r="E512" t="s">
        <v>74</v>
      </c>
      <c r="F512" t="s">
        <v>10418</v>
      </c>
      <c r="G512" t="s">
        <v>74</v>
      </c>
      <c r="H512" t="s">
        <v>74</v>
      </c>
      <c r="I512" t="s">
        <v>10419</v>
      </c>
      <c r="J512" t="s">
        <v>10420</v>
      </c>
      <c r="K512" t="s">
        <v>10421</v>
      </c>
      <c r="L512" t="s">
        <v>74</v>
      </c>
      <c r="M512" t="s">
        <v>78</v>
      </c>
      <c r="N512" t="s">
        <v>115</v>
      </c>
      <c r="O512" t="s">
        <v>10422</v>
      </c>
      <c r="P512" t="s">
        <v>10423</v>
      </c>
      <c r="Q512" t="s">
        <v>6747</v>
      </c>
      <c r="R512" t="s">
        <v>74</v>
      </c>
      <c r="S512" t="s">
        <v>74</v>
      </c>
      <c r="T512" t="s">
        <v>74</v>
      </c>
      <c r="U512" t="s">
        <v>74</v>
      </c>
      <c r="V512" t="s">
        <v>10424</v>
      </c>
      <c r="W512" t="s">
        <v>10425</v>
      </c>
      <c r="X512" t="s">
        <v>10426</v>
      </c>
      <c r="Y512" t="s">
        <v>10427</v>
      </c>
      <c r="Z512" t="s">
        <v>10428</v>
      </c>
      <c r="AA512" t="s">
        <v>10429</v>
      </c>
      <c r="AB512" t="s">
        <v>10430</v>
      </c>
      <c r="AC512" t="s">
        <v>74</v>
      </c>
      <c r="AD512" t="s">
        <v>74</v>
      </c>
      <c r="AE512" t="s">
        <v>74</v>
      </c>
      <c r="AF512" t="s">
        <v>74</v>
      </c>
      <c r="AG512">
        <v>16</v>
      </c>
      <c r="AH512">
        <v>0</v>
      </c>
      <c r="AI512">
        <v>0</v>
      </c>
      <c r="AJ512">
        <v>0</v>
      </c>
      <c r="AK512">
        <v>2</v>
      </c>
      <c r="AL512" t="s">
        <v>947</v>
      </c>
      <c r="AM512" t="s">
        <v>948</v>
      </c>
      <c r="AN512" t="s">
        <v>949</v>
      </c>
      <c r="AO512" t="s">
        <v>10431</v>
      </c>
      <c r="AP512" t="s">
        <v>74</v>
      </c>
      <c r="AQ512" t="s">
        <v>10432</v>
      </c>
      <c r="AR512" t="s">
        <v>10433</v>
      </c>
      <c r="AS512" t="s">
        <v>74</v>
      </c>
      <c r="AT512" t="s">
        <v>74</v>
      </c>
      <c r="AU512">
        <v>2008</v>
      </c>
      <c r="AV512" t="s">
        <v>74</v>
      </c>
      <c r="AW512" t="s">
        <v>74</v>
      </c>
      <c r="AX512" t="s">
        <v>74</v>
      </c>
      <c r="AY512" t="s">
        <v>74</v>
      </c>
      <c r="AZ512" t="s">
        <v>74</v>
      </c>
      <c r="BA512" t="s">
        <v>74</v>
      </c>
      <c r="BB512">
        <v>150</v>
      </c>
      <c r="BC512">
        <v>154</v>
      </c>
      <c r="BD512" t="s">
        <v>74</v>
      </c>
      <c r="BE512" t="s">
        <v>10434</v>
      </c>
      <c r="BF512" t="str">
        <f>HYPERLINK("http://dx.doi.org/10.1109/DEXA.2008.58","http://dx.doi.org/10.1109/DEXA.2008.58")</f>
        <v>http://dx.doi.org/10.1109/DEXA.2008.58</v>
      </c>
      <c r="BG512" t="s">
        <v>74</v>
      </c>
      <c r="BH512" t="s">
        <v>74</v>
      </c>
      <c r="BI512">
        <v>5</v>
      </c>
      <c r="BJ512" t="s">
        <v>10435</v>
      </c>
      <c r="BK512" t="s">
        <v>203</v>
      </c>
      <c r="BL512" t="s">
        <v>953</v>
      </c>
      <c r="BM512" t="s">
        <v>10436</v>
      </c>
      <c r="BN512" t="s">
        <v>74</v>
      </c>
      <c r="BO512" t="s">
        <v>74</v>
      </c>
      <c r="BP512" t="s">
        <v>74</v>
      </c>
      <c r="BQ512" t="s">
        <v>74</v>
      </c>
      <c r="BR512" t="s">
        <v>106</v>
      </c>
      <c r="BS512" t="s">
        <v>10437</v>
      </c>
      <c r="BT512" t="str">
        <f>HYPERLINK("https%3A%2F%2Fwww.webofscience.com%2Fwos%2Fwoscc%2Ffull-record%2FWOS:000259487400025","View Full Record in Web of Science")</f>
        <v>View Full Record in Web of Science</v>
      </c>
    </row>
    <row r="513" spans="1:72" x14ac:dyDescent="0.25">
      <c r="A513" t="s">
        <v>108</v>
      </c>
      <c r="B513" t="s">
        <v>10438</v>
      </c>
      <c r="C513" t="s">
        <v>74</v>
      </c>
      <c r="D513" t="s">
        <v>74</v>
      </c>
      <c r="E513" t="s">
        <v>273</v>
      </c>
      <c r="F513" t="s">
        <v>10439</v>
      </c>
      <c r="G513" t="s">
        <v>74</v>
      </c>
      <c r="H513" t="s">
        <v>74</v>
      </c>
      <c r="I513" t="s">
        <v>10440</v>
      </c>
      <c r="J513" t="s">
        <v>10441</v>
      </c>
      <c r="K513" t="s">
        <v>74</v>
      </c>
      <c r="L513" t="s">
        <v>74</v>
      </c>
      <c r="M513" t="s">
        <v>78</v>
      </c>
      <c r="N513" t="s">
        <v>115</v>
      </c>
      <c r="O513" t="s">
        <v>10442</v>
      </c>
      <c r="P513" t="s">
        <v>10443</v>
      </c>
      <c r="Q513" t="s">
        <v>1847</v>
      </c>
      <c r="R513" t="s">
        <v>10444</v>
      </c>
      <c r="S513" t="s">
        <v>74</v>
      </c>
      <c r="T513" t="s">
        <v>10445</v>
      </c>
      <c r="U513" t="s">
        <v>10446</v>
      </c>
      <c r="V513" t="s">
        <v>10447</v>
      </c>
      <c r="W513" t="s">
        <v>10448</v>
      </c>
      <c r="X513" t="s">
        <v>10449</v>
      </c>
      <c r="Y513" t="s">
        <v>10450</v>
      </c>
      <c r="Z513" t="s">
        <v>10451</v>
      </c>
      <c r="AA513" t="s">
        <v>10452</v>
      </c>
      <c r="AB513" t="s">
        <v>74</v>
      </c>
      <c r="AC513" t="s">
        <v>10453</v>
      </c>
      <c r="AD513" t="s">
        <v>10454</v>
      </c>
      <c r="AE513" t="s">
        <v>10455</v>
      </c>
      <c r="AF513" t="s">
        <v>74</v>
      </c>
      <c r="AG513">
        <v>37</v>
      </c>
      <c r="AH513">
        <v>23</v>
      </c>
      <c r="AI513">
        <v>24</v>
      </c>
      <c r="AJ513">
        <v>0</v>
      </c>
      <c r="AK513">
        <v>3</v>
      </c>
      <c r="AL513" t="s">
        <v>291</v>
      </c>
      <c r="AM513" t="s">
        <v>92</v>
      </c>
      <c r="AN513" t="s">
        <v>341</v>
      </c>
      <c r="AO513" t="s">
        <v>74</v>
      </c>
      <c r="AP513" t="s">
        <v>74</v>
      </c>
      <c r="AQ513" t="s">
        <v>10456</v>
      </c>
      <c r="AR513" t="s">
        <v>74</v>
      </c>
      <c r="AS513" t="s">
        <v>74</v>
      </c>
      <c r="AT513" t="s">
        <v>74</v>
      </c>
      <c r="AU513">
        <v>2019</v>
      </c>
      <c r="AV513" t="s">
        <v>74</v>
      </c>
      <c r="AW513" t="s">
        <v>74</v>
      </c>
      <c r="AX513" t="s">
        <v>74</v>
      </c>
      <c r="AY513" t="s">
        <v>74</v>
      </c>
      <c r="AZ513" t="s">
        <v>74</v>
      </c>
      <c r="BA513" t="s">
        <v>74</v>
      </c>
      <c r="BB513">
        <v>3335</v>
      </c>
      <c r="BC513">
        <v>3341</v>
      </c>
      <c r="BD513" t="s">
        <v>74</v>
      </c>
      <c r="BE513" t="s">
        <v>10457</v>
      </c>
      <c r="BF513" t="str">
        <f>HYPERLINK("http://dx.doi.org/10.1145/3308558.3313430","http://dx.doi.org/10.1145/3308558.3313430")</f>
        <v>http://dx.doi.org/10.1145/3308558.3313430</v>
      </c>
      <c r="BG513" t="s">
        <v>74</v>
      </c>
      <c r="BH513" t="s">
        <v>74</v>
      </c>
      <c r="BI513">
        <v>7</v>
      </c>
      <c r="BJ513" t="s">
        <v>925</v>
      </c>
      <c r="BK513" t="s">
        <v>203</v>
      </c>
      <c r="BL513" t="s">
        <v>103</v>
      </c>
      <c r="BM513" t="s">
        <v>10458</v>
      </c>
      <c r="BN513" t="s">
        <v>74</v>
      </c>
      <c r="BO513" t="s">
        <v>372</v>
      </c>
      <c r="BP513" t="s">
        <v>74</v>
      </c>
      <c r="BQ513" t="s">
        <v>74</v>
      </c>
      <c r="BR513" t="s">
        <v>106</v>
      </c>
      <c r="BS513" t="s">
        <v>10459</v>
      </c>
      <c r="BT513" t="str">
        <f>HYPERLINK("https%3A%2F%2Fwww.webofscience.com%2Fwos%2Fwoscc%2Ffull-record%2FWOS:000483508403058","View Full Record in Web of Science")</f>
        <v>View Full Record in Web of Science</v>
      </c>
    </row>
    <row r="514" spans="1:72" x14ac:dyDescent="0.25">
      <c r="A514" t="s">
        <v>108</v>
      </c>
      <c r="B514" t="s">
        <v>10460</v>
      </c>
      <c r="C514" t="s">
        <v>74</v>
      </c>
      <c r="D514" t="s">
        <v>10461</v>
      </c>
      <c r="E514" t="s">
        <v>74</v>
      </c>
      <c r="F514" t="s">
        <v>10462</v>
      </c>
      <c r="G514" t="s">
        <v>74</v>
      </c>
      <c r="H514" t="s">
        <v>74</v>
      </c>
      <c r="I514" t="s">
        <v>10463</v>
      </c>
      <c r="J514" t="s">
        <v>10464</v>
      </c>
      <c r="K514" t="s">
        <v>147</v>
      </c>
      <c r="L514" t="s">
        <v>74</v>
      </c>
      <c r="M514" t="s">
        <v>78</v>
      </c>
      <c r="N514" t="s">
        <v>115</v>
      </c>
      <c r="O514" t="s">
        <v>10465</v>
      </c>
      <c r="P514" t="s">
        <v>10466</v>
      </c>
      <c r="Q514" t="s">
        <v>10467</v>
      </c>
      <c r="R514" t="s">
        <v>10468</v>
      </c>
      <c r="S514" t="s">
        <v>10469</v>
      </c>
      <c r="T514" t="s">
        <v>10470</v>
      </c>
      <c r="U514" t="s">
        <v>74</v>
      </c>
      <c r="V514" t="s">
        <v>10471</v>
      </c>
      <c r="W514" t="s">
        <v>10472</v>
      </c>
      <c r="X514" t="s">
        <v>4021</v>
      </c>
      <c r="Y514" t="s">
        <v>10473</v>
      </c>
      <c r="Z514" t="s">
        <v>10474</v>
      </c>
      <c r="AA514" t="s">
        <v>10475</v>
      </c>
      <c r="AB514" t="s">
        <v>10476</v>
      </c>
      <c r="AC514" t="s">
        <v>74</v>
      </c>
      <c r="AD514" t="s">
        <v>74</v>
      </c>
      <c r="AE514" t="s">
        <v>74</v>
      </c>
      <c r="AF514" t="s">
        <v>74</v>
      </c>
      <c r="AG514">
        <v>8</v>
      </c>
      <c r="AH514">
        <v>2</v>
      </c>
      <c r="AI514">
        <v>2</v>
      </c>
      <c r="AJ514">
        <v>0</v>
      </c>
      <c r="AK514">
        <v>2</v>
      </c>
      <c r="AL514" t="s">
        <v>129</v>
      </c>
      <c r="AM514" t="s">
        <v>130</v>
      </c>
      <c r="AN514" t="s">
        <v>131</v>
      </c>
      <c r="AO514" t="s">
        <v>159</v>
      </c>
      <c r="AP514" t="s">
        <v>133</v>
      </c>
      <c r="AQ514" t="s">
        <v>10477</v>
      </c>
      <c r="AR514" t="s">
        <v>161</v>
      </c>
      <c r="AS514" t="s">
        <v>74</v>
      </c>
      <c r="AT514" t="s">
        <v>74</v>
      </c>
      <c r="AU514">
        <v>2023</v>
      </c>
      <c r="AV514">
        <v>14301</v>
      </c>
      <c r="AW514" t="s">
        <v>74</v>
      </c>
      <c r="AX514" t="s">
        <v>74</v>
      </c>
      <c r="AY514" t="s">
        <v>74</v>
      </c>
      <c r="AZ514" t="s">
        <v>74</v>
      </c>
      <c r="BA514" t="s">
        <v>74</v>
      </c>
      <c r="BB514">
        <v>340</v>
      </c>
      <c r="BC514">
        <v>347</v>
      </c>
      <c r="BD514" t="s">
        <v>74</v>
      </c>
      <c r="BE514" t="s">
        <v>10478</v>
      </c>
      <c r="BF514" t="str">
        <f>HYPERLINK("http://dx.doi.org/10.1007/978-3-031-45170-6_35","http://dx.doi.org/10.1007/978-3-031-45170-6_35")</f>
        <v>http://dx.doi.org/10.1007/978-3-031-45170-6_35</v>
      </c>
      <c r="BG514" t="s">
        <v>74</v>
      </c>
      <c r="BH514" t="s">
        <v>74</v>
      </c>
      <c r="BI514">
        <v>8</v>
      </c>
      <c r="BJ514" t="s">
        <v>10479</v>
      </c>
      <c r="BK514" t="s">
        <v>203</v>
      </c>
      <c r="BL514" t="s">
        <v>10480</v>
      </c>
      <c r="BM514" t="s">
        <v>10481</v>
      </c>
      <c r="BN514" t="s">
        <v>74</v>
      </c>
      <c r="BO514" t="s">
        <v>74</v>
      </c>
      <c r="BP514" t="s">
        <v>74</v>
      </c>
      <c r="BQ514" t="s">
        <v>74</v>
      </c>
      <c r="BR514" t="s">
        <v>106</v>
      </c>
      <c r="BS514" t="s">
        <v>10482</v>
      </c>
      <c r="BT514" t="str">
        <f>HYPERLINK("https%3A%2F%2Fwww.webofscience.com%2Fwos%2Fwoscc%2Ffull-record%2FWOS:001159598700035","View Full Record in Web of Science")</f>
        <v>View Full Record in Web of Science</v>
      </c>
    </row>
    <row r="515" spans="1:72" x14ac:dyDescent="0.25">
      <c r="A515" t="s">
        <v>72</v>
      </c>
      <c r="B515" t="s">
        <v>10483</v>
      </c>
      <c r="C515" t="s">
        <v>74</v>
      </c>
      <c r="D515" t="s">
        <v>74</v>
      </c>
      <c r="E515" t="s">
        <v>74</v>
      </c>
      <c r="F515" t="s">
        <v>10484</v>
      </c>
      <c r="G515" t="s">
        <v>74</v>
      </c>
      <c r="H515" t="s">
        <v>74</v>
      </c>
      <c r="I515" t="s">
        <v>10485</v>
      </c>
      <c r="J515" t="s">
        <v>10486</v>
      </c>
      <c r="K515" t="s">
        <v>74</v>
      </c>
      <c r="L515" t="s">
        <v>74</v>
      </c>
      <c r="M515" t="s">
        <v>78</v>
      </c>
      <c r="N515" t="s">
        <v>10487</v>
      </c>
      <c r="O515" t="s">
        <v>74</v>
      </c>
      <c r="P515" t="s">
        <v>74</v>
      </c>
      <c r="Q515" t="s">
        <v>74</v>
      </c>
      <c r="R515" t="s">
        <v>74</v>
      </c>
      <c r="S515" t="s">
        <v>74</v>
      </c>
      <c r="T515" t="s">
        <v>74</v>
      </c>
      <c r="U515" t="s">
        <v>74</v>
      </c>
      <c r="V515" t="s">
        <v>74</v>
      </c>
      <c r="W515" t="s">
        <v>10488</v>
      </c>
      <c r="X515" t="s">
        <v>10489</v>
      </c>
      <c r="Y515" t="s">
        <v>10490</v>
      </c>
      <c r="Z515" t="s">
        <v>10491</v>
      </c>
      <c r="AA515" t="s">
        <v>10492</v>
      </c>
      <c r="AB515" t="s">
        <v>10493</v>
      </c>
      <c r="AC515" t="s">
        <v>74</v>
      </c>
      <c r="AD515" t="s">
        <v>74</v>
      </c>
      <c r="AE515" t="s">
        <v>74</v>
      </c>
      <c r="AF515" t="s">
        <v>74</v>
      </c>
      <c r="AG515">
        <v>3</v>
      </c>
      <c r="AH515">
        <v>0</v>
      </c>
      <c r="AI515">
        <v>0</v>
      </c>
      <c r="AJ515">
        <v>0</v>
      </c>
      <c r="AK515">
        <v>1</v>
      </c>
      <c r="AL515" t="s">
        <v>10494</v>
      </c>
      <c r="AM515" t="s">
        <v>1320</v>
      </c>
      <c r="AN515" t="s">
        <v>10495</v>
      </c>
      <c r="AO515" t="s">
        <v>10496</v>
      </c>
      <c r="AP515" t="s">
        <v>10497</v>
      </c>
      <c r="AQ515" t="s">
        <v>74</v>
      </c>
      <c r="AR515" t="s">
        <v>10498</v>
      </c>
      <c r="AS515" t="s">
        <v>10499</v>
      </c>
      <c r="AT515" t="s">
        <v>10500</v>
      </c>
      <c r="AU515">
        <v>2016</v>
      </c>
      <c r="AV515">
        <v>353</v>
      </c>
      <c r="AW515" t="s">
        <v>74</v>
      </c>
      <c r="AX515" t="s">
        <v>74</v>
      </c>
      <c r="AY515" t="s">
        <v>74</v>
      </c>
      <c r="AZ515" t="s">
        <v>74</v>
      </c>
      <c r="BA515" t="s">
        <v>74</v>
      </c>
      <c r="BB515" t="s">
        <v>74</v>
      </c>
      <c r="BC515" t="s">
        <v>74</v>
      </c>
      <c r="BD515" t="s">
        <v>10501</v>
      </c>
      <c r="BE515" t="s">
        <v>10502</v>
      </c>
      <c r="BF515" t="str">
        <f>HYPERLINK("http://dx.doi.org/10.1136/bmj.i2591","http://dx.doi.org/10.1136/bmj.i2591")</f>
        <v>http://dx.doi.org/10.1136/bmj.i2591</v>
      </c>
      <c r="BG515" t="s">
        <v>74</v>
      </c>
      <c r="BH515" t="s">
        <v>74</v>
      </c>
      <c r="BI515">
        <v>1</v>
      </c>
      <c r="BJ515" t="s">
        <v>10503</v>
      </c>
      <c r="BK515" t="s">
        <v>902</v>
      </c>
      <c r="BL515" t="s">
        <v>10504</v>
      </c>
      <c r="BM515" t="s">
        <v>10505</v>
      </c>
      <c r="BN515">
        <v>27170167</v>
      </c>
      <c r="BO515" t="s">
        <v>74</v>
      </c>
      <c r="BP515" t="s">
        <v>74</v>
      </c>
      <c r="BQ515" t="s">
        <v>74</v>
      </c>
      <c r="BR515" t="s">
        <v>106</v>
      </c>
      <c r="BS515" t="s">
        <v>10506</v>
      </c>
      <c r="BT515" t="str">
        <f>HYPERLINK("https%3A%2F%2Fwww.webofscience.com%2Fwos%2Fwoscc%2Ffull-record%2FWOS:000376446500015","View Full Record in Web of Science")</f>
        <v>View Full Record in Web of Science</v>
      </c>
    </row>
    <row r="516" spans="1:72" x14ac:dyDescent="0.25">
      <c r="A516" t="s">
        <v>72</v>
      </c>
      <c r="B516" t="s">
        <v>10507</v>
      </c>
      <c r="C516" t="s">
        <v>74</v>
      </c>
      <c r="D516" t="s">
        <v>74</v>
      </c>
      <c r="E516" t="s">
        <v>74</v>
      </c>
      <c r="F516" t="s">
        <v>10508</v>
      </c>
      <c r="G516" t="s">
        <v>74</v>
      </c>
      <c r="H516" t="s">
        <v>74</v>
      </c>
      <c r="I516" t="s">
        <v>10509</v>
      </c>
      <c r="J516" t="s">
        <v>10510</v>
      </c>
      <c r="K516" t="s">
        <v>74</v>
      </c>
      <c r="L516" t="s">
        <v>74</v>
      </c>
      <c r="M516" t="s">
        <v>78</v>
      </c>
      <c r="N516" t="s">
        <v>79</v>
      </c>
      <c r="O516" t="s">
        <v>74</v>
      </c>
      <c r="P516" t="s">
        <v>74</v>
      </c>
      <c r="Q516" t="s">
        <v>74</v>
      </c>
      <c r="R516" t="s">
        <v>74</v>
      </c>
      <c r="S516" t="s">
        <v>74</v>
      </c>
      <c r="T516" t="s">
        <v>10511</v>
      </c>
      <c r="U516" t="s">
        <v>74</v>
      </c>
      <c r="V516" t="s">
        <v>10512</v>
      </c>
      <c r="W516" t="s">
        <v>10513</v>
      </c>
      <c r="X516" t="s">
        <v>74</v>
      </c>
      <c r="Y516" t="s">
        <v>10514</v>
      </c>
      <c r="Z516" t="s">
        <v>10515</v>
      </c>
      <c r="AA516" t="s">
        <v>10516</v>
      </c>
      <c r="AB516" t="s">
        <v>10517</v>
      </c>
      <c r="AC516" t="s">
        <v>74</v>
      </c>
      <c r="AD516" t="s">
        <v>74</v>
      </c>
      <c r="AE516" t="s">
        <v>74</v>
      </c>
      <c r="AF516" t="s">
        <v>74</v>
      </c>
      <c r="AG516">
        <v>27</v>
      </c>
      <c r="AH516">
        <v>11</v>
      </c>
      <c r="AI516">
        <v>13</v>
      </c>
      <c r="AJ516">
        <v>0</v>
      </c>
      <c r="AK516">
        <v>19</v>
      </c>
      <c r="AL516" t="s">
        <v>1272</v>
      </c>
      <c r="AM516" t="s">
        <v>1273</v>
      </c>
      <c r="AN516" t="s">
        <v>3098</v>
      </c>
      <c r="AO516" t="s">
        <v>74</v>
      </c>
      <c r="AP516" t="s">
        <v>10518</v>
      </c>
      <c r="AQ516" t="s">
        <v>74</v>
      </c>
      <c r="AR516" t="s">
        <v>10510</v>
      </c>
      <c r="AS516" t="s">
        <v>10519</v>
      </c>
      <c r="AT516" t="s">
        <v>98</v>
      </c>
      <c r="AU516">
        <v>2017</v>
      </c>
      <c r="AV516">
        <v>4</v>
      </c>
      <c r="AW516">
        <v>4</v>
      </c>
      <c r="AX516" t="s">
        <v>74</v>
      </c>
      <c r="AY516" t="s">
        <v>74</v>
      </c>
      <c r="AZ516" t="s">
        <v>74</v>
      </c>
      <c r="BA516" t="s">
        <v>74</v>
      </c>
      <c r="BB516" t="s">
        <v>74</v>
      </c>
      <c r="BC516" t="s">
        <v>74</v>
      </c>
      <c r="BD516">
        <v>40</v>
      </c>
      <c r="BE516" t="s">
        <v>10520</v>
      </c>
      <c r="BF516" t="str">
        <f>HYPERLINK("http://dx.doi.org/10.3390/informatics4040040","http://dx.doi.org/10.3390/informatics4040040")</f>
        <v>http://dx.doi.org/10.3390/informatics4040040</v>
      </c>
      <c r="BG516" t="s">
        <v>74</v>
      </c>
      <c r="BH516" t="s">
        <v>74</v>
      </c>
      <c r="BI516">
        <v>12</v>
      </c>
      <c r="BJ516" t="s">
        <v>101</v>
      </c>
      <c r="BK516" t="s">
        <v>102</v>
      </c>
      <c r="BL516" t="s">
        <v>103</v>
      </c>
      <c r="BM516" t="s">
        <v>10521</v>
      </c>
      <c r="BN516" t="s">
        <v>74</v>
      </c>
      <c r="BO516" t="s">
        <v>398</v>
      </c>
      <c r="BP516" t="s">
        <v>74</v>
      </c>
      <c r="BQ516" t="s">
        <v>74</v>
      </c>
      <c r="BR516" t="s">
        <v>106</v>
      </c>
      <c r="BS516" t="s">
        <v>10522</v>
      </c>
      <c r="BT516" t="str">
        <f>HYPERLINK("https%3A%2F%2Fwww.webofscience.com%2Fwos%2Fwoscc%2Ffull-record%2FWOS:000423673600008","View Full Record in Web of Science")</f>
        <v>View Full Record in Web of Science</v>
      </c>
    </row>
    <row r="517" spans="1:72" x14ac:dyDescent="0.25">
      <c r="A517" t="s">
        <v>108</v>
      </c>
      <c r="B517" t="s">
        <v>10523</v>
      </c>
      <c r="C517" t="s">
        <v>74</v>
      </c>
      <c r="D517" t="s">
        <v>10524</v>
      </c>
      <c r="E517" t="s">
        <v>74</v>
      </c>
      <c r="F517" t="s">
        <v>10525</v>
      </c>
      <c r="G517" t="s">
        <v>74</v>
      </c>
      <c r="H517" t="s">
        <v>74</v>
      </c>
      <c r="I517" t="s">
        <v>10526</v>
      </c>
      <c r="J517" t="s">
        <v>10527</v>
      </c>
      <c r="K517" t="s">
        <v>147</v>
      </c>
      <c r="L517" t="s">
        <v>74</v>
      </c>
      <c r="M517" t="s">
        <v>78</v>
      </c>
      <c r="N517" t="s">
        <v>115</v>
      </c>
      <c r="O517" t="s">
        <v>10528</v>
      </c>
      <c r="P517" t="s">
        <v>10529</v>
      </c>
      <c r="Q517" t="s">
        <v>10530</v>
      </c>
      <c r="R517" t="s">
        <v>74</v>
      </c>
      <c r="S517" t="s">
        <v>10531</v>
      </c>
      <c r="T517" t="s">
        <v>74</v>
      </c>
      <c r="U517" t="s">
        <v>74</v>
      </c>
      <c r="V517" t="s">
        <v>10532</v>
      </c>
      <c r="W517" t="s">
        <v>10533</v>
      </c>
      <c r="X517" t="s">
        <v>74</v>
      </c>
      <c r="Y517" t="s">
        <v>10534</v>
      </c>
      <c r="Z517" t="s">
        <v>10535</v>
      </c>
      <c r="AA517" t="s">
        <v>10536</v>
      </c>
      <c r="AB517" t="s">
        <v>10537</v>
      </c>
      <c r="AC517" t="s">
        <v>10538</v>
      </c>
      <c r="AD517" t="s">
        <v>10539</v>
      </c>
      <c r="AE517" t="s">
        <v>10540</v>
      </c>
      <c r="AF517" t="s">
        <v>74</v>
      </c>
      <c r="AG517">
        <v>11</v>
      </c>
      <c r="AH517">
        <v>4</v>
      </c>
      <c r="AI517">
        <v>6</v>
      </c>
      <c r="AJ517">
        <v>0</v>
      </c>
      <c r="AK517">
        <v>5</v>
      </c>
      <c r="AL517" t="s">
        <v>197</v>
      </c>
      <c r="AM517" t="s">
        <v>198</v>
      </c>
      <c r="AN517" t="s">
        <v>199</v>
      </c>
      <c r="AO517" t="s">
        <v>159</v>
      </c>
      <c r="AP517" t="s">
        <v>74</v>
      </c>
      <c r="AQ517" t="s">
        <v>10541</v>
      </c>
      <c r="AR517" t="s">
        <v>161</v>
      </c>
      <c r="AS517" t="s">
        <v>74</v>
      </c>
      <c r="AT517" t="s">
        <v>74</v>
      </c>
      <c r="AU517">
        <v>2014</v>
      </c>
      <c r="AV517">
        <v>8605</v>
      </c>
      <c r="AW517" t="s">
        <v>74</v>
      </c>
      <c r="AX517" t="s">
        <v>74</v>
      </c>
      <c r="AY517" t="s">
        <v>74</v>
      </c>
      <c r="AZ517" t="s">
        <v>74</v>
      </c>
      <c r="BA517" t="s">
        <v>74</v>
      </c>
      <c r="BB517">
        <v>349</v>
      </c>
      <c r="BC517">
        <v>353</v>
      </c>
      <c r="BD517" t="s">
        <v>74</v>
      </c>
      <c r="BE517" t="s">
        <v>10542</v>
      </c>
      <c r="BF517" t="str">
        <f>HYPERLINK("http://dx.doi.org/10.1007/978-3-319-12157-4_28","http://dx.doi.org/10.1007/978-3-319-12157-4_28")</f>
        <v>http://dx.doi.org/10.1007/978-3-319-12157-4_28</v>
      </c>
      <c r="BG517" t="s">
        <v>74</v>
      </c>
      <c r="BH517" t="s">
        <v>74</v>
      </c>
      <c r="BI517">
        <v>5</v>
      </c>
      <c r="BJ517" t="s">
        <v>461</v>
      </c>
      <c r="BK517" t="s">
        <v>203</v>
      </c>
      <c r="BL517" t="s">
        <v>103</v>
      </c>
      <c r="BM517" t="s">
        <v>10543</v>
      </c>
      <c r="BN517" t="s">
        <v>74</v>
      </c>
      <c r="BO517" t="s">
        <v>74</v>
      </c>
      <c r="BP517" t="s">
        <v>74</v>
      </c>
      <c r="BQ517" t="s">
        <v>74</v>
      </c>
      <c r="BR517" t="s">
        <v>106</v>
      </c>
      <c r="BS517" t="s">
        <v>10544</v>
      </c>
      <c r="BT517" t="str">
        <f>HYPERLINK("https%3A%2F%2Fwww.webofscience.com%2Fwos%2Fwoscc%2Ffull-record%2FWOS:000345586400028","View Full Record in Web of Science")</f>
        <v>View Full Record in Web of Science</v>
      </c>
    </row>
    <row r="518" spans="1:72" x14ac:dyDescent="0.25">
      <c r="A518" t="s">
        <v>72</v>
      </c>
      <c r="B518" t="s">
        <v>10545</v>
      </c>
      <c r="C518" t="s">
        <v>74</v>
      </c>
      <c r="D518" t="s">
        <v>74</v>
      </c>
      <c r="E518" t="s">
        <v>74</v>
      </c>
      <c r="F518" t="s">
        <v>10546</v>
      </c>
      <c r="G518" t="s">
        <v>74</v>
      </c>
      <c r="H518" t="s">
        <v>74</v>
      </c>
      <c r="I518" t="s">
        <v>10547</v>
      </c>
      <c r="J518" t="s">
        <v>10548</v>
      </c>
      <c r="K518" t="s">
        <v>74</v>
      </c>
      <c r="L518" t="s">
        <v>74</v>
      </c>
      <c r="M518" t="s">
        <v>78</v>
      </c>
      <c r="N518" t="s">
        <v>79</v>
      </c>
      <c r="O518" t="s">
        <v>74</v>
      </c>
      <c r="P518" t="s">
        <v>74</v>
      </c>
      <c r="Q518" t="s">
        <v>74</v>
      </c>
      <c r="R518" t="s">
        <v>74</v>
      </c>
      <c r="S518" t="s">
        <v>74</v>
      </c>
      <c r="T518" t="s">
        <v>10549</v>
      </c>
      <c r="U518" t="s">
        <v>10550</v>
      </c>
      <c r="V518" t="s">
        <v>10551</v>
      </c>
      <c r="W518" t="s">
        <v>10552</v>
      </c>
      <c r="X518" t="s">
        <v>6406</v>
      </c>
      <c r="Y518" t="s">
        <v>10553</v>
      </c>
      <c r="Z518" t="s">
        <v>10554</v>
      </c>
      <c r="AA518" t="s">
        <v>10555</v>
      </c>
      <c r="AB518" t="s">
        <v>10556</v>
      </c>
      <c r="AC518" t="s">
        <v>10557</v>
      </c>
      <c r="AD518" t="s">
        <v>10558</v>
      </c>
      <c r="AE518" t="s">
        <v>10559</v>
      </c>
      <c r="AF518" t="s">
        <v>74</v>
      </c>
      <c r="AG518">
        <v>37</v>
      </c>
      <c r="AH518">
        <v>4</v>
      </c>
      <c r="AI518">
        <v>5</v>
      </c>
      <c r="AJ518">
        <v>1</v>
      </c>
      <c r="AK518">
        <v>8</v>
      </c>
      <c r="AL518" t="s">
        <v>362</v>
      </c>
      <c r="AM518" t="s">
        <v>363</v>
      </c>
      <c r="AN518" t="s">
        <v>364</v>
      </c>
      <c r="AO518" t="s">
        <v>10560</v>
      </c>
      <c r="AP518" t="s">
        <v>10561</v>
      </c>
      <c r="AQ518" t="s">
        <v>74</v>
      </c>
      <c r="AR518" t="s">
        <v>10562</v>
      </c>
      <c r="AS518" t="s">
        <v>10563</v>
      </c>
      <c r="AT518" t="s">
        <v>368</v>
      </c>
      <c r="AU518">
        <v>2024</v>
      </c>
      <c r="AV518">
        <v>181</v>
      </c>
      <c r="AW518" t="s">
        <v>74</v>
      </c>
      <c r="AX518" t="s">
        <v>74</v>
      </c>
      <c r="AY518" t="s">
        <v>74</v>
      </c>
      <c r="AZ518" t="s">
        <v>74</v>
      </c>
      <c r="BA518" t="s">
        <v>74</v>
      </c>
      <c r="BB518">
        <v>9</v>
      </c>
      <c r="BC518">
        <v>15</v>
      </c>
      <c r="BD518" t="s">
        <v>74</v>
      </c>
      <c r="BE518" t="s">
        <v>10564</v>
      </c>
      <c r="BF518" t="str">
        <f>HYPERLINK("http://dx.doi.org/10.1016/j.patrec.2024.03.008","http://dx.doi.org/10.1016/j.patrec.2024.03.008")</f>
        <v>http://dx.doi.org/10.1016/j.patrec.2024.03.008</v>
      </c>
      <c r="BG518" t="s">
        <v>74</v>
      </c>
      <c r="BH518" t="s">
        <v>10565</v>
      </c>
      <c r="BI518">
        <v>7</v>
      </c>
      <c r="BJ518" t="s">
        <v>807</v>
      </c>
      <c r="BK518" t="s">
        <v>902</v>
      </c>
      <c r="BL518" t="s">
        <v>103</v>
      </c>
      <c r="BM518" t="s">
        <v>10566</v>
      </c>
      <c r="BN518" t="s">
        <v>74</v>
      </c>
      <c r="BO518" t="s">
        <v>1331</v>
      </c>
      <c r="BP518" t="s">
        <v>74</v>
      </c>
      <c r="BQ518" t="s">
        <v>74</v>
      </c>
      <c r="BR518" t="s">
        <v>106</v>
      </c>
      <c r="BS518" t="s">
        <v>10567</v>
      </c>
      <c r="BT518" t="str">
        <f>HYPERLINK("https%3A%2F%2Fwww.webofscience.com%2Fwos%2Fwoscc%2Ffull-record%2FWOS:001223048700001","View Full Record in Web of Science")</f>
        <v>View Full Record in Web of Science</v>
      </c>
    </row>
    <row r="519" spans="1:72" x14ac:dyDescent="0.25">
      <c r="A519" t="s">
        <v>72</v>
      </c>
      <c r="B519" t="s">
        <v>10568</v>
      </c>
      <c r="C519" t="s">
        <v>74</v>
      </c>
      <c r="D519" t="s">
        <v>74</v>
      </c>
      <c r="E519" t="s">
        <v>74</v>
      </c>
      <c r="F519" t="s">
        <v>10569</v>
      </c>
      <c r="G519" t="s">
        <v>74</v>
      </c>
      <c r="H519" t="s">
        <v>74</v>
      </c>
      <c r="I519" t="s">
        <v>10570</v>
      </c>
      <c r="J519" t="s">
        <v>10571</v>
      </c>
      <c r="K519" t="s">
        <v>74</v>
      </c>
      <c r="L519" t="s">
        <v>74</v>
      </c>
      <c r="M519" t="s">
        <v>78</v>
      </c>
      <c r="N519" t="s">
        <v>79</v>
      </c>
      <c r="O519" t="s">
        <v>74</v>
      </c>
      <c r="P519" t="s">
        <v>74</v>
      </c>
      <c r="Q519" t="s">
        <v>74</v>
      </c>
      <c r="R519" t="s">
        <v>74</v>
      </c>
      <c r="S519" t="s">
        <v>74</v>
      </c>
      <c r="T519" t="s">
        <v>10572</v>
      </c>
      <c r="U519" t="s">
        <v>10573</v>
      </c>
      <c r="V519" t="s">
        <v>10574</v>
      </c>
      <c r="W519" t="s">
        <v>10575</v>
      </c>
      <c r="X519" t="s">
        <v>10576</v>
      </c>
      <c r="Y519" t="s">
        <v>10577</v>
      </c>
      <c r="Z519" t="s">
        <v>10578</v>
      </c>
      <c r="AA519" t="s">
        <v>74</v>
      </c>
      <c r="AB519" t="s">
        <v>10579</v>
      </c>
      <c r="AC519" t="s">
        <v>74</v>
      </c>
      <c r="AD519" t="s">
        <v>74</v>
      </c>
      <c r="AE519" t="s">
        <v>74</v>
      </c>
      <c r="AF519" t="s">
        <v>74</v>
      </c>
      <c r="AG519">
        <v>40</v>
      </c>
      <c r="AH519">
        <v>40</v>
      </c>
      <c r="AI519">
        <v>42</v>
      </c>
      <c r="AJ519">
        <v>0</v>
      </c>
      <c r="AK519">
        <v>8</v>
      </c>
      <c r="AL519" t="s">
        <v>947</v>
      </c>
      <c r="AM519" t="s">
        <v>948</v>
      </c>
      <c r="AN519" t="s">
        <v>2346</v>
      </c>
      <c r="AO519" t="s">
        <v>10580</v>
      </c>
      <c r="AP519" t="s">
        <v>10581</v>
      </c>
      <c r="AQ519" t="s">
        <v>74</v>
      </c>
      <c r="AR519" t="s">
        <v>10582</v>
      </c>
      <c r="AS519" t="s">
        <v>10583</v>
      </c>
      <c r="AT519" t="s">
        <v>1278</v>
      </c>
      <c r="AU519">
        <v>2015</v>
      </c>
      <c r="AV519">
        <v>26</v>
      </c>
      <c r="AW519">
        <v>1</v>
      </c>
      <c r="AX519" t="s">
        <v>74</v>
      </c>
      <c r="AY519" t="s">
        <v>74</v>
      </c>
      <c r="AZ519" t="s">
        <v>74</v>
      </c>
      <c r="BA519" t="s">
        <v>74</v>
      </c>
      <c r="BB519">
        <v>252</v>
      </c>
      <c r="BC519">
        <v>261</v>
      </c>
      <c r="BD519" t="s">
        <v>74</v>
      </c>
      <c r="BE519" t="s">
        <v>10584</v>
      </c>
      <c r="BF519" t="str">
        <f>HYPERLINK("http://dx.doi.org/10.1109/TPDS.2014.2307857","http://dx.doi.org/10.1109/TPDS.2014.2307857")</f>
        <v>http://dx.doi.org/10.1109/TPDS.2014.2307857</v>
      </c>
      <c r="BG519" t="s">
        <v>74</v>
      </c>
      <c r="BH519" t="s">
        <v>74</v>
      </c>
      <c r="BI519">
        <v>10</v>
      </c>
      <c r="BJ519" t="s">
        <v>972</v>
      </c>
      <c r="BK519" t="s">
        <v>902</v>
      </c>
      <c r="BL519" t="s">
        <v>953</v>
      </c>
      <c r="BM519" t="s">
        <v>10585</v>
      </c>
      <c r="BN519" t="s">
        <v>74</v>
      </c>
      <c r="BO519" t="s">
        <v>74</v>
      </c>
      <c r="BP519" t="s">
        <v>74</v>
      </c>
      <c r="BQ519" t="s">
        <v>74</v>
      </c>
      <c r="BR519" t="s">
        <v>106</v>
      </c>
      <c r="BS519" t="s">
        <v>10586</v>
      </c>
      <c r="BT519" t="str">
        <f>HYPERLINK("https%3A%2F%2Fwww.webofscience.com%2Fwos%2Fwoscc%2Ffull-record%2FWOS:000348206700024","View Full Record in Web of Science")</f>
        <v>View Full Record in Web of Science</v>
      </c>
    </row>
    <row r="520" spans="1:72" x14ac:dyDescent="0.25">
      <c r="A520" t="s">
        <v>72</v>
      </c>
      <c r="B520" t="s">
        <v>10587</v>
      </c>
      <c r="C520" t="s">
        <v>74</v>
      </c>
      <c r="D520" t="s">
        <v>74</v>
      </c>
      <c r="E520" t="s">
        <v>74</v>
      </c>
      <c r="F520" t="s">
        <v>10588</v>
      </c>
      <c r="G520" t="s">
        <v>74</v>
      </c>
      <c r="H520" t="s">
        <v>74</v>
      </c>
      <c r="I520" t="s">
        <v>10589</v>
      </c>
      <c r="J520" t="s">
        <v>10590</v>
      </c>
      <c r="K520" t="s">
        <v>74</v>
      </c>
      <c r="L520" t="s">
        <v>74</v>
      </c>
      <c r="M520" t="s">
        <v>78</v>
      </c>
      <c r="N520" t="s">
        <v>79</v>
      </c>
      <c r="O520" t="s">
        <v>74</v>
      </c>
      <c r="P520" t="s">
        <v>74</v>
      </c>
      <c r="Q520" t="s">
        <v>74</v>
      </c>
      <c r="R520" t="s">
        <v>74</v>
      </c>
      <c r="S520" t="s">
        <v>74</v>
      </c>
      <c r="T520" t="s">
        <v>10591</v>
      </c>
      <c r="U520" t="s">
        <v>10592</v>
      </c>
      <c r="V520" t="s">
        <v>10593</v>
      </c>
      <c r="W520" t="s">
        <v>10594</v>
      </c>
      <c r="X520" t="s">
        <v>10595</v>
      </c>
      <c r="Y520" t="s">
        <v>10596</v>
      </c>
      <c r="Z520" t="s">
        <v>10597</v>
      </c>
      <c r="AA520" t="s">
        <v>10598</v>
      </c>
      <c r="AB520" t="s">
        <v>74</v>
      </c>
      <c r="AC520" t="s">
        <v>10599</v>
      </c>
      <c r="AD520" t="s">
        <v>10600</v>
      </c>
      <c r="AE520" t="s">
        <v>10601</v>
      </c>
      <c r="AF520" t="s">
        <v>74</v>
      </c>
      <c r="AG520">
        <v>43</v>
      </c>
      <c r="AH520">
        <v>30</v>
      </c>
      <c r="AI520">
        <v>32</v>
      </c>
      <c r="AJ520">
        <v>3</v>
      </c>
      <c r="AK520">
        <v>130</v>
      </c>
      <c r="AL520" t="s">
        <v>5214</v>
      </c>
      <c r="AM520" t="s">
        <v>1320</v>
      </c>
      <c r="AN520" t="s">
        <v>5215</v>
      </c>
      <c r="AO520" t="s">
        <v>10602</v>
      </c>
      <c r="AP520" t="s">
        <v>10603</v>
      </c>
      <c r="AQ520" t="s">
        <v>74</v>
      </c>
      <c r="AR520" t="s">
        <v>10604</v>
      </c>
      <c r="AS520" t="s">
        <v>10605</v>
      </c>
      <c r="AT520" t="s">
        <v>98</v>
      </c>
      <c r="AU520">
        <v>2022</v>
      </c>
      <c r="AV520">
        <v>7</v>
      </c>
      <c r="AW520">
        <v>6</v>
      </c>
      <c r="AX520" t="s">
        <v>74</v>
      </c>
      <c r="AY520" t="s">
        <v>74</v>
      </c>
      <c r="AZ520" t="s">
        <v>74</v>
      </c>
      <c r="BA520" t="s">
        <v>74</v>
      </c>
      <c r="BB520">
        <v>614</v>
      </c>
      <c r="BC520">
        <v>629</v>
      </c>
      <c r="BD520" t="s">
        <v>74</v>
      </c>
      <c r="BE520" t="s">
        <v>10606</v>
      </c>
      <c r="BF520" t="str">
        <f>HYPERLINK("http://dx.doi.org/10.1007/s40974-022-00251-8","http://dx.doi.org/10.1007/s40974-022-00251-8")</f>
        <v>http://dx.doi.org/10.1007/s40974-022-00251-8</v>
      </c>
      <c r="BG520" t="s">
        <v>74</v>
      </c>
      <c r="BH520" t="s">
        <v>6577</v>
      </c>
      <c r="BI520">
        <v>16</v>
      </c>
      <c r="BJ520" t="s">
        <v>10607</v>
      </c>
      <c r="BK520" t="s">
        <v>102</v>
      </c>
      <c r="BL520" t="s">
        <v>10608</v>
      </c>
      <c r="BM520" t="s">
        <v>10609</v>
      </c>
      <c r="BN520" t="s">
        <v>74</v>
      </c>
      <c r="BO520" t="s">
        <v>1014</v>
      </c>
      <c r="BP520" t="s">
        <v>74</v>
      </c>
      <c r="BQ520" t="s">
        <v>74</v>
      </c>
      <c r="BR520" t="s">
        <v>106</v>
      </c>
      <c r="BS520" t="s">
        <v>10610</v>
      </c>
      <c r="BT520" t="str">
        <f>HYPERLINK("https%3A%2F%2Fwww.webofscience.com%2Fwos%2Fwoscc%2Ffull-record%2FWOS:000810798900001","View Full Record in Web of Science")</f>
        <v>View Full Record in Web of Science</v>
      </c>
    </row>
    <row r="521" spans="1:72" x14ac:dyDescent="0.25">
      <c r="A521" t="s">
        <v>72</v>
      </c>
      <c r="B521" t="s">
        <v>10611</v>
      </c>
      <c r="C521" t="s">
        <v>74</v>
      </c>
      <c r="D521" t="s">
        <v>74</v>
      </c>
      <c r="E521" t="s">
        <v>74</v>
      </c>
      <c r="F521" t="s">
        <v>10612</v>
      </c>
      <c r="G521" t="s">
        <v>74</v>
      </c>
      <c r="H521" t="s">
        <v>74</v>
      </c>
      <c r="I521" t="s">
        <v>10613</v>
      </c>
      <c r="J521" t="s">
        <v>10614</v>
      </c>
      <c r="K521" t="s">
        <v>74</v>
      </c>
      <c r="L521" t="s">
        <v>74</v>
      </c>
      <c r="M521" t="s">
        <v>78</v>
      </c>
      <c r="N521" t="s">
        <v>726</v>
      </c>
      <c r="O521" t="s">
        <v>74</v>
      </c>
      <c r="P521" t="s">
        <v>74</v>
      </c>
      <c r="Q521" t="s">
        <v>74</v>
      </c>
      <c r="R521" t="s">
        <v>74</v>
      </c>
      <c r="S521" t="s">
        <v>74</v>
      </c>
      <c r="T521" t="s">
        <v>10615</v>
      </c>
      <c r="U521" t="s">
        <v>10616</v>
      </c>
      <c r="V521" t="s">
        <v>10617</v>
      </c>
      <c r="W521" t="s">
        <v>10618</v>
      </c>
      <c r="X521" t="s">
        <v>10619</v>
      </c>
      <c r="Y521" t="s">
        <v>10620</v>
      </c>
      <c r="Z521" t="s">
        <v>10621</v>
      </c>
      <c r="AA521" t="s">
        <v>10622</v>
      </c>
      <c r="AB521" t="s">
        <v>10623</v>
      </c>
      <c r="AC521" t="s">
        <v>10624</v>
      </c>
      <c r="AD521" t="s">
        <v>10624</v>
      </c>
      <c r="AE521" t="s">
        <v>10625</v>
      </c>
      <c r="AF521" t="s">
        <v>74</v>
      </c>
      <c r="AG521">
        <v>125</v>
      </c>
      <c r="AH521">
        <v>4</v>
      </c>
      <c r="AI521">
        <v>4</v>
      </c>
      <c r="AJ521">
        <v>7</v>
      </c>
      <c r="AK521">
        <v>24</v>
      </c>
      <c r="AL521" t="s">
        <v>10626</v>
      </c>
      <c r="AM521" t="s">
        <v>8511</v>
      </c>
      <c r="AN521" t="s">
        <v>10627</v>
      </c>
      <c r="AO521" t="s">
        <v>10628</v>
      </c>
      <c r="AP521" t="s">
        <v>10629</v>
      </c>
      <c r="AQ521" t="s">
        <v>74</v>
      </c>
      <c r="AR521" t="s">
        <v>10630</v>
      </c>
      <c r="AS521" t="s">
        <v>10631</v>
      </c>
      <c r="AT521" t="s">
        <v>1375</v>
      </c>
      <c r="AU521">
        <v>2025</v>
      </c>
      <c r="AV521">
        <v>15</v>
      </c>
      <c r="AW521">
        <v>2</v>
      </c>
      <c r="AX521" t="s">
        <v>74</v>
      </c>
      <c r="AY521" t="s">
        <v>74</v>
      </c>
      <c r="AZ521" t="s">
        <v>74</v>
      </c>
      <c r="BA521" t="s">
        <v>74</v>
      </c>
      <c r="BB521" t="s">
        <v>74</v>
      </c>
      <c r="BC521" t="s">
        <v>74</v>
      </c>
      <c r="BD521" t="s">
        <v>10632</v>
      </c>
      <c r="BE521" t="s">
        <v>10633</v>
      </c>
      <c r="BF521" t="str">
        <f>HYPERLINK("http://dx.doi.org/10.1002/widm.70020","http://dx.doi.org/10.1002/widm.70020")</f>
        <v>http://dx.doi.org/10.1002/widm.70020</v>
      </c>
      <c r="BG521" t="s">
        <v>74</v>
      </c>
      <c r="BH521" t="s">
        <v>74</v>
      </c>
      <c r="BI521">
        <v>28</v>
      </c>
      <c r="BJ521" t="s">
        <v>1399</v>
      </c>
      <c r="BK521" t="s">
        <v>902</v>
      </c>
      <c r="BL521" t="s">
        <v>103</v>
      </c>
      <c r="BM521" t="s">
        <v>10634</v>
      </c>
      <c r="BN521" t="s">
        <v>74</v>
      </c>
      <c r="BO521" t="s">
        <v>74</v>
      </c>
      <c r="BP521" t="s">
        <v>74</v>
      </c>
      <c r="BQ521" t="s">
        <v>74</v>
      </c>
      <c r="BR521" t="s">
        <v>106</v>
      </c>
      <c r="BS521" t="s">
        <v>10635</v>
      </c>
      <c r="BT521" t="str">
        <f>HYPERLINK("https%3A%2F%2Fwww.webofscience.com%2Fwos%2Fwoscc%2Ffull-record%2FWOS:001517040200016","View Full Record in Web of Science")</f>
        <v>View Full Record in Web of Science</v>
      </c>
    </row>
    <row r="522" spans="1:72" x14ac:dyDescent="0.25">
      <c r="A522" t="s">
        <v>2400</v>
      </c>
      <c r="B522" t="s">
        <v>207</v>
      </c>
      <c r="C522" t="s">
        <v>74</v>
      </c>
      <c r="D522" t="s">
        <v>10636</v>
      </c>
      <c r="E522" t="s">
        <v>74</v>
      </c>
      <c r="F522" t="s">
        <v>208</v>
      </c>
      <c r="G522" t="s">
        <v>74</v>
      </c>
      <c r="H522" t="s">
        <v>74</v>
      </c>
      <c r="I522" t="s">
        <v>10637</v>
      </c>
      <c r="J522" t="s">
        <v>10638</v>
      </c>
      <c r="K522" t="s">
        <v>10639</v>
      </c>
      <c r="L522" t="s">
        <v>74</v>
      </c>
      <c r="M522" t="s">
        <v>78</v>
      </c>
      <c r="N522" t="s">
        <v>1113</v>
      </c>
      <c r="O522" t="s">
        <v>74</v>
      </c>
      <c r="P522" t="s">
        <v>74</v>
      </c>
      <c r="Q522" t="s">
        <v>74</v>
      </c>
      <c r="R522" t="s">
        <v>74</v>
      </c>
      <c r="S522" t="s">
        <v>74</v>
      </c>
      <c r="T522" t="s">
        <v>10640</v>
      </c>
      <c r="U522" t="s">
        <v>10641</v>
      </c>
      <c r="V522" t="s">
        <v>10642</v>
      </c>
      <c r="W522" t="s">
        <v>10643</v>
      </c>
      <c r="X522" t="s">
        <v>214</v>
      </c>
      <c r="Y522" t="s">
        <v>264</v>
      </c>
      <c r="Z522" t="s">
        <v>74</v>
      </c>
      <c r="AA522" t="s">
        <v>217</v>
      </c>
      <c r="AB522" t="s">
        <v>982</v>
      </c>
      <c r="AC522" t="s">
        <v>74</v>
      </c>
      <c r="AD522" t="s">
        <v>74</v>
      </c>
      <c r="AE522" t="s">
        <v>74</v>
      </c>
      <c r="AF522" t="s">
        <v>74</v>
      </c>
      <c r="AG522">
        <v>62</v>
      </c>
      <c r="AH522">
        <v>72</v>
      </c>
      <c r="AI522">
        <v>93</v>
      </c>
      <c r="AJ522">
        <v>1</v>
      </c>
      <c r="AK522">
        <v>18</v>
      </c>
      <c r="AL522" t="s">
        <v>2946</v>
      </c>
      <c r="AM522" t="s">
        <v>5023</v>
      </c>
      <c r="AN522" t="s">
        <v>10644</v>
      </c>
      <c r="AO522" t="s">
        <v>10645</v>
      </c>
      <c r="AP522" t="s">
        <v>74</v>
      </c>
      <c r="AQ522" t="s">
        <v>10646</v>
      </c>
      <c r="AR522" t="s">
        <v>10647</v>
      </c>
      <c r="AS522" t="s">
        <v>74</v>
      </c>
      <c r="AT522" t="s">
        <v>74</v>
      </c>
      <c r="AU522">
        <v>2014</v>
      </c>
      <c r="AV522">
        <v>18</v>
      </c>
      <c r="AW522" t="s">
        <v>74</v>
      </c>
      <c r="AX522" t="s">
        <v>74</v>
      </c>
      <c r="AY522" t="s">
        <v>74</v>
      </c>
      <c r="AZ522" t="s">
        <v>74</v>
      </c>
      <c r="BA522" t="s">
        <v>74</v>
      </c>
      <c r="BB522">
        <v>139</v>
      </c>
      <c r="BC522">
        <v>176</v>
      </c>
      <c r="BD522" t="s">
        <v>74</v>
      </c>
      <c r="BE522" t="s">
        <v>10648</v>
      </c>
      <c r="BF522" t="str">
        <f>HYPERLINK("http://dx.doi.org/10.1108/S0749-742320140000018004","http://dx.doi.org/10.1108/S0749-742320140000018004")</f>
        <v>http://dx.doi.org/10.1108/S0749-742320140000018004</v>
      </c>
      <c r="BG522" t="s">
        <v>10649</v>
      </c>
      <c r="BH522" t="s">
        <v>74</v>
      </c>
      <c r="BI522">
        <v>38</v>
      </c>
      <c r="BJ522" t="s">
        <v>249</v>
      </c>
      <c r="BK522" t="s">
        <v>1119</v>
      </c>
      <c r="BL522" t="s">
        <v>251</v>
      </c>
      <c r="BM522" t="s">
        <v>10650</v>
      </c>
      <c r="BN522" t="s">
        <v>74</v>
      </c>
      <c r="BO522" t="s">
        <v>74</v>
      </c>
      <c r="BP522" t="s">
        <v>74</v>
      </c>
      <c r="BQ522" t="s">
        <v>74</v>
      </c>
      <c r="BR522" t="s">
        <v>106</v>
      </c>
      <c r="BS522" t="s">
        <v>10651</v>
      </c>
      <c r="BT522" t="str">
        <f>HYPERLINK("https%3A%2F%2Fwww.webofscience.com%2Fwos%2Fwoscc%2Ffull-record%2FWOS:000402594600006","View Full Record in Web of Science")</f>
        <v>View Full Record in Web of Science</v>
      </c>
    </row>
    <row r="523" spans="1:72" x14ac:dyDescent="0.25">
      <c r="A523" t="s">
        <v>72</v>
      </c>
      <c r="B523" t="s">
        <v>10652</v>
      </c>
      <c r="C523" t="s">
        <v>74</v>
      </c>
      <c r="D523" t="s">
        <v>74</v>
      </c>
      <c r="E523" t="s">
        <v>74</v>
      </c>
      <c r="F523" t="s">
        <v>10653</v>
      </c>
      <c r="G523" t="s">
        <v>74</v>
      </c>
      <c r="H523" t="s">
        <v>74</v>
      </c>
      <c r="I523" t="s">
        <v>10654</v>
      </c>
      <c r="J523" t="s">
        <v>10655</v>
      </c>
      <c r="K523" t="s">
        <v>74</v>
      </c>
      <c r="L523" t="s">
        <v>74</v>
      </c>
      <c r="M523" t="s">
        <v>78</v>
      </c>
      <c r="N523" t="s">
        <v>79</v>
      </c>
      <c r="O523" t="s">
        <v>74</v>
      </c>
      <c r="P523" t="s">
        <v>74</v>
      </c>
      <c r="Q523" t="s">
        <v>74</v>
      </c>
      <c r="R523" t="s">
        <v>74</v>
      </c>
      <c r="S523" t="s">
        <v>74</v>
      </c>
      <c r="T523" t="s">
        <v>10656</v>
      </c>
      <c r="U523" t="s">
        <v>10657</v>
      </c>
      <c r="V523" t="s">
        <v>10658</v>
      </c>
      <c r="W523" t="s">
        <v>10659</v>
      </c>
      <c r="X523" t="s">
        <v>10660</v>
      </c>
      <c r="Y523" t="s">
        <v>10661</v>
      </c>
      <c r="Z523" t="s">
        <v>10662</v>
      </c>
      <c r="AA523" t="s">
        <v>10663</v>
      </c>
      <c r="AB523" t="s">
        <v>10664</v>
      </c>
      <c r="AC523" t="s">
        <v>10665</v>
      </c>
      <c r="AD523" t="s">
        <v>10666</v>
      </c>
      <c r="AE523" t="s">
        <v>10667</v>
      </c>
      <c r="AF523" t="s">
        <v>74</v>
      </c>
      <c r="AG523">
        <v>41</v>
      </c>
      <c r="AH523">
        <v>4</v>
      </c>
      <c r="AI523">
        <v>4</v>
      </c>
      <c r="AJ523">
        <v>0</v>
      </c>
      <c r="AK523">
        <v>7</v>
      </c>
      <c r="AL523" t="s">
        <v>1272</v>
      </c>
      <c r="AM523" t="s">
        <v>1273</v>
      </c>
      <c r="AN523" t="s">
        <v>1274</v>
      </c>
      <c r="AO523" t="s">
        <v>74</v>
      </c>
      <c r="AP523" t="s">
        <v>10668</v>
      </c>
      <c r="AQ523" t="s">
        <v>74</v>
      </c>
      <c r="AR523" t="s">
        <v>10669</v>
      </c>
      <c r="AS523" t="s">
        <v>10670</v>
      </c>
      <c r="AT523" t="s">
        <v>223</v>
      </c>
      <c r="AU523">
        <v>2022</v>
      </c>
      <c r="AV523">
        <v>11</v>
      </c>
      <c r="AW523">
        <v>3</v>
      </c>
      <c r="AX523" t="s">
        <v>74</v>
      </c>
      <c r="AY523" t="s">
        <v>74</v>
      </c>
      <c r="AZ523" t="s">
        <v>74</v>
      </c>
      <c r="BA523" t="s">
        <v>74</v>
      </c>
      <c r="BB523" t="s">
        <v>74</v>
      </c>
      <c r="BC523" t="s">
        <v>74</v>
      </c>
      <c r="BD523">
        <v>135</v>
      </c>
      <c r="BE523" t="s">
        <v>10671</v>
      </c>
      <c r="BF523" t="str">
        <f>HYPERLINK("http://dx.doi.org/10.3390/socsci11030135","http://dx.doi.org/10.3390/socsci11030135")</f>
        <v>http://dx.doi.org/10.3390/socsci11030135</v>
      </c>
      <c r="BG523" t="s">
        <v>74</v>
      </c>
      <c r="BH523" t="s">
        <v>74</v>
      </c>
      <c r="BI523">
        <v>19</v>
      </c>
      <c r="BJ523" t="s">
        <v>2611</v>
      </c>
      <c r="BK523" t="s">
        <v>102</v>
      </c>
      <c r="BL523" t="s">
        <v>2612</v>
      </c>
      <c r="BM523" t="s">
        <v>10672</v>
      </c>
      <c r="BN523" t="s">
        <v>74</v>
      </c>
      <c r="BO523" t="s">
        <v>398</v>
      </c>
      <c r="BP523" t="s">
        <v>74</v>
      </c>
      <c r="BQ523" t="s">
        <v>74</v>
      </c>
      <c r="BR523" t="s">
        <v>106</v>
      </c>
      <c r="BS523" t="s">
        <v>10673</v>
      </c>
      <c r="BT523" t="str">
        <f>HYPERLINK("https%3A%2F%2Fwww.webofscience.com%2Fwos%2Fwoscc%2Ffull-record%2FWOS:000776333400001","View Full Record in Web of Science")</f>
        <v>View Full Record in Web of Science</v>
      </c>
    </row>
    <row r="524" spans="1:72" x14ac:dyDescent="0.25">
      <c r="A524" t="s">
        <v>108</v>
      </c>
      <c r="B524" t="s">
        <v>10674</v>
      </c>
      <c r="C524" t="s">
        <v>74</v>
      </c>
      <c r="D524" t="s">
        <v>10675</v>
      </c>
      <c r="E524" t="s">
        <v>74</v>
      </c>
      <c r="F524" t="s">
        <v>10676</v>
      </c>
      <c r="G524" t="s">
        <v>74</v>
      </c>
      <c r="H524" t="s">
        <v>74</v>
      </c>
      <c r="I524" t="s">
        <v>10677</v>
      </c>
      <c r="J524" t="s">
        <v>10678</v>
      </c>
      <c r="K524" t="s">
        <v>74</v>
      </c>
      <c r="L524" t="s">
        <v>74</v>
      </c>
      <c r="M524" t="s">
        <v>78</v>
      </c>
      <c r="N524" t="s">
        <v>115</v>
      </c>
      <c r="O524" t="s">
        <v>10679</v>
      </c>
      <c r="P524" t="s">
        <v>10680</v>
      </c>
      <c r="Q524" t="s">
        <v>150</v>
      </c>
      <c r="R524" t="s">
        <v>74</v>
      </c>
      <c r="S524" t="s">
        <v>74</v>
      </c>
      <c r="T524" t="s">
        <v>74</v>
      </c>
      <c r="U524" t="s">
        <v>74</v>
      </c>
      <c r="V524" t="s">
        <v>10681</v>
      </c>
      <c r="W524" t="s">
        <v>10682</v>
      </c>
      <c r="X524" t="s">
        <v>5382</v>
      </c>
      <c r="Y524" t="s">
        <v>10683</v>
      </c>
      <c r="Z524" t="s">
        <v>10684</v>
      </c>
      <c r="AA524" t="s">
        <v>74</v>
      </c>
      <c r="AB524" t="s">
        <v>74</v>
      </c>
      <c r="AC524" t="s">
        <v>74</v>
      </c>
      <c r="AD524" t="s">
        <v>74</v>
      </c>
      <c r="AE524" t="s">
        <v>74</v>
      </c>
      <c r="AF524" t="s">
        <v>74</v>
      </c>
      <c r="AG524">
        <v>18</v>
      </c>
      <c r="AH524">
        <v>0</v>
      </c>
      <c r="AI524">
        <v>0</v>
      </c>
      <c r="AJ524">
        <v>0</v>
      </c>
      <c r="AK524">
        <v>2</v>
      </c>
      <c r="AL524" t="s">
        <v>178</v>
      </c>
      <c r="AM524" t="s">
        <v>92</v>
      </c>
      <c r="AN524" t="s">
        <v>1035</v>
      </c>
      <c r="AO524" t="s">
        <v>74</v>
      </c>
      <c r="AP524" t="s">
        <v>74</v>
      </c>
      <c r="AQ524" t="s">
        <v>10685</v>
      </c>
      <c r="AR524" t="s">
        <v>74</v>
      </c>
      <c r="AS524" t="s">
        <v>74</v>
      </c>
      <c r="AT524" t="s">
        <v>74</v>
      </c>
      <c r="AU524">
        <v>2009</v>
      </c>
      <c r="AV524" t="s">
        <v>74</v>
      </c>
      <c r="AW524" t="s">
        <v>74</v>
      </c>
      <c r="AX524" t="s">
        <v>74</v>
      </c>
      <c r="AY524" t="s">
        <v>74</v>
      </c>
      <c r="AZ524" t="s">
        <v>74</v>
      </c>
      <c r="BA524" t="s">
        <v>74</v>
      </c>
      <c r="BB524">
        <v>383</v>
      </c>
      <c r="BC524" t="s">
        <v>5459</v>
      </c>
      <c r="BD524" t="s">
        <v>74</v>
      </c>
      <c r="BE524" t="s">
        <v>10686</v>
      </c>
      <c r="BF524" t="str">
        <f>HYPERLINK("http://dx.doi.org/10.1007/978-0-387-77745-0_37","http://dx.doi.org/10.1007/978-0-387-77745-0_37")</f>
        <v>http://dx.doi.org/10.1007/978-0-387-77745-0_37</v>
      </c>
      <c r="BG524" t="s">
        <v>74</v>
      </c>
      <c r="BH524" t="s">
        <v>74</v>
      </c>
      <c r="BI524">
        <v>2</v>
      </c>
      <c r="BJ524" t="s">
        <v>295</v>
      </c>
      <c r="BK524" t="s">
        <v>138</v>
      </c>
      <c r="BL524" t="s">
        <v>296</v>
      </c>
      <c r="BM524" t="s">
        <v>10687</v>
      </c>
      <c r="BN524" t="s">
        <v>74</v>
      </c>
      <c r="BO524" t="s">
        <v>74</v>
      </c>
      <c r="BP524" t="s">
        <v>74</v>
      </c>
      <c r="BQ524" t="s">
        <v>74</v>
      </c>
      <c r="BR524" t="s">
        <v>106</v>
      </c>
      <c r="BS524" t="s">
        <v>10688</v>
      </c>
      <c r="BT524" t="str">
        <f>HYPERLINK("https%3A%2F%2Fwww.webofscience.com%2Fwos%2Fwoscc%2Ffull-record%2FWOS:000261355600037","View Full Record in Web of Science")</f>
        <v>View Full Record in Web of Science</v>
      </c>
    </row>
    <row r="525" spans="1:72" x14ac:dyDescent="0.25">
      <c r="A525" t="s">
        <v>72</v>
      </c>
      <c r="B525" t="s">
        <v>10689</v>
      </c>
      <c r="C525" t="s">
        <v>74</v>
      </c>
      <c r="D525" t="s">
        <v>74</v>
      </c>
      <c r="E525" t="s">
        <v>74</v>
      </c>
      <c r="F525" t="s">
        <v>10690</v>
      </c>
      <c r="G525" t="s">
        <v>74</v>
      </c>
      <c r="H525" t="s">
        <v>74</v>
      </c>
      <c r="I525" t="s">
        <v>10691</v>
      </c>
      <c r="J525" t="s">
        <v>10692</v>
      </c>
      <c r="K525" t="s">
        <v>74</v>
      </c>
      <c r="L525" t="s">
        <v>74</v>
      </c>
      <c r="M525" t="s">
        <v>78</v>
      </c>
      <c r="N525" t="s">
        <v>79</v>
      </c>
      <c r="O525" t="s">
        <v>74</v>
      </c>
      <c r="P525" t="s">
        <v>74</v>
      </c>
      <c r="Q525" t="s">
        <v>74</v>
      </c>
      <c r="R525" t="s">
        <v>74</v>
      </c>
      <c r="S525" t="s">
        <v>74</v>
      </c>
      <c r="T525" t="s">
        <v>10693</v>
      </c>
      <c r="U525" t="s">
        <v>10694</v>
      </c>
      <c r="V525" t="s">
        <v>10695</v>
      </c>
      <c r="W525" t="s">
        <v>10696</v>
      </c>
      <c r="X525" t="s">
        <v>10697</v>
      </c>
      <c r="Y525" t="s">
        <v>10698</v>
      </c>
      <c r="Z525" t="s">
        <v>10699</v>
      </c>
      <c r="AA525" t="s">
        <v>10700</v>
      </c>
      <c r="AB525" t="s">
        <v>74</v>
      </c>
      <c r="AC525" t="s">
        <v>10701</v>
      </c>
      <c r="AD525" t="s">
        <v>10702</v>
      </c>
      <c r="AE525" t="s">
        <v>10703</v>
      </c>
      <c r="AF525" t="s">
        <v>74</v>
      </c>
      <c r="AG525">
        <v>19</v>
      </c>
      <c r="AH525">
        <v>1</v>
      </c>
      <c r="AI525">
        <v>1</v>
      </c>
      <c r="AJ525">
        <v>5</v>
      </c>
      <c r="AK525">
        <v>17</v>
      </c>
      <c r="AL525" t="s">
        <v>2465</v>
      </c>
      <c r="AM525" t="s">
        <v>311</v>
      </c>
      <c r="AN525" t="s">
        <v>2466</v>
      </c>
      <c r="AO525" t="s">
        <v>10704</v>
      </c>
      <c r="AP525" t="s">
        <v>10705</v>
      </c>
      <c r="AQ525" t="s">
        <v>74</v>
      </c>
      <c r="AR525" t="s">
        <v>10706</v>
      </c>
      <c r="AS525" t="s">
        <v>10707</v>
      </c>
      <c r="AT525" t="s">
        <v>10708</v>
      </c>
      <c r="AU525">
        <v>2025</v>
      </c>
      <c r="AV525">
        <v>76</v>
      </c>
      <c r="AW525">
        <v>12</v>
      </c>
      <c r="AX525" t="s">
        <v>74</v>
      </c>
      <c r="AY525" t="s">
        <v>74</v>
      </c>
      <c r="AZ525" t="s">
        <v>74</v>
      </c>
      <c r="BA525" t="s">
        <v>74</v>
      </c>
      <c r="BB525">
        <v>2464</v>
      </c>
      <c r="BC525">
        <v>2473</v>
      </c>
      <c r="BD525" t="s">
        <v>74</v>
      </c>
      <c r="BE525" t="s">
        <v>10709</v>
      </c>
      <c r="BF525" t="str">
        <f>HYPERLINK("http://dx.doi.org/10.1080/01605682.2025.2476076","http://dx.doi.org/10.1080/01605682.2025.2476076")</f>
        <v>http://dx.doi.org/10.1080/01605682.2025.2476076</v>
      </c>
      <c r="BG525" t="s">
        <v>74</v>
      </c>
      <c r="BH525" t="s">
        <v>663</v>
      </c>
      <c r="BI525">
        <v>10</v>
      </c>
      <c r="BJ525" t="s">
        <v>10710</v>
      </c>
      <c r="BK525" t="s">
        <v>745</v>
      </c>
      <c r="BL525" t="s">
        <v>10711</v>
      </c>
      <c r="BM525" t="s">
        <v>10712</v>
      </c>
      <c r="BN525" t="s">
        <v>74</v>
      </c>
      <c r="BO525" t="s">
        <v>105</v>
      </c>
      <c r="BP525" t="s">
        <v>74</v>
      </c>
      <c r="BQ525" t="s">
        <v>74</v>
      </c>
      <c r="BR525" t="s">
        <v>106</v>
      </c>
      <c r="BS525" t="s">
        <v>10713</v>
      </c>
      <c r="BT525" t="str">
        <f>HYPERLINK("https%3A%2F%2Fwww.webofscience.com%2Fwos%2Fwoscc%2Ffull-record%2FWOS:001449126000001","View Full Record in Web of Science")</f>
        <v>View Full Record in Web of Science</v>
      </c>
    </row>
    <row r="526" spans="1:72" x14ac:dyDescent="0.25">
      <c r="A526" t="s">
        <v>72</v>
      </c>
      <c r="B526" t="s">
        <v>10714</v>
      </c>
      <c r="C526" t="s">
        <v>74</v>
      </c>
      <c r="D526" t="s">
        <v>74</v>
      </c>
      <c r="E526" t="s">
        <v>74</v>
      </c>
      <c r="F526" t="s">
        <v>10715</v>
      </c>
      <c r="G526" t="s">
        <v>74</v>
      </c>
      <c r="H526" t="s">
        <v>74</v>
      </c>
      <c r="I526" t="s">
        <v>10716</v>
      </c>
      <c r="J526" t="s">
        <v>10717</v>
      </c>
      <c r="K526" t="s">
        <v>74</v>
      </c>
      <c r="L526" t="s">
        <v>74</v>
      </c>
      <c r="M526" t="s">
        <v>10718</v>
      </c>
      <c r="N526" t="s">
        <v>79</v>
      </c>
      <c r="O526" t="s">
        <v>74</v>
      </c>
      <c r="P526" t="s">
        <v>74</v>
      </c>
      <c r="Q526" t="s">
        <v>74</v>
      </c>
      <c r="R526" t="s">
        <v>74</v>
      </c>
      <c r="S526" t="s">
        <v>74</v>
      </c>
      <c r="T526" t="s">
        <v>10719</v>
      </c>
      <c r="U526" t="s">
        <v>74</v>
      </c>
      <c r="V526" t="s">
        <v>10720</v>
      </c>
      <c r="W526" t="s">
        <v>10721</v>
      </c>
      <c r="X526" t="s">
        <v>10722</v>
      </c>
      <c r="Y526" t="s">
        <v>10723</v>
      </c>
      <c r="Z526" t="s">
        <v>10724</v>
      </c>
      <c r="AA526" t="s">
        <v>10725</v>
      </c>
      <c r="AB526" t="s">
        <v>74</v>
      </c>
      <c r="AC526" t="s">
        <v>74</v>
      </c>
      <c r="AD526" t="s">
        <v>74</v>
      </c>
      <c r="AE526" t="s">
        <v>74</v>
      </c>
      <c r="AF526" t="s">
        <v>74</v>
      </c>
      <c r="AG526">
        <v>17</v>
      </c>
      <c r="AH526">
        <v>0</v>
      </c>
      <c r="AI526">
        <v>0</v>
      </c>
      <c r="AJ526">
        <v>1</v>
      </c>
      <c r="AK526">
        <v>1</v>
      </c>
      <c r="AL526" t="s">
        <v>10717</v>
      </c>
      <c r="AM526" t="s">
        <v>10726</v>
      </c>
      <c r="AN526" t="s">
        <v>10727</v>
      </c>
      <c r="AO526" t="s">
        <v>10728</v>
      </c>
      <c r="AP526" t="s">
        <v>10729</v>
      </c>
      <c r="AQ526" t="s">
        <v>74</v>
      </c>
      <c r="AR526" t="s">
        <v>10730</v>
      </c>
      <c r="AS526" t="s">
        <v>10731</v>
      </c>
      <c r="AT526" t="s">
        <v>74</v>
      </c>
      <c r="AU526">
        <v>2022</v>
      </c>
      <c r="AV526">
        <v>12</v>
      </c>
      <c r="AW526">
        <v>3</v>
      </c>
      <c r="AX526" t="s">
        <v>74</v>
      </c>
      <c r="AY526" t="s">
        <v>74</v>
      </c>
      <c r="AZ526" t="s">
        <v>74</v>
      </c>
      <c r="BA526" t="s">
        <v>74</v>
      </c>
      <c r="BB526">
        <v>128</v>
      </c>
      <c r="BC526">
        <v>137</v>
      </c>
      <c r="BD526" t="s">
        <v>74</v>
      </c>
      <c r="BE526" t="s">
        <v>74</v>
      </c>
      <c r="BF526" t="s">
        <v>74</v>
      </c>
      <c r="BG526" t="s">
        <v>74</v>
      </c>
      <c r="BH526" t="s">
        <v>74</v>
      </c>
      <c r="BI526">
        <v>10</v>
      </c>
      <c r="BJ526" t="s">
        <v>10732</v>
      </c>
      <c r="BK526" t="s">
        <v>10733</v>
      </c>
      <c r="BL526" t="s">
        <v>10732</v>
      </c>
      <c r="BM526" t="s">
        <v>10734</v>
      </c>
      <c r="BN526" t="s">
        <v>74</v>
      </c>
      <c r="BO526" t="s">
        <v>74</v>
      </c>
      <c r="BP526" t="s">
        <v>74</v>
      </c>
      <c r="BQ526" t="s">
        <v>74</v>
      </c>
      <c r="BR526" t="s">
        <v>106</v>
      </c>
      <c r="BS526" t="s">
        <v>10735</v>
      </c>
      <c r="BT526" t="str">
        <f>HYPERLINK("https%3A%2F%2Fwww.webofscience.com%2Fwos%2Fwoscc%2Ffull-record%2FWOS:000911390300012","View Full Record in Web of Science")</f>
        <v>View Full Record in Web of Science</v>
      </c>
    </row>
    <row r="527" spans="1:72" x14ac:dyDescent="0.25">
      <c r="A527" t="s">
        <v>72</v>
      </c>
      <c r="B527" t="s">
        <v>9163</v>
      </c>
      <c r="C527" t="s">
        <v>74</v>
      </c>
      <c r="D527" t="s">
        <v>74</v>
      </c>
      <c r="E527" t="s">
        <v>74</v>
      </c>
      <c r="F527" t="s">
        <v>9164</v>
      </c>
      <c r="G527" t="s">
        <v>74</v>
      </c>
      <c r="H527" t="s">
        <v>74</v>
      </c>
      <c r="I527" t="s">
        <v>10736</v>
      </c>
      <c r="J527" t="s">
        <v>5225</v>
      </c>
      <c r="K527" t="s">
        <v>74</v>
      </c>
      <c r="L527" t="s">
        <v>74</v>
      </c>
      <c r="M527" t="s">
        <v>78</v>
      </c>
      <c r="N527" t="s">
        <v>79</v>
      </c>
      <c r="O527" t="s">
        <v>74</v>
      </c>
      <c r="P527" t="s">
        <v>74</v>
      </c>
      <c r="Q527" t="s">
        <v>74</v>
      </c>
      <c r="R527" t="s">
        <v>74</v>
      </c>
      <c r="S527" t="s">
        <v>74</v>
      </c>
      <c r="T527" t="s">
        <v>10737</v>
      </c>
      <c r="U527" t="s">
        <v>10738</v>
      </c>
      <c r="V527" t="s">
        <v>10739</v>
      </c>
      <c r="W527" t="s">
        <v>10740</v>
      </c>
      <c r="X527" t="s">
        <v>9170</v>
      </c>
      <c r="Y527" t="s">
        <v>10741</v>
      </c>
      <c r="Z527" t="s">
        <v>10742</v>
      </c>
      <c r="AA527" t="s">
        <v>10743</v>
      </c>
      <c r="AB527" t="s">
        <v>10744</v>
      </c>
      <c r="AC527" t="s">
        <v>74</v>
      </c>
      <c r="AD527" t="s">
        <v>74</v>
      </c>
      <c r="AE527" t="s">
        <v>74</v>
      </c>
      <c r="AF527" t="s">
        <v>74</v>
      </c>
      <c r="AG527">
        <v>36</v>
      </c>
      <c r="AH527">
        <v>2</v>
      </c>
      <c r="AI527">
        <v>3</v>
      </c>
      <c r="AJ527">
        <v>0</v>
      </c>
      <c r="AK527">
        <v>37</v>
      </c>
      <c r="AL527" t="s">
        <v>736</v>
      </c>
      <c r="AM527" t="s">
        <v>737</v>
      </c>
      <c r="AN527" t="s">
        <v>738</v>
      </c>
      <c r="AO527" t="s">
        <v>5232</v>
      </c>
      <c r="AP527" t="s">
        <v>5233</v>
      </c>
      <c r="AQ527" t="s">
        <v>74</v>
      </c>
      <c r="AR527" t="s">
        <v>5234</v>
      </c>
      <c r="AS527" t="s">
        <v>5235</v>
      </c>
      <c r="AT527" t="s">
        <v>10745</v>
      </c>
      <c r="AU527">
        <v>2020</v>
      </c>
      <c r="AV527">
        <v>141</v>
      </c>
      <c r="AW527" t="s">
        <v>74</v>
      </c>
      <c r="AX527" t="s">
        <v>74</v>
      </c>
      <c r="AY527" t="s">
        <v>74</v>
      </c>
      <c r="AZ527" t="s">
        <v>74</v>
      </c>
      <c r="BA527" t="s">
        <v>74</v>
      </c>
      <c r="BB527" t="s">
        <v>74</v>
      </c>
      <c r="BC527" t="s">
        <v>74</v>
      </c>
      <c r="BD527">
        <v>112955</v>
      </c>
      <c r="BE527" t="s">
        <v>10746</v>
      </c>
      <c r="BF527" t="str">
        <f>HYPERLINK("http://dx.doi.org/10.1016/j.eswa.2019.112955","http://dx.doi.org/10.1016/j.eswa.2019.112955")</f>
        <v>http://dx.doi.org/10.1016/j.eswa.2019.112955</v>
      </c>
      <c r="BG527" t="s">
        <v>74</v>
      </c>
      <c r="BH527" t="s">
        <v>74</v>
      </c>
      <c r="BI527">
        <v>18</v>
      </c>
      <c r="BJ527" t="s">
        <v>5237</v>
      </c>
      <c r="BK527" t="s">
        <v>902</v>
      </c>
      <c r="BL527" t="s">
        <v>5238</v>
      </c>
      <c r="BM527" t="s">
        <v>10747</v>
      </c>
      <c r="BN527" t="s">
        <v>74</v>
      </c>
      <c r="BO527" t="s">
        <v>74</v>
      </c>
      <c r="BP527" t="s">
        <v>74</v>
      </c>
      <c r="BQ527" t="s">
        <v>74</v>
      </c>
      <c r="BR527" t="s">
        <v>106</v>
      </c>
      <c r="BS527" t="s">
        <v>10748</v>
      </c>
      <c r="BT527" t="str">
        <f>HYPERLINK("https%3A%2F%2Fwww.webofscience.com%2Fwos%2Fwoscc%2Ffull-record%2FWOS:000496334800029","View Full Record in Web of Science")</f>
        <v>View Full Record in Web of Science</v>
      </c>
    </row>
    <row r="528" spans="1:72" x14ac:dyDescent="0.25">
      <c r="A528" t="s">
        <v>108</v>
      </c>
      <c r="B528" t="s">
        <v>10749</v>
      </c>
      <c r="C528" t="s">
        <v>74</v>
      </c>
      <c r="D528" t="s">
        <v>74</v>
      </c>
      <c r="E528" t="s">
        <v>465</v>
      </c>
      <c r="F528" t="s">
        <v>10750</v>
      </c>
      <c r="G528" t="s">
        <v>74</v>
      </c>
      <c r="H528" t="s">
        <v>74</v>
      </c>
      <c r="I528" t="s">
        <v>10751</v>
      </c>
      <c r="J528" t="s">
        <v>10752</v>
      </c>
      <c r="K528" t="s">
        <v>74</v>
      </c>
      <c r="L528" t="s">
        <v>74</v>
      </c>
      <c r="M528" t="s">
        <v>78</v>
      </c>
      <c r="N528" t="s">
        <v>115</v>
      </c>
      <c r="O528" t="s">
        <v>10753</v>
      </c>
      <c r="P528" t="s">
        <v>10754</v>
      </c>
      <c r="Q528" t="s">
        <v>817</v>
      </c>
      <c r="R528" t="s">
        <v>10755</v>
      </c>
      <c r="S528" t="s">
        <v>74</v>
      </c>
      <c r="T528" t="s">
        <v>10756</v>
      </c>
      <c r="U528" t="s">
        <v>74</v>
      </c>
      <c r="V528" t="s">
        <v>10757</v>
      </c>
      <c r="W528" t="s">
        <v>10758</v>
      </c>
      <c r="X528" t="s">
        <v>10759</v>
      </c>
      <c r="Y528" t="s">
        <v>10760</v>
      </c>
      <c r="Z528" t="s">
        <v>74</v>
      </c>
      <c r="AA528" t="s">
        <v>74</v>
      </c>
      <c r="AB528" t="s">
        <v>74</v>
      </c>
      <c r="AC528" t="s">
        <v>10761</v>
      </c>
      <c r="AD528" t="s">
        <v>10762</v>
      </c>
      <c r="AE528" t="s">
        <v>10763</v>
      </c>
      <c r="AF528" t="s">
        <v>74</v>
      </c>
      <c r="AG528">
        <v>15</v>
      </c>
      <c r="AH528">
        <v>0</v>
      </c>
      <c r="AI528">
        <v>0</v>
      </c>
      <c r="AJ528">
        <v>0</v>
      </c>
      <c r="AK528">
        <v>7</v>
      </c>
      <c r="AL528" t="s">
        <v>465</v>
      </c>
      <c r="AM528" t="s">
        <v>92</v>
      </c>
      <c r="AN528" t="s">
        <v>480</v>
      </c>
      <c r="AO528" t="s">
        <v>74</v>
      </c>
      <c r="AP528" t="s">
        <v>74</v>
      </c>
      <c r="AQ528" t="s">
        <v>10764</v>
      </c>
      <c r="AR528" t="s">
        <v>74</v>
      </c>
      <c r="AS528" t="s">
        <v>74</v>
      </c>
      <c r="AT528" t="s">
        <v>74</v>
      </c>
      <c r="AU528">
        <v>2019</v>
      </c>
      <c r="AV528" t="s">
        <v>74</v>
      </c>
      <c r="AW528" t="s">
        <v>74</v>
      </c>
      <c r="AX528" t="s">
        <v>74</v>
      </c>
      <c r="AY528" t="s">
        <v>74</v>
      </c>
      <c r="AZ528" t="s">
        <v>74</v>
      </c>
      <c r="BA528" t="s">
        <v>74</v>
      </c>
      <c r="BB528">
        <v>246</v>
      </c>
      <c r="BC528">
        <v>251</v>
      </c>
      <c r="BD528" t="s">
        <v>74</v>
      </c>
      <c r="BE528" t="s">
        <v>10765</v>
      </c>
      <c r="BF528" t="str">
        <f>HYPERLINK("http://dx.doi.org/10.1109/icbda.2019.8713190","http://dx.doi.org/10.1109/icbda.2019.8713190")</f>
        <v>http://dx.doi.org/10.1109/icbda.2019.8713190</v>
      </c>
      <c r="BG528" t="s">
        <v>74</v>
      </c>
      <c r="BH528" t="s">
        <v>74</v>
      </c>
      <c r="BI528">
        <v>6</v>
      </c>
      <c r="BJ528" t="s">
        <v>7997</v>
      </c>
      <c r="BK528" t="s">
        <v>203</v>
      </c>
      <c r="BL528" t="s">
        <v>103</v>
      </c>
      <c r="BM528" t="s">
        <v>10766</v>
      </c>
      <c r="BN528" t="s">
        <v>74</v>
      </c>
      <c r="BO528" t="s">
        <v>74</v>
      </c>
      <c r="BP528" t="s">
        <v>74</v>
      </c>
      <c r="BQ528" t="s">
        <v>74</v>
      </c>
      <c r="BR528" t="s">
        <v>106</v>
      </c>
      <c r="BS528" t="s">
        <v>10767</v>
      </c>
      <c r="BT528" t="str">
        <f>HYPERLINK("https%3A%2F%2Fwww.webofscience.com%2Fwos%2Fwoscc%2Ffull-record%2FWOS:000469958800047","View Full Record in Web of Science")</f>
        <v>View Full Record in Web of Science</v>
      </c>
    </row>
    <row r="529" spans="1:72" x14ac:dyDescent="0.25">
      <c r="A529" t="s">
        <v>72</v>
      </c>
      <c r="B529" t="s">
        <v>10768</v>
      </c>
      <c r="C529" t="s">
        <v>74</v>
      </c>
      <c r="D529" t="s">
        <v>74</v>
      </c>
      <c r="E529" t="s">
        <v>74</v>
      </c>
      <c r="F529" t="s">
        <v>10769</v>
      </c>
      <c r="G529" t="s">
        <v>74</v>
      </c>
      <c r="H529" t="s">
        <v>74</v>
      </c>
      <c r="I529" t="s">
        <v>10770</v>
      </c>
      <c r="J529" t="s">
        <v>10771</v>
      </c>
      <c r="K529" t="s">
        <v>74</v>
      </c>
      <c r="L529" t="s">
        <v>74</v>
      </c>
      <c r="M529" t="s">
        <v>10718</v>
      </c>
      <c r="N529" t="s">
        <v>79</v>
      </c>
      <c r="O529" t="s">
        <v>74</v>
      </c>
      <c r="P529" t="s">
        <v>74</v>
      </c>
      <c r="Q529" t="s">
        <v>74</v>
      </c>
      <c r="R529" t="s">
        <v>74</v>
      </c>
      <c r="S529" t="s">
        <v>74</v>
      </c>
      <c r="T529" t="s">
        <v>10772</v>
      </c>
      <c r="U529" t="s">
        <v>10773</v>
      </c>
      <c r="V529" t="s">
        <v>10774</v>
      </c>
      <c r="W529" t="s">
        <v>10775</v>
      </c>
      <c r="X529" t="s">
        <v>10776</v>
      </c>
      <c r="Y529" t="s">
        <v>10777</v>
      </c>
      <c r="Z529" t="s">
        <v>10778</v>
      </c>
      <c r="AA529" t="s">
        <v>10779</v>
      </c>
      <c r="AB529" t="s">
        <v>74</v>
      </c>
      <c r="AC529" t="s">
        <v>10780</v>
      </c>
      <c r="AD529" t="s">
        <v>10781</v>
      </c>
      <c r="AE529" t="s">
        <v>10782</v>
      </c>
      <c r="AF529" t="s">
        <v>74</v>
      </c>
      <c r="AG529">
        <v>16</v>
      </c>
      <c r="AH529">
        <v>0</v>
      </c>
      <c r="AI529">
        <v>0</v>
      </c>
      <c r="AJ529">
        <v>0</v>
      </c>
      <c r="AK529">
        <v>17</v>
      </c>
      <c r="AL529" t="s">
        <v>10783</v>
      </c>
      <c r="AM529" t="s">
        <v>10784</v>
      </c>
      <c r="AN529" t="s">
        <v>10785</v>
      </c>
      <c r="AO529" t="s">
        <v>10786</v>
      </c>
      <c r="AP529" t="s">
        <v>10787</v>
      </c>
      <c r="AQ529" t="s">
        <v>74</v>
      </c>
      <c r="AR529" t="s">
        <v>10788</v>
      </c>
      <c r="AS529" t="s">
        <v>10789</v>
      </c>
      <c r="AT529" t="s">
        <v>74</v>
      </c>
      <c r="AU529">
        <v>2021</v>
      </c>
      <c r="AV529">
        <v>64</v>
      </c>
      <c r="AW529" t="s">
        <v>74</v>
      </c>
      <c r="AX529" t="s">
        <v>74</v>
      </c>
      <c r="AY529" t="s">
        <v>74</v>
      </c>
      <c r="AZ529" t="s">
        <v>74</v>
      </c>
      <c r="BA529" t="s">
        <v>74</v>
      </c>
      <c r="BB529">
        <v>140</v>
      </c>
      <c r="BC529">
        <v>150</v>
      </c>
      <c r="BD529" t="s">
        <v>74</v>
      </c>
      <c r="BE529" t="s">
        <v>10790</v>
      </c>
      <c r="BF529" t="str">
        <f>HYPERLINK("http://dx.doi.org/10.17223/1998863X/64/13","http://dx.doi.org/10.17223/1998863X/64/13")</f>
        <v>http://dx.doi.org/10.17223/1998863X/64/13</v>
      </c>
      <c r="BG529" t="s">
        <v>74</v>
      </c>
      <c r="BH529" t="s">
        <v>74</v>
      </c>
      <c r="BI529">
        <v>11</v>
      </c>
      <c r="BJ529" t="s">
        <v>2611</v>
      </c>
      <c r="BK529" t="s">
        <v>102</v>
      </c>
      <c r="BL529" t="s">
        <v>2612</v>
      </c>
      <c r="BM529" t="s">
        <v>10791</v>
      </c>
      <c r="BN529" t="s">
        <v>74</v>
      </c>
      <c r="BO529" t="s">
        <v>74</v>
      </c>
      <c r="BP529" t="s">
        <v>74</v>
      </c>
      <c r="BQ529" t="s">
        <v>74</v>
      </c>
      <c r="BR529" t="s">
        <v>106</v>
      </c>
      <c r="BS529" t="s">
        <v>10792</v>
      </c>
      <c r="BT529" t="str">
        <f>HYPERLINK("https%3A%2F%2Fwww.webofscience.com%2Fwos%2Fwoscc%2Ffull-record%2FWOS:000757502300013","View Full Record in Web of Science")</f>
        <v>View Full Record in Web of Science</v>
      </c>
    </row>
    <row r="530" spans="1:72" x14ac:dyDescent="0.25">
      <c r="A530" t="s">
        <v>108</v>
      </c>
      <c r="B530" t="s">
        <v>10793</v>
      </c>
      <c r="C530" t="s">
        <v>74</v>
      </c>
      <c r="D530" t="s">
        <v>10794</v>
      </c>
      <c r="E530" t="s">
        <v>74</v>
      </c>
      <c r="F530" t="s">
        <v>10795</v>
      </c>
      <c r="G530" t="s">
        <v>74</v>
      </c>
      <c r="H530" t="s">
        <v>74</v>
      </c>
      <c r="I530" t="s">
        <v>10796</v>
      </c>
      <c r="J530" t="s">
        <v>10797</v>
      </c>
      <c r="K530" t="s">
        <v>114</v>
      </c>
      <c r="L530" t="s">
        <v>74</v>
      </c>
      <c r="M530" t="s">
        <v>78</v>
      </c>
      <c r="N530" t="s">
        <v>115</v>
      </c>
      <c r="O530" t="s">
        <v>10798</v>
      </c>
      <c r="P530" t="s">
        <v>10799</v>
      </c>
      <c r="Q530" t="s">
        <v>10800</v>
      </c>
      <c r="R530" t="s">
        <v>10801</v>
      </c>
      <c r="S530" t="s">
        <v>10802</v>
      </c>
      <c r="T530" t="s">
        <v>10803</v>
      </c>
      <c r="U530" t="s">
        <v>74</v>
      </c>
      <c r="V530" t="s">
        <v>10804</v>
      </c>
      <c r="W530" t="s">
        <v>10805</v>
      </c>
      <c r="X530" t="s">
        <v>10806</v>
      </c>
      <c r="Y530" t="s">
        <v>10807</v>
      </c>
      <c r="Z530" t="s">
        <v>10808</v>
      </c>
      <c r="AA530" t="s">
        <v>10809</v>
      </c>
      <c r="AB530" t="s">
        <v>10810</v>
      </c>
      <c r="AC530" t="s">
        <v>10811</v>
      </c>
      <c r="AD530" t="s">
        <v>10812</v>
      </c>
      <c r="AE530" t="s">
        <v>10813</v>
      </c>
      <c r="AF530" t="s">
        <v>74</v>
      </c>
      <c r="AG530">
        <v>17</v>
      </c>
      <c r="AH530">
        <v>1</v>
      </c>
      <c r="AI530">
        <v>2</v>
      </c>
      <c r="AJ530">
        <v>0</v>
      </c>
      <c r="AK530">
        <v>7</v>
      </c>
      <c r="AL530" t="s">
        <v>129</v>
      </c>
      <c r="AM530" t="s">
        <v>130</v>
      </c>
      <c r="AN530" t="s">
        <v>131</v>
      </c>
      <c r="AO530" t="s">
        <v>159</v>
      </c>
      <c r="AP530" t="s">
        <v>133</v>
      </c>
      <c r="AQ530" t="s">
        <v>10814</v>
      </c>
      <c r="AR530" t="s">
        <v>135</v>
      </c>
      <c r="AS530" t="s">
        <v>74</v>
      </c>
      <c r="AT530" t="s">
        <v>74</v>
      </c>
      <c r="AU530">
        <v>2018</v>
      </c>
      <c r="AV530">
        <v>10938</v>
      </c>
      <c r="AW530" t="s">
        <v>74</v>
      </c>
      <c r="AX530" t="s">
        <v>10815</v>
      </c>
      <c r="AY530" t="s">
        <v>74</v>
      </c>
      <c r="AZ530" t="s">
        <v>74</v>
      </c>
      <c r="BA530" t="s">
        <v>74</v>
      </c>
      <c r="BB530">
        <v>3</v>
      </c>
      <c r="BC530">
        <v>15</v>
      </c>
      <c r="BD530" t="s">
        <v>74</v>
      </c>
      <c r="BE530" t="s">
        <v>10816</v>
      </c>
      <c r="BF530" t="str">
        <f>HYPERLINK("http://dx.doi.org/10.1007/978-3-319-93037-4_1","http://dx.doi.org/10.1007/978-3-319-93037-4_1")</f>
        <v>http://dx.doi.org/10.1007/978-3-319-93037-4_1</v>
      </c>
      <c r="BG530" t="s">
        <v>74</v>
      </c>
      <c r="BH530" t="s">
        <v>74</v>
      </c>
      <c r="BI530">
        <v>13</v>
      </c>
      <c r="BJ530" t="s">
        <v>461</v>
      </c>
      <c r="BK530" t="s">
        <v>203</v>
      </c>
      <c r="BL530" t="s">
        <v>103</v>
      </c>
      <c r="BM530" t="s">
        <v>10817</v>
      </c>
      <c r="BN530" t="s">
        <v>74</v>
      </c>
      <c r="BO530" t="s">
        <v>74</v>
      </c>
      <c r="BP530" t="s">
        <v>74</v>
      </c>
      <c r="BQ530" t="s">
        <v>74</v>
      </c>
      <c r="BR530" t="s">
        <v>106</v>
      </c>
      <c r="BS530" t="s">
        <v>10818</v>
      </c>
      <c r="BT530" t="str">
        <f>HYPERLINK("https%3A%2F%2Fwww.webofscience.com%2Fwos%2Fwoscc%2Ffull-record%2FWOS:000443225200001","View Full Record in Web of Science")</f>
        <v>View Full Record in Web of Science</v>
      </c>
    </row>
    <row r="531" spans="1:72" x14ac:dyDescent="0.25">
      <c r="A531" t="s">
        <v>108</v>
      </c>
      <c r="B531" t="s">
        <v>10819</v>
      </c>
      <c r="C531" t="s">
        <v>74</v>
      </c>
      <c r="D531" t="s">
        <v>74</v>
      </c>
      <c r="E531" t="s">
        <v>273</v>
      </c>
      <c r="F531" t="s">
        <v>10820</v>
      </c>
      <c r="G531" t="s">
        <v>74</v>
      </c>
      <c r="H531" t="s">
        <v>74</v>
      </c>
      <c r="I531" t="s">
        <v>10821</v>
      </c>
      <c r="J531" t="s">
        <v>10822</v>
      </c>
      <c r="K531" t="s">
        <v>74</v>
      </c>
      <c r="L531" t="s">
        <v>74</v>
      </c>
      <c r="M531" t="s">
        <v>78</v>
      </c>
      <c r="N531" t="s">
        <v>115</v>
      </c>
      <c r="O531" t="s">
        <v>10823</v>
      </c>
      <c r="P531" t="s">
        <v>10824</v>
      </c>
      <c r="Q531" t="s">
        <v>10825</v>
      </c>
      <c r="R531" t="s">
        <v>10826</v>
      </c>
      <c r="S531" t="s">
        <v>74</v>
      </c>
      <c r="T531" t="s">
        <v>10827</v>
      </c>
      <c r="U531" t="s">
        <v>74</v>
      </c>
      <c r="V531" t="s">
        <v>10828</v>
      </c>
      <c r="W531" t="s">
        <v>10829</v>
      </c>
      <c r="X531" t="s">
        <v>10830</v>
      </c>
      <c r="Y531" t="s">
        <v>10831</v>
      </c>
      <c r="Z531" t="s">
        <v>10832</v>
      </c>
      <c r="AA531" t="s">
        <v>74</v>
      </c>
      <c r="AB531" t="s">
        <v>10833</v>
      </c>
      <c r="AC531" t="s">
        <v>10834</v>
      </c>
      <c r="AD531" t="s">
        <v>10835</v>
      </c>
      <c r="AE531" t="s">
        <v>10836</v>
      </c>
      <c r="AF531" t="s">
        <v>74</v>
      </c>
      <c r="AG531">
        <v>31</v>
      </c>
      <c r="AH531">
        <v>23</v>
      </c>
      <c r="AI531">
        <v>26</v>
      </c>
      <c r="AJ531">
        <v>0</v>
      </c>
      <c r="AK531">
        <v>6</v>
      </c>
      <c r="AL531" t="s">
        <v>291</v>
      </c>
      <c r="AM531" t="s">
        <v>92</v>
      </c>
      <c r="AN531" t="s">
        <v>292</v>
      </c>
      <c r="AO531" t="s">
        <v>74</v>
      </c>
      <c r="AP531" t="s">
        <v>74</v>
      </c>
      <c r="AQ531" t="s">
        <v>10837</v>
      </c>
      <c r="AR531" t="s">
        <v>74</v>
      </c>
      <c r="AS531" t="s">
        <v>74</v>
      </c>
      <c r="AT531" t="s">
        <v>74</v>
      </c>
      <c r="AU531">
        <v>2018</v>
      </c>
      <c r="AV531" t="s">
        <v>74</v>
      </c>
      <c r="AW531" t="s">
        <v>74</v>
      </c>
      <c r="AX531" t="s">
        <v>74</v>
      </c>
      <c r="AY531" t="s">
        <v>74</v>
      </c>
      <c r="AZ531" t="s">
        <v>74</v>
      </c>
      <c r="BA531" t="s">
        <v>74</v>
      </c>
      <c r="BB531">
        <v>1135</v>
      </c>
      <c r="BC531">
        <v>1144</v>
      </c>
      <c r="BD531" t="s">
        <v>74</v>
      </c>
      <c r="BE531" t="s">
        <v>10838</v>
      </c>
      <c r="BF531" t="str">
        <f>HYPERLINK("http://dx.doi.org/10.1145/3178876.3186012","http://dx.doi.org/10.1145/3178876.3186012")</f>
        <v>http://dx.doi.org/10.1145/3178876.3186012</v>
      </c>
      <c r="BG531" t="s">
        <v>74</v>
      </c>
      <c r="BH531" t="s">
        <v>74</v>
      </c>
      <c r="BI531">
        <v>10</v>
      </c>
      <c r="BJ531" t="s">
        <v>2700</v>
      </c>
      <c r="BK531" t="s">
        <v>203</v>
      </c>
      <c r="BL531" t="s">
        <v>103</v>
      </c>
      <c r="BM531" t="s">
        <v>10839</v>
      </c>
      <c r="BN531" t="s">
        <v>74</v>
      </c>
      <c r="BO531" t="s">
        <v>372</v>
      </c>
      <c r="BP531" t="s">
        <v>74</v>
      </c>
      <c r="BQ531" t="s">
        <v>74</v>
      </c>
      <c r="BR531" t="s">
        <v>106</v>
      </c>
      <c r="BS531" t="s">
        <v>10840</v>
      </c>
      <c r="BT531" t="str">
        <f>HYPERLINK("https%3A%2F%2Fwww.webofscience.com%2Fwos%2Fwoscc%2Ffull-record%2FWOS:000460379000111","View Full Record in Web of Science")</f>
        <v>View Full Record in Web of Science</v>
      </c>
    </row>
    <row r="532" spans="1:72" x14ac:dyDescent="0.25">
      <c r="A532" t="s">
        <v>72</v>
      </c>
      <c r="B532" t="s">
        <v>10841</v>
      </c>
      <c r="C532" t="s">
        <v>74</v>
      </c>
      <c r="D532" t="s">
        <v>74</v>
      </c>
      <c r="E532" t="s">
        <v>74</v>
      </c>
      <c r="F532" t="s">
        <v>10842</v>
      </c>
      <c r="G532" t="s">
        <v>74</v>
      </c>
      <c r="H532" t="s">
        <v>74</v>
      </c>
      <c r="I532" t="s">
        <v>10843</v>
      </c>
      <c r="J532" t="s">
        <v>10844</v>
      </c>
      <c r="K532" t="s">
        <v>74</v>
      </c>
      <c r="L532" t="s">
        <v>74</v>
      </c>
      <c r="M532" t="s">
        <v>78</v>
      </c>
      <c r="N532" t="s">
        <v>10845</v>
      </c>
      <c r="O532" t="s">
        <v>74</v>
      </c>
      <c r="P532" t="s">
        <v>74</v>
      </c>
      <c r="Q532" t="s">
        <v>74</v>
      </c>
      <c r="R532" t="s">
        <v>74</v>
      </c>
      <c r="S532" t="s">
        <v>74</v>
      </c>
      <c r="T532" t="s">
        <v>10846</v>
      </c>
      <c r="U532" t="s">
        <v>10847</v>
      </c>
      <c r="V532" t="s">
        <v>10848</v>
      </c>
      <c r="W532" t="s">
        <v>10849</v>
      </c>
      <c r="X532" t="s">
        <v>10850</v>
      </c>
      <c r="Y532" t="s">
        <v>10851</v>
      </c>
      <c r="Z532" t="s">
        <v>10852</v>
      </c>
      <c r="AA532" t="s">
        <v>10853</v>
      </c>
      <c r="AB532" t="s">
        <v>74</v>
      </c>
      <c r="AC532" t="s">
        <v>10854</v>
      </c>
      <c r="AD532" t="s">
        <v>10855</v>
      </c>
      <c r="AE532" t="s">
        <v>10856</v>
      </c>
      <c r="AF532" t="s">
        <v>74</v>
      </c>
      <c r="AG532">
        <v>91</v>
      </c>
      <c r="AH532">
        <v>0</v>
      </c>
      <c r="AI532">
        <v>0</v>
      </c>
      <c r="AJ532">
        <v>0</v>
      </c>
      <c r="AK532">
        <v>0</v>
      </c>
      <c r="AL532" t="s">
        <v>10857</v>
      </c>
      <c r="AM532" t="s">
        <v>10858</v>
      </c>
      <c r="AN532" t="s">
        <v>10859</v>
      </c>
      <c r="AO532" t="s">
        <v>74</v>
      </c>
      <c r="AP532" t="s">
        <v>10860</v>
      </c>
      <c r="AQ532" t="s">
        <v>74</v>
      </c>
      <c r="AR532" t="s">
        <v>10861</v>
      </c>
      <c r="AS532" t="s">
        <v>10862</v>
      </c>
      <c r="AT532" t="s">
        <v>10863</v>
      </c>
      <c r="AU532">
        <v>2026</v>
      </c>
      <c r="AV532" t="s">
        <v>74</v>
      </c>
      <c r="AW532" t="s">
        <v>74</v>
      </c>
      <c r="AX532" t="s">
        <v>74</v>
      </c>
      <c r="AY532" t="s">
        <v>74</v>
      </c>
      <c r="AZ532" t="s">
        <v>74</v>
      </c>
      <c r="BA532" t="s">
        <v>74</v>
      </c>
      <c r="BB532" t="s">
        <v>74</v>
      </c>
      <c r="BC532" t="s">
        <v>74</v>
      </c>
      <c r="BD532" t="s">
        <v>74</v>
      </c>
      <c r="BE532" t="s">
        <v>10864</v>
      </c>
      <c r="BF532" t="str">
        <f>HYPERLINK("http://dx.doi.org/10.1017/nlp.2026.10024","http://dx.doi.org/10.1017/nlp.2026.10024")</f>
        <v>http://dx.doi.org/10.1017/nlp.2026.10024</v>
      </c>
      <c r="BG532" t="s">
        <v>74</v>
      </c>
      <c r="BH532" t="s">
        <v>8420</v>
      </c>
      <c r="BI532">
        <v>48</v>
      </c>
      <c r="BJ532" t="s">
        <v>10865</v>
      </c>
      <c r="BK532" t="s">
        <v>10866</v>
      </c>
      <c r="BL532" t="s">
        <v>833</v>
      </c>
      <c r="BM532" t="s">
        <v>10867</v>
      </c>
      <c r="BN532" t="s">
        <v>74</v>
      </c>
      <c r="BO532" t="s">
        <v>74</v>
      </c>
      <c r="BP532" t="s">
        <v>74</v>
      </c>
      <c r="BQ532" t="s">
        <v>74</v>
      </c>
      <c r="BR532" t="s">
        <v>106</v>
      </c>
      <c r="BS532" t="s">
        <v>10868</v>
      </c>
      <c r="BT532" t="str">
        <f>HYPERLINK("https%3A%2F%2Fwww.webofscience.com%2Fwos%2Fwoscc%2Ffull-record%2FWOS:001753698700001","View Full Record in Web of Science")</f>
        <v>View Full Record in Web of Science</v>
      </c>
    </row>
    <row r="533" spans="1:72" x14ac:dyDescent="0.25">
      <c r="A533" t="s">
        <v>72</v>
      </c>
      <c r="B533" t="s">
        <v>10869</v>
      </c>
      <c r="C533" t="s">
        <v>74</v>
      </c>
      <c r="D533" t="s">
        <v>74</v>
      </c>
      <c r="E533" t="s">
        <v>74</v>
      </c>
      <c r="F533" t="s">
        <v>10870</v>
      </c>
      <c r="G533" t="s">
        <v>74</v>
      </c>
      <c r="H533" t="s">
        <v>74</v>
      </c>
      <c r="I533" t="s">
        <v>10871</v>
      </c>
      <c r="J533" t="s">
        <v>10872</v>
      </c>
      <c r="K533" t="s">
        <v>74</v>
      </c>
      <c r="L533" t="s">
        <v>74</v>
      </c>
      <c r="M533" t="s">
        <v>78</v>
      </c>
      <c r="N533" t="s">
        <v>79</v>
      </c>
      <c r="O533" t="s">
        <v>74</v>
      </c>
      <c r="P533" t="s">
        <v>74</v>
      </c>
      <c r="Q533" t="s">
        <v>74</v>
      </c>
      <c r="R533" t="s">
        <v>74</v>
      </c>
      <c r="S533" t="s">
        <v>74</v>
      </c>
      <c r="T533" t="s">
        <v>10873</v>
      </c>
      <c r="U533" t="s">
        <v>1308</v>
      </c>
      <c r="V533" t="s">
        <v>10874</v>
      </c>
      <c r="W533" t="s">
        <v>10875</v>
      </c>
      <c r="X533" t="s">
        <v>10876</v>
      </c>
      <c r="Y533" t="s">
        <v>10877</v>
      </c>
      <c r="Z533" t="s">
        <v>10878</v>
      </c>
      <c r="AA533" t="s">
        <v>10879</v>
      </c>
      <c r="AB533" t="s">
        <v>10880</v>
      </c>
      <c r="AC533" t="s">
        <v>10881</v>
      </c>
      <c r="AD533" t="s">
        <v>10882</v>
      </c>
      <c r="AE533" t="s">
        <v>10883</v>
      </c>
      <c r="AF533" t="s">
        <v>74</v>
      </c>
      <c r="AG533">
        <v>58</v>
      </c>
      <c r="AH533">
        <v>8</v>
      </c>
      <c r="AI533">
        <v>10</v>
      </c>
      <c r="AJ533">
        <v>0</v>
      </c>
      <c r="AK533">
        <v>25</v>
      </c>
      <c r="AL533" t="s">
        <v>1813</v>
      </c>
      <c r="AM533" t="s">
        <v>1814</v>
      </c>
      <c r="AN533" t="s">
        <v>10021</v>
      </c>
      <c r="AO533" t="s">
        <v>10884</v>
      </c>
      <c r="AP533" t="s">
        <v>10885</v>
      </c>
      <c r="AQ533" t="s">
        <v>74</v>
      </c>
      <c r="AR533" t="s">
        <v>10886</v>
      </c>
      <c r="AS533" t="s">
        <v>10887</v>
      </c>
      <c r="AT533" t="s">
        <v>1251</v>
      </c>
      <c r="AU533">
        <v>2017</v>
      </c>
      <c r="AV533">
        <v>26</v>
      </c>
      <c r="AW533">
        <v>2</v>
      </c>
      <c r="AX533" t="s">
        <v>74</v>
      </c>
      <c r="AY533" t="s">
        <v>74</v>
      </c>
      <c r="AZ533" t="s">
        <v>247</v>
      </c>
      <c r="BA533" t="s">
        <v>74</v>
      </c>
      <c r="BB533" t="s">
        <v>74</v>
      </c>
      <c r="BC533" t="s">
        <v>74</v>
      </c>
      <c r="BD533">
        <v>1760012</v>
      </c>
      <c r="BE533" t="s">
        <v>10888</v>
      </c>
      <c r="BF533" t="str">
        <f>HYPERLINK("http://dx.doi.org/10.1142/S0218213017600120","http://dx.doi.org/10.1142/S0218213017600120")</f>
        <v>http://dx.doi.org/10.1142/S0218213017600120</v>
      </c>
      <c r="BG533" t="s">
        <v>74</v>
      </c>
      <c r="BH533" t="s">
        <v>74</v>
      </c>
      <c r="BI533">
        <v>29</v>
      </c>
      <c r="BJ533" t="s">
        <v>2837</v>
      </c>
      <c r="BK533" t="s">
        <v>902</v>
      </c>
      <c r="BL533" t="s">
        <v>103</v>
      </c>
      <c r="BM533" t="s">
        <v>10889</v>
      </c>
      <c r="BN533" t="s">
        <v>74</v>
      </c>
      <c r="BO533" t="s">
        <v>74</v>
      </c>
      <c r="BP533" t="s">
        <v>74</v>
      </c>
      <c r="BQ533" t="s">
        <v>74</v>
      </c>
      <c r="BR533" t="s">
        <v>106</v>
      </c>
      <c r="BS533" t="s">
        <v>10890</v>
      </c>
      <c r="BT533" t="str">
        <f>HYPERLINK("https%3A%2F%2Fwww.webofscience.com%2Fwos%2Fwoscc%2Ffull-record%2FWOS:000399394900004","View Full Record in Web of Science")</f>
        <v>View Full Record in Web of Science</v>
      </c>
    </row>
    <row r="534" spans="1:72" x14ac:dyDescent="0.25">
      <c r="A534" t="s">
        <v>108</v>
      </c>
      <c r="B534" t="s">
        <v>10891</v>
      </c>
      <c r="C534" t="s">
        <v>74</v>
      </c>
      <c r="D534" t="s">
        <v>10892</v>
      </c>
      <c r="E534" t="s">
        <v>74</v>
      </c>
      <c r="F534" t="s">
        <v>10893</v>
      </c>
      <c r="G534" t="s">
        <v>74</v>
      </c>
      <c r="H534" t="s">
        <v>74</v>
      </c>
      <c r="I534" t="s">
        <v>10894</v>
      </c>
      <c r="J534" t="s">
        <v>10895</v>
      </c>
      <c r="K534" t="s">
        <v>114</v>
      </c>
      <c r="L534" t="s">
        <v>74</v>
      </c>
      <c r="M534" t="s">
        <v>78</v>
      </c>
      <c r="N534" t="s">
        <v>115</v>
      </c>
      <c r="O534" t="s">
        <v>10896</v>
      </c>
      <c r="P534" t="s">
        <v>10897</v>
      </c>
      <c r="Q534" t="s">
        <v>6747</v>
      </c>
      <c r="R534" t="s">
        <v>10898</v>
      </c>
      <c r="S534" t="s">
        <v>74</v>
      </c>
      <c r="T534" t="s">
        <v>10899</v>
      </c>
      <c r="U534" t="s">
        <v>1421</v>
      </c>
      <c r="V534" t="s">
        <v>10900</v>
      </c>
      <c r="W534" t="s">
        <v>10901</v>
      </c>
      <c r="X534" t="s">
        <v>10902</v>
      </c>
      <c r="Y534" t="s">
        <v>10903</v>
      </c>
      <c r="Z534" t="s">
        <v>10904</v>
      </c>
      <c r="AA534" t="s">
        <v>10905</v>
      </c>
      <c r="AB534" t="s">
        <v>10906</v>
      </c>
      <c r="AC534" t="s">
        <v>10907</v>
      </c>
      <c r="AD534" t="s">
        <v>10908</v>
      </c>
      <c r="AE534" t="s">
        <v>10909</v>
      </c>
      <c r="AF534" t="s">
        <v>74</v>
      </c>
      <c r="AG534">
        <v>26</v>
      </c>
      <c r="AH534">
        <v>3</v>
      </c>
      <c r="AI534">
        <v>5</v>
      </c>
      <c r="AJ534">
        <v>0</v>
      </c>
      <c r="AK534">
        <v>3</v>
      </c>
      <c r="AL534" t="s">
        <v>129</v>
      </c>
      <c r="AM534" t="s">
        <v>130</v>
      </c>
      <c r="AN534" t="s">
        <v>131</v>
      </c>
      <c r="AO534" t="s">
        <v>132</v>
      </c>
      <c r="AP534" t="s">
        <v>133</v>
      </c>
      <c r="AQ534" t="s">
        <v>10910</v>
      </c>
      <c r="AR534" t="s">
        <v>135</v>
      </c>
      <c r="AS534" t="s">
        <v>74</v>
      </c>
      <c r="AT534" t="s">
        <v>74</v>
      </c>
      <c r="AU534">
        <v>2023</v>
      </c>
      <c r="AV534">
        <v>14174</v>
      </c>
      <c r="AW534" t="s">
        <v>74</v>
      </c>
      <c r="AX534" t="s">
        <v>74</v>
      </c>
      <c r="AY534" t="s">
        <v>74</v>
      </c>
      <c r="AZ534" t="s">
        <v>74</v>
      </c>
      <c r="BA534" t="s">
        <v>74</v>
      </c>
      <c r="BB534">
        <v>174</v>
      </c>
      <c r="BC534">
        <v>189</v>
      </c>
      <c r="BD534" t="s">
        <v>74</v>
      </c>
      <c r="BE534" t="s">
        <v>10911</v>
      </c>
      <c r="BF534" t="str">
        <f>HYPERLINK("http://dx.doi.org/10.1007/978-3-031-43427-3_11","http://dx.doi.org/10.1007/978-3-031-43427-3_11")</f>
        <v>http://dx.doi.org/10.1007/978-3-031-43427-3_11</v>
      </c>
      <c r="BG534" t="s">
        <v>74</v>
      </c>
      <c r="BH534" t="s">
        <v>74</v>
      </c>
      <c r="BI534">
        <v>16</v>
      </c>
      <c r="BJ534" t="s">
        <v>1399</v>
      </c>
      <c r="BK534" t="s">
        <v>203</v>
      </c>
      <c r="BL534" t="s">
        <v>103</v>
      </c>
      <c r="BM534" t="s">
        <v>10912</v>
      </c>
      <c r="BN534" t="s">
        <v>74</v>
      </c>
      <c r="BO534" t="s">
        <v>74</v>
      </c>
      <c r="BP534" t="s">
        <v>74</v>
      </c>
      <c r="BQ534" t="s">
        <v>74</v>
      </c>
      <c r="BR534" t="s">
        <v>106</v>
      </c>
      <c r="BS534" t="s">
        <v>10913</v>
      </c>
      <c r="BT534" t="str">
        <f>HYPERLINK("https%3A%2F%2Fwww.webofscience.com%2Fwos%2Fwoscc%2Ffull-record%2FWOS:001156143700011","View Full Record in Web of Science")</f>
        <v>View Full Record in Web of Science</v>
      </c>
    </row>
    <row r="535" spans="1:72" x14ac:dyDescent="0.25">
      <c r="A535" t="s">
        <v>108</v>
      </c>
      <c r="B535" t="s">
        <v>10914</v>
      </c>
      <c r="C535" t="s">
        <v>74</v>
      </c>
      <c r="D535" t="s">
        <v>74</v>
      </c>
      <c r="E535" t="s">
        <v>322</v>
      </c>
      <c r="F535" t="s">
        <v>10915</v>
      </c>
      <c r="G535" t="s">
        <v>74</v>
      </c>
      <c r="H535" t="s">
        <v>74</v>
      </c>
      <c r="I535" t="s">
        <v>10916</v>
      </c>
      <c r="J535" t="s">
        <v>10917</v>
      </c>
      <c r="K535" t="s">
        <v>74</v>
      </c>
      <c r="L535" t="s">
        <v>74</v>
      </c>
      <c r="M535" t="s">
        <v>78</v>
      </c>
      <c r="N535" t="s">
        <v>115</v>
      </c>
      <c r="O535" t="s">
        <v>10918</v>
      </c>
      <c r="P535" t="s">
        <v>10919</v>
      </c>
      <c r="Q535" t="s">
        <v>10920</v>
      </c>
      <c r="R535" t="s">
        <v>74</v>
      </c>
      <c r="S535" t="s">
        <v>10921</v>
      </c>
      <c r="T535" t="s">
        <v>10922</v>
      </c>
      <c r="U535" t="s">
        <v>74</v>
      </c>
      <c r="V535" t="s">
        <v>10923</v>
      </c>
      <c r="W535" t="s">
        <v>10924</v>
      </c>
      <c r="X535" t="s">
        <v>10925</v>
      </c>
      <c r="Y535" t="s">
        <v>10926</v>
      </c>
      <c r="Z535" t="s">
        <v>10927</v>
      </c>
      <c r="AA535" t="s">
        <v>5369</v>
      </c>
      <c r="AB535" t="s">
        <v>5370</v>
      </c>
      <c r="AC535" t="s">
        <v>74</v>
      </c>
      <c r="AD535" t="s">
        <v>74</v>
      </c>
      <c r="AE535" t="s">
        <v>74</v>
      </c>
      <c r="AF535" t="s">
        <v>74</v>
      </c>
      <c r="AG535">
        <v>18</v>
      </c>
      <c r="AH535">
        <v>1</v>
      </c>
      <c r="AI535">
        <v>1</v>
      </c>
      <c r="AJ535">
        <v>0</v>
      </c>
      <c r="AK535">
        <v>10</v>
      </c>
      <c r="AL535" t="s">
        <v>291</v>
      </c>
      <c r="AM535" t="s">
        <v>92</v>
      </c>
      <c r="AN535" t="s">
        <v>292</v>
      </c>
      <c r="AO535" t="s">
        <v>74</v>
      </c>
      <c r="AP535" t="s">
        <v>74</v>
      </c>
      <c r="AQ535" t="s">
        <v>10928</v>
      </c>
      <c r="AR535" t="s">
        <v>74</v>
      </c>
      <c r="AS535" t="s">
        <v>74</v>
      </c>
      <c r="AT535" t="s">
        <v>74</v>
      </c>
      <c r="AU535">
        <v>2019</v>
      </c>
      <c r="AV535" t="s">
        <v>74</v>
      </c>
      <c r="AW535" t="s">
        <v>74</v>
      </c>
      <c r="AX535" t="s">
        <v>74</v>
      </c>
      <c r="AY535" t="s">
        <v>74</v>
      </c>
      <c r="AZ535" t="s">
        <v>74</v>
      </c>
      <c r="BA535" t="s">
        <v>74</v>
      </c>
      <c r="BB535">
        <v>14</v>
      </c>
      <c r="BC535">
        <v>19</v>
      </c>
      <c r="BD535" t="s">
        <v>74</v>
      </c>
      <c r="BE535" t="s">
        <v>10929</v>
      </c>
      <c r="BF535" t="str">
        <f>HYPERLINK("http://dx.doi.org/10.1145/3323771.3323791","http://dx.doi.org/10.1145/3323771.3323791")</f>
        <v>http://dx.doi.org/10.1145/3323771.3323791</v>
      </c>
      <c r="BG535" t="s">
        <v>74</v>
      </c>
      <c r="BH535" t="s">
        <v>74</v>
      </c>
      <c r="BI535">
        <v>6</v>
      </c>
      <c r="BJ535" t="s">
        <v>10930</v>
      </c>
      <c r="BK535" t="s">
        <v>203</v>
      </c>
      <c r="BL535" t="s">
        <v>139</v>
      </c>
      <c r="BM535" t="s">
        <v>10931</v>
      </c>
      <c r="BN535" t="s">
        <v>74</v>
      </c>
      <c r="BO535" t="s">
        <v>74</v>
      </c>
      <c r="BP535" t="s">
        <v>74</v>
      </c>
      <c r="BQ535" t="s">
        <v>74</v>
      </c>
      <c r="BR535" t="s">
        <v>106</v>
      </c>
      <c r="BS535" t="s">
        <v>10932</v>
      </c>
      <c r="BT535" t="str">
        <f>HYPERLINK("https%3A%2F%2Fwww.webofscience.com%2Fwos%2Fwoscc%2Ffull-record%2FWOS:000482045600004","View Full Record in Web of Science")</f>
        <v>View Full Record in Web of Science</v>
      </c>
    </row>
    <row r="536" spans="1:72" x14ac:dyDescent="0.25">
      <c r="A536" t="s">
        <v>108</v>
      </c>
      <c r="B536" t="s">
        <v>10933</v>
      </c>
      <c r="C536" t="s">
        <v>74</v>
      </c>
      <c r="D536" t="s">
        <v>74</v>
      </c>
      <c r="E536" t="s">
        <v>465</v>
      </c>
      <c r="F536" t="s">
        <v>10934</v>
      </c>
      <c r="G536" t="s">
        <v>74</v>
      </c>
      <c r="H536" t="s">
        <v>74</v>
      </c>
      <c r="I536" t="s">
        <v>10935</v>
      </c>
      <c r="J536" t="s">
        <v>10936</v>
      </c>
      <c r="K536" t="s">
        <v>4185</v>
      </c>
      <c r="L536" t="s">
        <v>74</v>
      </c>
      <c r="M536" t="s">
        <v>78</v>
      </c>
      <c r="N536" t="s">
        <v>115</v>
      </c>
      <c r="O536" t="s">
        <v>10937</v>
      </c>
      <c r="P536" t="s">
        <v>10938</v>
      </c>
      <c r="Q536" t="s">
        <v>7565</v>
      </c>
      <c r="R536" t="s">
        <v>10939</v>
      </c>
      <c r="S536" t="s">
        <v>74</v>
      </c>
      <c r="T536" t="s">
        <v>10940</v>
      </c>
      <c r="U536" t="s">
        <v>74</v>
      </c>
      <c r="V536" t="s">
        <v>10941</v>
      </c>
      <c r="W536" t="s">
        <v>10942</v>
      </c>
      <c r="X536" t="s">
        <v>10943</v>
      </c>
      <c r="Y536" t="s">
        <v>10944</v>
      </c>
      <c r="Z536" t="s">
        <v>10945</v>
      </c>
      <c r="AA536" t="s">
        <v>10946</v>
      </c>
      <c r="AB536" t="s">
        <v>10947</v>
      </c>
      <c r="AC536" t="s">
        <v>74</v>
      </c>
      <c r="AD536" t="s">
        <v>74</v>
      </c>
      <c r="AE536" t="s">
        <v>74</v>
      </c>
      <c r="AF536" t="s">
        <v>74</v>
      </c>
      <c r="AG536">
        <v>17</v>
      </c>
      <c r="AH536">
        <v>0</v>
      </c>
      <c r="AI536">
        <v>0</v>
      </c>
      <c r="AJ536">
        <v>0</v>
      </c>
      <c r="AK536">
        <v>0</v>
      </c>
      <c r="AL536" t="s">
        <v>465</v>
      </c>
      <c r="AM536" t="s">
        <v>92</v>
      </c>
      <c r="AN536" t="s">
        <v>480</v>
      </c>
      <c r="AO536" t="s">
        <v>4197</v>
      </c>
      <c r="AP536" t="s">
        <v>74</v>
      </c>
      <c r="AQ536" t="s">
        <v>10948</v>
      </c>
      <c r="AR536" t="s">
        <v>4199</v>
      </c>
      <c r="AS536" t="s">
        <v>74</v>
      </c>
      <c r="AT536" t="s">
        <v>74</v>
      </c>
      <c r="AU536">
        <v>2021</v>
      </c>
      <c r="AV536" t="s">
        <v>74</v>
      </c>
      <c r="AW536" t="s">
        <v>74</v>
      </c>
      <c r="AX536" t="s">
        <v>74</v>
      </c>
      <c r="AY536" t="s">
        <v>74</v>
      </c>
      <c r="AZ536" t="s">
        <v>74</v>
      </c>
      <c r="BA536" t="s">
        <v>74</v>
      </c>
      <c r="BB536" t="s">
        <v>74</v>
      </c>
      <c r="BC536" t="s">
        <v>74</v>
      </c>
      <c r="BD536" t="s">
        <v>74</v>
      </c>
      <c r="BE536" t="s">
        <v>10949</v>
      </c>
      <c r="BF536" t="str">
        <f>HYPERLINK("http://dx.doi.org/10.1109/TENSYMP52854.2021.9550917","http://dx.doi.org/10.1109/TENSYMP52854.2021.9550917")</f>
        <v>http://dx.doi.org/10.1109/TENSYMP52854.2021.9550917</v>
      </c>
      <c r="BG536" t="s">
        <v>74</v>
      </c>
      <c r="BH536" t="s">
        <v>74</v>
      </c>
      <c r="BI536">
        <v>6</v>
      </c>
      <c r="BJ536" t="s">
        <v>1736</v>
      </c>
      <c r="BK536" t="s">
        <v>203</v>
      </c>
      <c r="BL536" t="s">
        <v>1737</v>
      </c>
      <c r="BM536" t="s">
        <v>10950</v>
      </c>
      <c r="BN536" t="s">
        <v>74</v>
      </c>
      <c r="BO536" t="s">
        <v>74</v>
      </c>
      <c r="BP536" t="s">
        <v>74</v>
      </c>
      <c r="BQ536" t="s">
        <v>74</v>
      </c>
      <c r="BR536" t="s">
        <v>106</v>
      </c>
      <c r="BS536" t="s">
        <v>10951</v>
      </c>
      <c r="BT536" t="str">
        <f>HYPERLINK("https%3A%2F%2Fwww.webofscience.com%2Fwos%2Fwoscc%2Ffull-record%2FWOS:000786502700091","View Full Record in Web of Science")</f>
        <v>View Full Record in Web of Science</v>
      </c>
    </row>
    <row r="537" spans="1:72" x14ac:dyDescent="0.25">
      <c r="A537" t="s">
        <v>108</v>
      </c>
      <c r="B537" t="s">
        <v>8690</v>
      </c>
      <c r="C537" t="s">
        <v>74</v>
      </c>
      <c r="D537" t="s">
        <v>10952</v>
      </c>
      <c r="E537" t="s">
        <v>74</v>
      </c>
      <c r="F537" t="s">
        <v>8691</v>
      </c>
      <c r="G537" t="s">
        <v>74</v>
      </c>
      <c r="H537" t="s">
        <v>74</v>
      </c>
      <c r="I537" t="s">
        <v>10953</v>
      </c>
      <c r="J537" t="s">
        <v>10954</v>
      </c>
      <c r="K537" t="s">
        <v>4853</v>
      </c>
      <c r="L537" t="s">
        <v>74</v>
      </c>
      <c r="M537" t="s">
        <v>78</v>
      </c>
      <c r="N537" t="s">
        <v>115</v>
      </c>
      <c r="O537" t="s">
        <v>10955</v>
      </c>
      <c r="P537" t="s">
        <v>10956</v>
      </c>
      <c r="Q537" t="s">
        <v>10957</v>
      </c>
      <c r="R537" t="s">
        <v>10958</v>
      </c>
      <c r="S537" t="s">
        <v>74</v>
      </c>
      <c r="T537" t="s">
        <v>10959</v>
      </c>
      <c r="U537" t="s">
        <v>74</v>
      </c>
      <c r="V537" t="s">
        <v>10960</v>
      </c>
      <c r="W537" t="s">
        <v>10961</v>
      </c>
      <c r="X537" t="s">
        <v>10962</v>
      </c>
      <c r="Y537" t="s">
        <v>10963</v>
      </c>
      <c r="Z537" t="s">
        <v>10964</v>
      </c>
      <c r="AA537" t="s">
        <v>10965</v>
      </c>
      <c r="AB537" t="s">
        <v>9524</v>
      </c>
      <c r="AC537" t="s">
        <v>10966</v>
      </c>
      <c r="AD537" t="s">
        <v>10967</v>
      </c>
      <c r="AE537" t="s">
        <v>10968</v>
      </c>
      <c r="AF537" t="s">
        <v>74</v>
      </c>
      <c r="AG537">
        <v>25</v>
      </c>
      <c r="AH537">
        <v>1</v>
      </c>
      <c r="AI537">
        <v>1</v>
      </c>
      <c r="AJ537">
        <v>0</v>
      </c>
      <c r="AK537">
        <v>6</v>
      </c>
      <c r="AL537" t="s">
        <v>129</v>
      </c>
      <c r="AM537" t="s">
        <v>130</v>
      </c>
      <c r="AN537" t="s">
        <v>131</v>
      </c>
      <c r="AO537" t="s">
        <v>4865</v>
      </c>
      <c r="AP537" t="s">
        <v>4866</v>
      </c>
      <c r="AQ537" t="s">
        <v>10969</v>
      </c>
      <c r="AR537" t="s">
        <v>4868</v>
      </c>
      <c r="AS537" t="s">
        <v>74</v>
      </c>
      <c r="AT537" t="s">
        <v>74</v>
      </c>
      <c r="AU537">
        <v>2017</v>
      </c>
      <c r="AV537">
        <v>661</v>
      </c>
      <c r="AW537" t="s">
        <v>74</v>
      </c>
      <c r="AX537" t="s">
        <v>74</v>
      </c>
      <c r="AY537" t="s">
        <v>74</v>
      </c>
      <c r="AZ537" t="s">
        <v>74</v>
      </c>
      <c r="BA537" t="s">
        <v>74</v>
      </c>
      <c r="BB537">
        <v>196</v>
      </c>
      <c r="BC537">
        <v>207</v>
      </c>
      <c r="BD537" t="s">
        <v>74</v>
      </c>
      <c r="BE537" t="s">
        <v>10970</v>
      </c>
      <c r="BF537" t="str">
        <f>HYPERLINK("http://dx.doi.org/10.1007/978-3-319-52920-2_19","http://dx.doi.org/10.1007/978-3-319-52920-2_19")</f>
        <v>http://dx.doi.org/10.1007/978-3-319-52920-2_19</v>
      </c>
      <c r="BG537" t="s">
        <v>74</v>
      </c>
      <c r="BH537" t="s">
        <v>74</v>
      </c>
      <c r="BI537">
        <v>12</v>
      </c>
      <c r="BJ537" t="s">
        <v>461</v>
      </c>
      <c r="BK537" t="s">
        <v>203</v>
      </c>
      <c r="BL537" t="s">
        <v>103</v>
      </c>
      <c r="BM537" t="s">
        <v>10971</v>
      </c>
      <c r="BN537" t="s">
        <v>74</v>
      </c>
      <c r="BO537" t="s">
        <v>74</v>
      </c>
      <c r="BP537" t="s">
        <v>74</v>
      </c>
      <c r="BQ537" t="s">
        <v>74</v>
      </c>
      <c r="BR537" t="s">
        <v>106</v>
      </c>
      <c r="BS537" t="s">
        <v>10972</v>
      </c>
      <c r="BT537" t="str">
        <f>HYPERLINK("https%3A%2F%2Fwww.webofscience.com%2Fwos%2Fwoscc%2Ffull-record%2FWOS:000407059600019","View Full Record in Web of Science")</f>
        <v>View Full Record in Web of Science</v>
      </c>
    </row>
    <row r="538" spans="1:72" x14ac:dyDescent="0.25">
      <c r="A538" t="s">
        <v>108</v>
      </c>
      <c r="B538" t="s">
        <v>10973</v>
      </c>
      <c r="C538" t="s">
        <v>74</v>
      </c>
      <c r="D538" t="s">
        <v>74</v>
      </c>
      <c r="E538" t="s">
        <v>465</v>
      </c>
      <c r="F538" t="s">
        <v>10974</v>
      </c>
      <c r="G538" t="s">
        <v>74</v>
      </c>
      <c r="H538" t="s">
        <v>74</v>
      </c>
      <c r="I538" t="s">
        <v>10975</v>
      </c>
      <c r="J538" t="s">
        <v>10976</v>
      </c>
      <c r="K538" t="s">
        <v>10977</v>
      </c>
      <c r="L538" t="s">
        <v>74</v>
      </c>
      <c r="M538" t="s">
        <v>78</v>
      </c>
      <c r="N538" t="s">
        <v>115</v>
      </c>
      <c r="O538" t="s">
        <v>10978</v>
      </c>
      <c r="P538" t="s">
        <v>10979</v>
      </c>
      <c r="Q538" t="s">
        <v>10980</v>
      </c>
      <c r="R538" t="s">
        <v>10981</v>
      </c>
      <c r="S538" t="s">
        <v>74</v>
      </c>
      <c r="T538" t="s">
        <v>10982</v>
      </c>
      <c r="U538" t="s">
        <v>74</v>
      </c>
      <c r="V538" t="s">
        <v>10983</v>
      </c>
      <c r="W538" t="s">
        <v>10984</v>
      </c>
      <c r="X538" t="s">
        <v>3445</v>
      </c>
      <c r="Y538" t="s">
        <v>10985</v>
      </c>
      <c r="Z538" t="s">
        <v>74</v>
      </c>
      <c r="AA538" t="s">
        <v>74</v>
      </c>
      <c r="AB538" t="s">
        <v>74</v>
      </c>
      <c r="AC538" t="s">
        <v>10986</v>
      </c>
      <c r="AD538" t="s">
        <v>10987</v>
      </c>
      <c r="AE538" t="s">
        <v>10988</v>
      </c>
      <c r="AF538" t="s">
        <v>74</v>
      </c>
      <c r="AG538">
        <v>10</v>
      </c>
      <c r="AH538">
        <v>6</v>
      </c>
      <c r="AI538">
        <v>6</v>
      </c>
      <c r="AJ538">
        <v>0</v>
      </c>
      <c r="AK538">
        <v>0</v>
      </c>
      <c r="AL538" t="s">
        <v>465</v>
      </c>
      <c r="AM538" t="s">
        <v>92</v>
      </c>
      <c r="AN538" t="s">
        <v>480</v>
      </c>
      <c r="AO538" t="s">
        <v>10989</v>
      </c>
      <c r="AP538" t="s">
        <v>74</v>
      </c>
      <c r="AQ538" t="s">
        <v>10990</v>
      </c>
      <c r="AR538" t="s">
        <v>10991</v>
      </c>
      <c r="AS538" t="s">
        <v>74</v>
      </c>
      <c r="AT538" t="s">
        <v>74</v>
      </c>
      <c r="AU538">
        <v>2012</v>
      </c>
      <c r="AV538" t="s">
        <v>74</v>
      </c>
      <c r="AW538" t="s">
        <v>74</v>
      </c>
      <c r="AX538" t="s">
        <v>74</v>
      </c>
      <c r="AY538" t="s">
        <v>74</v>
      </c>
      <c r="AZ538" t="s">
        <v>74</v>
      </c>
      <c r="BA538" t="s">
        <v>74</v>
      </c>
      <c r="BB538">
        <v>394</v>
      </c>
      <c r="BC538">
        <v>399</v>
      </c>
      <c r="BD538" t="s">
        <v>74</v>
      </c>
      <c r="BE538" t="s">
        <v>10992</v>
      </c>
      <c r="BF538" t="str">
        <f>HYPERLINK("http://dx.doi.org/10.1109/GCIS.2012.70","http://dx.doi.org/10.1109/GCIS.2012.70")</f>
        <v>http://dx.doi.org/10.1109/GCIS.2012.70</v>
      </c>
      <c r="BG538" t="s">
        <v>74</v>
      </c>
      <c r="BH538" t="s">
        <v>74</v>
      </c>
      <c r="BI538">
        <v>6</v>
      </c>
      <c r="BJ538" t="s">
        <v>2353</v>
      </c>
      <c r="BK538" t="s">
        <v>203</v>
      </c>
      <c r="BL538" t="s">
        <v>953</v>
      </c>
      <c r="BM538" t="s">
        <v>10993</v>
      </c>
      <c r="BN538" t="s">
        <v>74</v>
      </c>
      <c r="BO538" t="s">
        <v>74</v>
      </c>
      <c r="BP538" t="s">
        <v>74</v>
      </c>
      <c r="BQ538" t="s">
        <v>74</v>
      </c>
      <c r="BR538" t="s">
        <v>106</v>
      </c>
      <c r="BS538" t="s">
        <v>10994</v>
      </c>
      <c r="BT538" t="str">
        <f>HYPERLINK("https%3A%2F%2Fwww.webofscience.com%2Fwos%2Fwoscc%2Ffull-record%2FWOS:000318635100093","View Full Record in Web of Science")</f>
        <v>View Full Record in Web of Science</v>
      </c>
    </row>
    <row r="539" spans="1:72" x14ac:dyDescent="0.25">
      <c r="A539" t="s">
        <v>108</v>
      </c>
      <c r="B539" t="s">
        <v>10995</v>
      </c>
      <c r="C539" t="s">
        <v>74</v>
      </c>
      <c r="D539" t="s">
        <v>74</v>
      </c>
      <c r="E539" t="s">
        <v>273</v>
      </c>
      <c r="F539" t="s">
        <v>10996</v>
      </c>
      <c r="G539" t="s">
        <v>74</v>
      </c>
      <c r="H539" t="s">
        <v>74</v>
      </c>
      <c r="I539" t="s">
        <v>10997</v>
      </c>
      <c r="J539" t="s">
        <v>10998</v>
      </c>
      <c r="K539" t="s">
        <v>74</v>
      </c>
      <c r="L539" t="s">
        <v>74</v>
      </c>
      <c r="M539" t="s">
        <v>78</v>
      </c>
      <c r="N539" t="s">
        <v>115</v>
      </c>
      <c r="O539" t="s">
        <v>10999</v>
      </c>
      <c r="P539" t="s">
        <v>11000</v>
      </c>
      <c r="Q539" t="s">
        <v>11001</v>
      </c>
      <c r="R539" t="s">
        <v>11002</v>
      </c>
      <c r="S539" t="s">
        <v>74</v>
      </c>
      <c r="T539" t="s">
        <v>11003</v>
      </c>
      <c r="U539" t="s">
        <v>11004</v>
      </c>
      <c r="V539" t="s">
        <v>11005</v>
      </c>
      <c r="W539" t="s">
        <v>11006</v>
      </c>
      <c r="X539" t="s">
        <v>11007</v>
      </c>
      <c r="Y539" t="s">
        <v>11008</v>
      </c>
      <c r="Z539" t="s">
        <v>11009</v>
      </c>
      <c r="AA539" t="s">
        <v>11010</v>
      </c>
      <c r="AB539" t="s">
        <v>11011</v>
      </c>
      <c r="AC539" t="s">
        <v>11012</v>
      </c>
      <c r="AD539" t="s">
        <v>11013</v>
      </c>
      <c r="AE539" t="s">
        <v>11014</v>
      </c>
      <c r="AF539" t="s">
        <v>74</v>
      </c>
      <c r="AG539">
        <v>30</v>
      </c>
      <c r="AH539">
        <v>2</v>
      </c>
      <c r="AI539">
        <v>2</v>
      </c>
      <c r="AJ539">
        <v>0</v>
      </c>
      <c r="AK539">
        <v>2</v>
      </c>
      <c r="AL539" t="s">
        <v>291</v>
      </c>
      <c r="AM539" t="s">
        <v>92</v>
      </c>
      <c r="AN539" t="s">
        <v>292</v>
      </c>
      <c r="AO539" t="s">
        <v>74</v>
      </c>
      <c r="AP539" t="s">
        <v>74</v>
      </c>
      <c r="AQ539" t="s">
        <v>11015</v>
      </c>
      <c r="AR539" t="s">
        <v>74</v>
      </c>
      <c r="AS539" t="s">
        <v>74</v>
      </c>
      <c r="AT539" t="s">
        <v>74</v>
      </c>
      <c r="AU539">
        <v>2017</v>
      </c>
      <c r="AV539" t="s">
        <v>74</v>
      </c>
      <c r="AW539" t="s">
        <v>74</v>
      </c>
      <c r="AX539" t="s">
        <v>74</v>
      </c>
      <c r="AY539" t="s">
        <v>74</v>
      </c>
      <c r="AZ539" t="s">
        <v>74</v>
      </c>
      <c r="BA539" t="s">
        <v>74</v>
      </c>
      <c r="BB539">
        <v>7</v>
      </c>
      <c r="BC539">
        <v>16</v>
      </c>
      <c r="BD539" t="s">
        <v>74</v>
      </c>
      <c r="BE539" t="s">
        <v>11016</v>
      </c>
      <c r="BF539" t="str">
        <f>HYPERLINK("http://dx.doi.org/10.1145/3020165.3020168","http://dx.doi.org/10.1145/3020165.3020168")</f>
        <v>http://dx.doi.org/10.1145/3020165.3020168</v>
      </c>
      <c r="BG539" t="s">
        <v>74</v>
      </c>
      <c r="BH539" t="s">
        <v>74</v>
      </c>
      <c r="BI539">
        <v>10</v>
      </c>
      <c r="BJ539" t="s">
        <v>1546</v>
      </c>
      <c r="BK539" t="s">
        <v>203</v>
      </c>
      <c r="BL539" t="s">
        <v>103</v>
      </c>
      <c r="BM539" t="s">
        <v>11017</v>
      </c>
      <c r="BN539" t="s">
        <v>74</v>
      </c>
      <c r="BO539" t="s">
        <v>346</v>
      </c>
      <c r="BP539" t="s">
        <v>74</v>
      </c>
      <c r="BQ539" t="s">
        <v>74</v>
      </c>
      <c r="BR539" t="s">
        <v>106</v>
      </c>
      <c r="BS539" t="s">
        <v>11018</v>
      </c>
      <c r="BT539" t="str">
        <f>HYPERLINK("https%3A%2F%2Fwww.webofscience.com%2Fwos%2Fwoscc%2Ffull-record%2FWOS:000629032800004","View Full Record in Web of Science")</f>
        <v>View Full Record in Web of Science</v>
      </c>
    </row>
    <row r="540" spans="1:72" x14ac:dyDescent="0.25">
      <c r="A540" t="s">
        <v>108</v>
      </c>
      <c r="B540" t="s">
        <v>11019</v>
      </c>
      <c r="C540" t="s">
        <v>74</v>
      </c>
      <c r="D540" t="s">
        <v>74</v>
      </c>
      <c r="E540" t="s">
        <v>322</v>
      </c>
      <c r="F540" t="s">
        <v>11020</v>
      </c>
      <c r="G540" t="s">
        <v>74</v>
      </c>
      <c r="H540" t="s">
        <v>74</v>
      </c>
      <c r="I540" t="s">
        <v>11021</v>
      </c>
      <c r="J540" t="s">
        <v>11022</v>
      </c>
      <c r="K540" t="s">
        <v>74</v>
      </c>
      <c r="L540" t="s">
        <v>74</v>
      </c>
      <c r="M540" t="s">
        <v>78</v>
      </c>
      <c r="N540" t="s">
        <v>115</v>
      </c>
      <c r="O540" t="s">
        <v>11023</v>
      </c>
      <c r="P540" t="s">
        <v>11024</v>
      </c>
      <c r="Q540" t="s">
        <v>11025</v>
      </c>
      <c r="R540" t="s">
        <v>11026</v>
      </c>
      <c r="S540" t="s">
        <v>11027</v>
      </c>
      <c r="T540" t="s">
        <v>11028</v>
      </c>
      <c r="U540" t="s">
        <v>74</v>
      </c>
      <c r="V540" t="s">
        <v>11029</v>
      </c>
      <c r="W540" t="s">
        <v>11030</v>
      </c>
      <c r="X540" t="s">
        <v>11031</v>
      </c>
      <c r="Y540" t="s">
        <v>11032</v>
      </c>
      <c r="Z540" t="s">
        <v>11033</v>
      </c>
      <c r="AA540" t="s">
        <v>11034</v>
      </c>
      <c r="AB540" t="s">
        <v>11035</v>
      </c>
      <c r="AC540" t="s">
        <v>11036</v>
      </c>
      <c r="AD540" t="s">
        <v>11037</v>
      </c>
      <c r="AE540" t="s">
        <v>11038</v>
      </c>
      <c r="AF540" t="s">
        <v>74</v>
      </c>
      <c r="AG540">
        <v>34</v>
      </c>
      <c r="AH540">
        <v>21</v>
      </c>
      <c r="AI540">
        <v>24</v>
      </c>
      <c r="AJ540">
        <v>0</v>
      </c>
      <c r="AK540">
        <v>4</v>
      </c>
      <c r="AL540" t="s">
        <v>291</v>
      </c>
      <c r="AM540" t="s">
        <v>92</v>
      </c>
      <c r="AN540" t="s">
        <v>341</v>
      </c>
      <c r="AO540" t="s">
        <v>74</v>
      </c>
      <c r="AP540" t="s">
        <v>74</v>
      </c>
      <c r="AQ540" t="s">
        <v>11039</v>
      </c>
      <c r="AR540" t="s">
        <v>74</v>
      </c>
      <c r="AS540" t="s">
        <v>74</v>
      </c>
      <c r="AT540" t="s">
        <v>74</v>
      </c>
      <c r="AU540">
        <v>2014</v>
      </c>
      <c r="AV540" t="s">
        <v>74</v>
      </c>
      <c r="AW540" t="s">
        <v>74</v>
      </c>
      <c r="AX540" t="s">
        <v>74</v>
      </c>
      <c r="AY540" t="s">
        <v>74</v>
      </c>
      <c r="AZ540" t="s">
        <v>74</v>
      </c>
      <c r="BA540" t="s">
        <v>74</v>
      </c>
      <c r="BB540">
        <v>567</v>
      </c>
      <c r="BC540">
        <v>576</v>
      </c>
      <c r="BD540" t="s">
        <v>74</v>
      </c>
      <c r="BE540" t="s">
        <v>11040</v>
      </c>
      <c r="BF540" t="str">
        <f>HYPERLINK("http://dx.doi.org/10.1145/2647868.2654950","http://dx.doi.org/10.1145/2647868.2654950")</f>
        <v>http://dx.doi.org/10.1145/2647868.2654950</v>
      </c>
      <c r="BG540" t="s">
        <v>74</v>
      </c>
      <c r="BH540" t="s">
        <v>74</v>
      </c>
      <c r="BI540">
        <v>10</v>
      </c>
      <c r="BJ540" t="s">
        <v>972</v>
      </c>
      <c r="BK540" t="s">
        <v>203</v>
      </c>
      <c r="BL540" t="s">
        <v>953</v>
      </c>
      <c r="BM540" t="s">
        <v>11041</v>
      </c>
      <c r="BN540" t="s">
        <v>74</v>
      </c>
      <c r="BO540" t="s">
        <v>74</v>
      </c>
      <c r="BP540" t="s">
        <v>74</v>
      </c>
      <c r="BQ540" t="s">
        <v>74</v>
      </c>
      <c r="BR540" t="s">
        <v>106</v>
      </c>
      <c r="BS540" t="s">
        <v>11042</v>
      </c>
      <c r="BT540" t="str">
        <f>HYPERLINK("https%3A%2F%2Fwww.webofscience.com%2Fwos%2Fwoscc%2Ffull-record%2FWOS:000482104200066","View Full Record in Web of Science")</f>
        <v>View Full Record in Web of Science</v>
      </c>
    </row>
    <row r="541" spans="1:72" x14ac:dyDescent="0.25">
      <c r="A541" t="s">
        <v>72</v>
      </c>
      <c r="B541" t="s">
        <v>11043</v>
      </c>
      <c r="C541" t="s">
        <v>74</v>
      </c>
      <c r="D541" t="s">
        <v>74</v>
      </c>
      <c r="E541" t="s">
        <v>74</v>
      </c>
      <c r="F541" t="s">
        <v>11044</v>
      </c>
      <c r="G541" t="s">
        <v>74</v>
      </c>
      <c r="H541" t="s">
        <v>74</v>
      </c>
      <c r="I541" t="s">
        <v>11045</v>
      </c>
      <c r="J541" t="s">
        <v>10318</v>
      </c>
      <c r="K541" t="s">
        <v>74</v>
      </c>
      <c r="L541" t="s">
        <v>74</v>
      </c>
      <c r="M541" t="s">
        <v>78</v>
      </c>
      <c r="N541" t="s">
        <v>79</v>
      </c>
      <c r="O541" t="s">
        <v>74</v>
      </c>
      <c r="P541" t="s">
        <v>74</v>
      </c>
      <c r="Q541" t="s">
        <v>74</v>
      </c>
      <c r="R541" t="s">
        <v>74</v>
      </c>
      <c r="S541" t="s">
        <v>74</v>
      </c>
      <c r="T541" t="s">
        <v>11046</v>
      </c>
      <c r="U541" t="s">
        <v>74</v>
      </c>
      <c r="V541" t="s">
        <v>11047</v>
      </c>
      <c r="W541" t="s">
        <v>11048</v>
      </c>
      <c r="X541" t="s">
        <v>11049</v>
      </c>
      <c r="Y541" t="s">
        <v>11050</v>
      </c>
      <c r="Z541" t="s">
        <v>11051</v>
      </c>
      <c r="AA541" t="s">
        <v>11052</v>
      </c>
      <c r="AB541" t="s">
        <v>74</v>
      </c>
      <c r="AC541" t="s">
        <v>11053</v>
      </c>
      <c r="AD541" t="s">
        <v>11054</v>
      </c>
      <c r="AE541" t="s">
        <v>11055</v>
      </c>
      <c r="AF541" t="s">
        <v>74</v>
      </c>
      <c r="AG541">
        <v>30</v>
      </c>
      <c r="AH541">
        <v>3</v>
      </c>
      <c r="AI541">
        <v>3</v>
      </c>
      <c r="AJ541">
        <v>6</v>
      </c>
      <c r="AK541">
        <v>31</v>
      </c>
      <c r="AL541" t="s">
        <v>4837</v>
      </c>
      <c r="AM541" t="s">
        <v>4838</v>
      </c>
      <c r="AN541" t="s">
        <v>4839</v>
      </c>
      <c r="AO541" t="s">
        <v>10331</v>
      </c>
      <c r="AP541" t="s">
        <v>10332</v>
      </c>
      <c r="AQ541" t="s">
        <v>74</v>
      </c>
      <c r="AR541" t="s">
        <v>10333</v>
      </c>
      <c r="AS541" t="s">
        <v>10334</v>
      </c>
      <c r="AT541" t="s">
        <v>74</v>
      </c>
      <c r="AU541">
        <v>2025</v>
      </c>
      <c r="AV541">
        <v>82</v>
      </c>
      <c r="AW541">
        <v>1</v>
      </c>
      <c r="AX541" t="s">
        <v>74</v>
      </c>
      <c r="AY541" t="s">
        <v>74</v>
      </c>
      <c r="AZ541" t="s">
        <v>74</v>
      </c>
      <c r="BA541" t="s">
        <v>74</v>
      </c>
      <c r="BB541">
        <v>977</v>
      </c>
      <c r="BC541">
        <v>996</v>
      </c>
      <c r="BD541" t="s">
        <v>74</v>
      </c>
      <c r="BE541" t="s">
        <v>11056</v>
      </c>
      <c r="BF541" t="str">
        <f>HYPERLINK("http://dx.doi.org/10.32604/cmc.2024.058438","http://dx.doi.org/10.32604/cmc.2024.058438")</f>
        <v>http://dx.doi.org/10.32604/cmc.2024.058438</v>
      </c>
      <c r="BG541" t="s">
        <v>74</v>
      </c>
      <c r="BH541" t="s">
        <v>74</v>
      </c>
      <c r="BI541">
        <v>20</v>
      </c>
      <c r="BJ541" t="s">
        <v>10336</v>
      </c>
      <c r="BK541" t="s">
        <v>902</v>
      </c>
      <c r="BL541" t="s">
        <v>10337</v>
      </c>
      <c r="BM541" t="s">
        <v>11057</v>
      </c>
      <c r="BN541" t="s">
        <v>74</v>
      </c>
      <c r="BO541" t="s">
        <v>372</v>
      </c>
      <c r="BP541" t="s">
        <v>74</v>
      </c>
      <c r="BQ541" t="s">
        <v>74</v>
      </c>
      <c r="BR541" t="s">
        <v>106</v>
      </c>
      <c r="BS541" t="s">
        <v>11058</v>
      </c>
      <c r="BT541" t="str">
        <f>HYPERLINK("https%3A%2F%2Fwww.webofscience.com%2Fwos%2Fwoscc%2Ffull-record%2FWOS:001397772700001","View Full Record in Web of Science")</f>
        <v>View Full Record in Web of Science</v>
      </c>
    </row>
    <row r="542" spans="1:72" x14ac:dyDescent="0.25">
      <c r="A542" t="s">
        <v>108</v>
      </c>
      <c r="B542" t="s">
        <v>11059</v>
      </c>
      <c r="C542" t="s">
        <v>74</v>
      </c>
      <c r="D542" t="s">
        <v>74</v>
      </c>
      <c r="E542" t="s">
        <v>465</v>
      </c>
      <c r="F542" t="s">
        <v>11060</v>
      </c>
      <c r="G542" t="s">
        <v>74</v>
      </c>
      <c r="H542" t="s">
        <v>74</v>
      </c>
      <c r="I542" t="s">
        <v>11061</v>
      </c>
      <c r="J542" t="s">
        <v>11062</v>
      </c>
      <c r="K542" t="s">
        <v>74</v>
      </c>
      <c r="L542" t="s">
        <v>74</v>
      </c>
      <c r="M542" t="s">
        <v>78</v>
      </c>
      <c r="N542" t="s">
        <v>115</v>
      </c>
      <c r="O542" t="s">
        <v>11063</v>
      </c>
      <c r="P542" t="s">
        <v>9748</v>
      </c>
      <c r="Q542" t="s">
        <v>11064</v>
      </c>
      <c r="R542" t="s">
        <v>11065</v>
      </c>
      <c r="S542" t="s">
        <v>74</v>
      </c>
      <c r="T542" t="s">
        <v>11066</v>
      </c>
      <c r="U542" t="s">
        <v>74</v>
      </c>
      <c r="V542" t="s">
        <v>11067</v>
      </c>
      <c r="W542" t="s">
        <v>11068</v>
      </c>
      <c r="X542" t="s">
        <v>11069</v>
      </c>
      <c r="Y542" t="s">
        <v>11070</v>
      </c>
      <c r="Z542" t="s">
        <v>11071</v>
      </c>
      <c r="AA542" t="s">
        <v>74</v>
      </c>
      <c r="AB542" t="s">
        <v>11072</v>
      </c>
      <c r="AC542" t="s">
        <v>74</v>
      </c>
      <c r="AD542" t="s">
        <v>74</v>
      </c>
      <c r="AE542" t="s">
        <v>74</v>
      </c>
      <c r="AF542" t="s">
        <v>74</v>
      </c>
      <c r="AG542">
        <v>3</v>
      </c>
      <c r="AH542">
        <v>1</v>
      </c>
      <c r="AI542">
        <v>1</v>
      </c>
      <c r="AJ542">
        <v>0</v>
      </c>
      <c r="AK542">
        <v>0</v>
      </c>
      <c r="AL542" t="s">
        <v>465</v>
      </c>
      <c r="AM542" t="s">
        <v>92</v>
      </c>
      <c r="AN542" t="s">
        <v>480</v>
      </c>
      <c r="AO542" t="s">
        <v>74</v>
      </c>
      <c r="AP542" t="s">
        <v>74</v>
      </c>
      <c r="AQ542" t="s">
        <v>74</v>
      </c>
      <c r="AR542" t="s">
        <v>74</v>
      </c>
      <c r="AS542" t="s">
        <v>74</v>
      </c>
      <c r="AT542" t="s">
        <v>74</v>
      </c>
      <c r="AU542">
        <v>2014</v>
      </c>
      <c r="AV542" t="s">
        <v>74</v>
      </c>
      <c r="AW542" t="s">
        <v>74</v>
      </c>
      <c r="AX542" t="s">
        <v>74</v>
      </c>
      <c r="AY542" t="s">
        <v>74</v>
      </c>
      <c r="AZ542" t="s">
        <v>74</v>
      </c>
      <c r="BA542" t="s">
        <v>74</v>
      </c>
      <c r="BB542">
        <v>322</v>
      </c>
      <c r="BC542" t="s">
        <v>5459</v>
      </c>
      <c r="BD542" t="s">
        <v>74</v>
      </c>
      <c r="BE542" t="s">
        <v>74</v>
      </c>
      <c r="BF542" t="s">
        <v>74</v>
      </c>
      <c r="BG542" t="s">
        <v>74</v>
      </c>
      <c r="BH542" t="s">
        <v>74</v>
      </c>
      <c r="BI542">
        <v>4</v>
      </c>
      <c r="BJ542" t="s">
        <v>202</v>
      </c>
      <c r="BK542" t="s">
        <v>203</v>
      </c>
      <c r="BL542" t="s">
        <v>103</v>
      </c>
      <c r="BM542" t="s">
        <v>11073</v>
      </c>
      <c r="BN542" t="s">
        <v>74</v>
      </c>
      <c r="BO542" t="s">
        <v>74</v>
      </c>
      <c r="BP542" t="s">
        <v>74</v>
      </c>
      <c r="BQ542" t="s">
        <v>74</v>
      </c>
      <c r="BR542" t="s">
        <v>106</v>
      </c>
      <c r="BS542" t="s">
        <v>11074</v>
      </c>
      <c r="BT542" t="str">
        <f>HYPERLINK("https%3A%2F%2Fwww.webofscience.com%2Fwos%2Fwoscc%2Ffull-record%2FWOS:000345861900092","View Full Record in Web of Science")</f>
        <v>View Full Record in Web of Science</v>
      </c>
    </row>
    <row r="543" spans="1:72" x14ac:dyDescent="0.25">
      <c r="A543" t="s">
        <v>108</v>
      </c>
      <c r="B543" t="s">
        <v>11075</v>
      </c>
      <c r="C543" t="s">
        <v>74</v>
      </c>
      <c r="D543" t="s">
        <v>6137</v>
      </c>
      <c r="E543" t="s">
        <v>74</v>
      </c>
      <c r="F543" t="s">
        <v>11076</v>
      </c>
      <c r="G543" t="s">
        <v>74</v>
      </c>
      <c r="H543" t="s">
        <v>74</v>
      </c>
      <c r="I543" t="s">
        <v>11077</v>
      </c>
      <c r="J543" t="s">
        <v>6140</v>
      </c>
      <c r="K543" t="s">
        <v>74</v>
      </c>
      <c r="L543" t="s">
        <v>74</v>
      </c>
      <c r="M543" t="s">
        <v>78</v>
      </c>
      <c r="N543" t="s">
        <v>115</v>
      </c>
      <c r="O543" t="s">
        <v>6141</v>
      </c>
      <c r="P543" t="s">
        <v>6142</v>
      </c>
      <c r="Q543" t="s">
        <v>6143</v>
      </c>
      <c r="R543" t="s">
        <v>6144</v>
      </c>
      <c r="S543" t="s">
        <v>74</v>
      </c>
      <c r="T543" t="s">
        <v>11078</v>
      </c>
      <c r="U543" t="s">
        <v>74</v>
      </c>
      <c r="V543" t="s">
        <v>11079</v>
      </c>
      <c r="W543" t="s">
        <v>11080</v>
      </c>
      <c r="X543" t="s">
        <v>11081</v>
      </c>
      <c r="Y543" t="s">
        <v>11082</v>
      </c>
      <c r="Z543" t="s">
        <v>11083</v>
      </c>
      <c r="AA543" t="s">
        <v>74</v>
      </c>
      <c r="AB543" t="s">
        <v>11084</v>
      </c>
      <c r="AC543" t="s">
        <v>74</v>
      </c>
      <c r="AD543" t="s">
        <v>74</v>
      </c>
      <c r="AE543" t="s">
        <v>74</v>
      </c>
      <c r="AF543" t="s">
        <v>74</v>
      </c>
      <c r="AG543">
        <v>5</v>
      </c>
      <c r="AH543">
        <v>16</v>
      </c>
      <c r="AI543">
        <v>20</v>
      </c>
      <c r="AJ543">
        <v>0</v>
      </c>
      <c r="AK543">
        <v>15</v>
      </c>
      <c r="AL543" t="s">
        <v>465</v>
      </c>
      <c r="AM543" t="s">
        <v>92</v>
      </c>
      <c r="AN543" t="s">
        <v>480</v>
      </c>
      <c r="AO543" t="s">
        <v>74</v>
      </c>
      <c r="AP543" t="s">
        <v>74</v>
      </c>
      <c r="AQ543" t="s">
        <v>6153</v>
      </c>
      <c r="AR543" t="s">
        <v>74</v>
      </c>
      <c r="AS543" t="s">
        <v>74</v>
      </c>
      <c r="AT543" t="s">
        <v>74</v>
      </c>
      <c r="AU543">
        <v>2016</v>
      </c>
      <c r="AV543" t="s">
        <v>74</v>
      </c>
      <c r="AW543" t="s">
        <v>74</v>
      </c>
      <c r="AX543" t="s">
        <v>74</v>
      </c>
      <c r="AY543" t="s">
        <v>74</v>
      </c>
      <c r="AZ543" t="s">
        <v>74</v>
      </c>
      <c r="BA543" t="s">
        <v>74</v>
      </c>
      <c r="BB543">
        <v>1</v>
      </c>
      <c r="BC543">
        <v>7</v>
      </c>
      <c r="BD543" t="s">
        <v>74</v>
      </c>
      <c r="BE543" t="s">
        <v>74</v>
      </c>
      <c r="BF543" t="s">
        <v>74</v>
      </c>
      <c r="BG543" t="s">
        <v>74</v>
      </c>
      <c r="BH543" t="s">
        <v>74</v>
      </c>
      <c r="BI543">
        <v>7</v>
      </c>
      <c r="BJ543" t="s">
        <v>6154</v>
      </c>
      <c r="BK543" t="s">
        <v>203</v>
      </c>
      <c r="BL543" t="s">
        <v>103</v>
      </c>
      <c r="BM543" t="s">
        <v>6155</v>
      </c>
      <c r="BN543" t="s">
        <v>74</v>
      </c>
      <c r="BO543" t="s">
        <v>74</v>
      </c>
      <c r="BP543" t="s">
        <v>74</v>
      </c>
      <c r="BQ543" t="s">
        <v>74</v>
      </c>
      <c r="BR543" t="s">
        <v>106</v>
      </c>
      <c r="BS543" t="s">
        <v>11085</v>
      </c>
      <c r="BT543" t="str">
        <f>HYPERLINK("https%3A%2F%2Fwww.webofscience.com%2Fwos%2Fwoscc%2Ffull-record%2FWOS:000390694000001","View Full Record in Web of Science")</f>
        <v>View Full Record in Web of Science</v>
      </c>
    </row>
    <row r="544" spans="1:72" x14ac:dyDescent="0.25">
      <c r="A544" t="s">
        <v>108</v>
      </c>
      <c r="B544" t="s">
        <v>11086</v>
      </c>
      <c r="C544" t="s">
        <v>74</v>
      </c>
      <c r="D544" t="s">
        <v>11087</v>
      </c>
      <c r="E544" t="s">
        <v>465</v>
      </c>
      <c r="F544" t="s">
        <v>11088</v>
      </c>
      <c r="G544" t="s">
        <v>74</v>
      </c>
      <c r="H544" t="s">
        <v>74</v>
      </c>
      <c r="I544" t="s">
        <v>11089</v>
      </c>
      <c r="J544" t="s">
        <v>11090</v>
      </c>
      <c r="K544" t="s">
        <v>74</v>
      </c>
      <c r="L544" t="s">
        <v>74</v>
      </c>
      <c r="M544" t="s">
        <v>78</v>
      </c>
      <c r="N544" t="s">
        <v>115</v>
      </c>
      <c r="O544" t="s">
        <v>11091</v>
      </c>
      <c r="P544" t="s">
        <v>11092</v>
      </c>
      <c r="Q544" t="s">
        <v>11093</v>
      </c>
      <c r="R544" t="s">
        <v>11094</v>
      </c>
      <c r="S544" t="s">
        <v>74</v>
      </c>
      <c r="T544" t="s">
        <v>11095</v>
      </c>
      <c r="U544" t="s">
        <v>74</v>
      </c>
      <c r="V544" t="s">
        <v>11096</v>
      </c>
      <c r="W544" t="s">
        <v>11097</v>
      </c>
      <c r="X544" t="s">
        <v>11098</v>
      </c>
      <c r="Y544" t="s">
        <v>74</v>
      </c>
      <c r="Z544" t="s">
        <v>11099</v>
      </c>
      <c r="AA544" t="s">
        <v>74</v>
      </c>
      <c r="AB544" t="s">
        <v>74</v>
      </c>
      <c r="AC544" t="s">
        <v>74</v>
      </c>
      <c r="AD544" t="s">
        <v>74</v>
      </c>
      <c r="AE544" t="s">
        <v>74</v>
      </c>
      <c r="AF544" t="s">
        <v>74</v>
      </c>
      <c r="AG544">
        <v>7</v>
      </c>
      <c r="AH544">
        <v>0</v>
      </c>
      <c r="AI544">
        <v>0</v>
      </c>
      <c r="AJ544">
        <v>0</v>
      </c>
      <c r="AK544">
        <v>0</v>
      </c>
      <c r="AL544" t="s">
        <v>465</v>
      </c>
      <c r="AM544" t="s">
        <v>92</v>
      </c>
      <c r="AN544" t="s">
        <v>480</v>
      </c>
      <c r="AO544" t="s">
        <v>74</v>
      </c>
      <c r="AP544" t="s">
        <v>74</v>
      </c>
      <c r="AQ544" t="s">
        <v>11100</v>
      </c>
      <c r="AR544" t="s">
        <v>74</v>
      </c>
      <c r="AS544" t="s">
        <v>74</v>
      </c>
      <c r="AT544" t="s">
        <v>74</v>
      </c>
      <c r="AU544">
        <v>2009</v>
      </c>
      <c r="AV544" t="s">
        <v>74</v>
      </c>
      <c r="AW544" t="s">
        <v>74</v>
      </c>
      <c r="AX544" t="s">
        <v>74</v>
      </c>
      <c r="AY544" t="s">
        <v>74</v>
      </c>
      <c r="AZ544" t="s">
        <v>74</v>
      </c>
      <c r="BA544" t="s">
        <v>74</v>
      </c>
      <c r="BB544">
        <v>392</v>
      </c>
      <c r="BC544">
        <v>395</v>
      </c>
      <c r="BD544" t="s">
        <v>74</v>
      </c>
      <c r="BE544" t="s">
        <v>74</v>
      </c>
      <c r="BF544" t="s">
        <v>74</v>
      </c>
      <c r="BG544" t="s">
        <v>74</v>
      </c>
      <c r="BH544" t="s">
        <v>74</v>
      </c>
      <c r="BI544">
        <v>4</v>
      </c>
      <c r="BJ544" t="s">
        <v>11101</v>
      </c>
      <c r="BK544" t="s">
        <v>138</v>
      </c>
      <c r="BL544" t="s">
        <v>11102</v>
      </c>
      <c r="BM544" t="s">
        <v>11103</v>
      </c>
      <c r="BN544" t="s">
        <v>74</v>
      </c>
      <c r="BO544" t="s">
        <v>74</v>
      </c>
      <c r="BP544" t="s">
        <v>74</v>
      </c>
      <c r="BQ544" t="s">
        <v>74</v>
      </c>
      <c r="BR544" t="s">
        <v>106</v>
      </c>
      <c r="BS544" t="s">
        <v>11104</v>
      </c>
      <c r="BT544" t="str">
        <f>HYPERLINK("https%3A%2F%2Fwww.webofscience.com%2Fwos%2Fwoscc%2Ffull-record%2FWOS:000271558100081","View Full Record in Web of Science")</f>
        <v>View Full Record in Web of Science</v>
      </c>
    </row>
    <row r="545" spans="1:72" x14ac:dyDescent="0.25">
      <c r="A545" t="s">
        <v>108</v>
      </c>
      <c r="B545" t="s">
        <v>11105</v>
      </c>
      <c r="C545" t="s">
        <v>74</v>
      </c>
      <c r="D545" t="s">
        <v>6266</v>
      </c>
      <c r="E545" t="s">
        <v>74</v>
      </c>
      <c r="F545" t="s">
        <v>11106</v>
      </c>
      <c r="G545" t="s">
        <v>74</v>
      </c>
      <c r="H545" t="s">
        <v>74</v>
      </c>
      <c r="I545" t="s">
        <v>11107</v>
      </c>
      <c r="J545" t="s">
        <v>11108</v>
      </c>
      <c r="K545" t="s">
        <v>3110</v>
      </c>
      <c r="L545" t="s">
        <v>74</v>
      </c>
      <c r="M545" t="s">
        <v>78</v>
      </c>
      <c r="N545" t="s">
        <v>115</v>
      </c>
      <c r="O545" t="s">
        <v>11109</v>
      </c>
      <c r="P545" t="s">
        <v>11110</v>
      </c>
      <c r="Q545" t="s">
        <v>11111</v>
      </c>
      <c r="R545" t="s">
        <v>74</v>
      </c>
      <c r="S545" t="s">
        <v>74</v>
      </c>
      <c r="T545" t="s">
        <v>11112</v>
      </c>
      <c r="U545" t="s">
        <v>3242</v>
      </c>
      <c r="V545" t="s">
        <v>11113</v>
      </c>
      <c r="W545" t="s">
        <v>11114</v>
      </c>
      <c r="X545" t="s">
        <v>8857</v>
      </c>
      <c r="Y545" t="s">
        <v>11115</v>
      </c>
      <c r="Z545" t="s">
        <v>11116</v>
      </c>
      <c r="AA545" t="s">
        <v>6278</v>
      </c>
      <c r="AB545" t="s">
        <v>11117</v>
      </c>
      <c r="AC545" t="s">
        <v>74</v>
      </c>
      <c r="AD545" t="s">
        <v>74</v>
      </c>
      <c r="AE545" t="s">
        <v>74</v>
      </c>
      <c r="AF545" t="s">
        <v>74</v>
      </c>
      <c r="AG545">
        <v>23</v>
      </c>
      <c r="AH545">
        <v>21</v>
      </c>
      <c r="AI545">
        <v>21</v>
      </c>
      <c r="AJ545">
        <v>0</v>
      </c>
      <c r="AK545">
        <v>3</v>
      </c>
      <c r="AL545" t="s">
        <v>197</v>
      </c>
      <c r="AM545" t="s">
        <v>198</v>
      </c>
      <c r="AN545" t="s">
        <v>199</v>
      </c>
      <c r="AO545" t="s">
        <v>3120</v>
      </c>
      <c r="AP545" t="s">
        <v>74</v>
      </c>
      <c r="AQ545" t="s">
        <v>11118</v>
      </c>
      <c r="AR545" t="s">
        <v>3122</v>
      </c>
      <c r="AS545" t="s">
        <v>74</v>
      </c>
      <c r="AT545" t="s">
        <v>74</v>
      </c>
      <c r="AU545">
        <v>2012</v>
      </c>
      <c r="AV545">
        <v>123</v>
      </c>
      <c r="AW545" t="s">
        <v>74</v>
      </c>
      <c r="AX545" t="s">
        <v>74</v>
      </c>
      <c r="AY545" t="s">
        <v>74</v>
      </c>
      <c r="AZ545" t="s">
        <v>74</v>
      </c>
      <c r="BA545" t="s">
        <v>74</v>
      </c>
      <c r="BB545">
        <v>112</v>
      </c>
      <c r="BC545">
        <v>123</v>
      </c>
      <c r="BD545" t="s">
        <v>74</v>
      </c>
      <c r="BE545" t="s">
        <v>74</v>
      </c>
      <c r="BF545" t="s">
        <v>74</v>
      </c>
      <c r="BG545" t="s">
        <v>74</v>
      </c>
      <c r="BH545" t="s">
        <v>74</v>
      </c>
      <c r="BI545">
        <v>12</v>
      </c>
      <c r="BJ545" t="s">
        <v>6284</v>
      </c>
      <c r="BK545" t="s">
        <v>203</v>
      </c>
      <c r="BL545" t="s">
        <v>103</v>
      </c>
      <c r="BM545" t="s">
        <v>11119</v>
      </c>
      <c r="BN545" t="s">
        <v>74</v>
      </c>
      <c r="BO545" t="s">
        <v>74</v>
      </c>
      <c r="BP545" t="s">
        <v>74</v>
      </c>
      <c r="BQ545" t="s">
        <v>74</v>
      </c>
      <c r="BR545" t="s">
        <v>106</v>
      </c>
      <c r="BS545" t="s">
        <v>11120</v>
      </c>
      <c r="BT545" t="str">
        <f>HYPERLINK("https%3A%2F%2Fwww.webofscience.com%2Fwos%2Fwoscc%2Ffull-record%2FWOS:000345068100010","View Full Record in Web of Science")</f>
        <v>View Full Record in Web of Science</v>
      </c>
    </row>
    <row r="546" spans="1:72" x14ac:dyDescent="0.25">
      <c r="A546" t="s">
        <v>72</v>
      </c>
      <c r="B546" t="s">
        <v>11121</v>
      </c>
      <c r="C546" t="s">
        <v>74</v>
      </c>
      <c r="D546" t="s">
        <v>74</v>
      </c>
      <c r="E546" t="s">
        <v>74</v>
      </c>
      <c r="F546" t="s">
        <v>11122</v>
      </c>
      <c r="G546" t="s">
        <v>74</v>
      </c>
      <c r="H546" t="s">
        <v>74</v>
      </c>
      <c r="I546" t="s">
        <v>11123</v>
      </c>
      <c r="J546" t="s">
        <v>7278</v>
      </c>
      <c r="K546" t="s">
        <v>74</v>
      </c>
      <c r="L546" t="s">
        <v>74</v>
      </c>
      <c r="M546" t="s">
        <v>78</v>
      </c>
      <c r="N546" t="s">
        <v>79</v>
      </c>
      <c r="O546" t="s">
        <v>74</v>
      </c>
      <c r="P546" t="s">
        <v>74</v>
      </c>
      <c r="Q546" t="s">
        <v>74</v>
      </c>
      <c r="R546" t="s">
        <v>74</v>
      </c>
      <c r="S546" t="s">
        <v>74</v>
      </c>
      <c r="T546" t="s">
        <v>11124</v>
      </c>
      <c r="U546" t="s">
        <v>11125</v>
      </c>
      <c r="V546" t="s">
        <v>11126</v>
      </c>
      <c r="W546" t="s">
        <v>11127</v>
      </c>
      <c r="X546" t="s">
        <v>11128</v>
      </c>
      <c r="Y546" t="s">
        <v>11129</v>
      </c>
      <c r="Z546" t="s">
        <v>11130</v>
      </c>
      <c r="AA546" t="s">
        <v>11131</v>
      </c>
      <c r="AB546" t="s">
        <v>11132</v>
      </c>
      <c r="AC546" t="s">
        <v>11133</v>
      </c>
      <c r="AD546" t="s">
        <v>11134</v>
      </c>
      <c r="AE546" t="s">
        <v>11135</v>
      </c>
      <c r="AF546" t="s">
        <v>74</v>
      </c>
      <c r="AG546">
        <v>51</v>
      </c>
      <c r="AH546">
        <v>40</v>
      </c>
      <c r="AI546">
        <v>45</v>
      </c>
      <c r="AJ546">
        <v>0</v>
      </c>
      <c r="AK546">
        <v>32</v>
      </c>
      <c r="AL546" t="s">
        <v>895</v>
      </c>
      <c r="AM546" t="s">
        <v>896</v>
      </c>
      <c r="AN546" t="s">
        <v>897</v>
      </c>
      <c r="AO546" t="s">
        <v>7291</v>
      </c>
      <c r="AP546" t="s">
        <v>7292</v>
      </c>
      <c r="AQ546" t="s">
        <v>74</v>
      </c>
      <c r="AR546" t="s">
        <v>7293</v>
      </c>
      <c r="AS546" t="s">
        <v>7294</v>
      </c>
      <c r="AT546" t="s">
        <v>223</v>
      </c>
      <c r="AU546">
        <v>2016</v>
      </c>
      <c r="AV546">
        <v>18</v>
      </c>
      <c r="AW546">
        <v>3</v>
      </c>
      <c r="AX546" t="s">
        <v>74</v>
      </c>
      <c r="AY546" t="s">
        <v>74</v>
      </c>
      <c r="AZ546" t="s">
        <v>74</v>
      </c>
      <c r="BA546" t="s">
        <v>74</v>
      </c>
      <c r="BB546">
        <v>444</v>
      </c>
      <c r="BC546">
        <v>457</v>
      </c>
      <c r="BD546" t="s">
        <v>74</v>
      </c>
      <c r="BE546" t="s">
        <v>11136</v>
      </c>
      <c r="BF546" t="str">
        <f>HYPERLINK("http://dx.doi.org/10.1109/TMM.2016.2520090","http://dx.doi.org/10.1109/TMM.2016.2520090")</f>
        <v>http://dx.doi.org/10.1109/TMM.2016.2520090</v>
      </c>
      <c r="BG546" t="s">
        <v>74</v>
      </c>
      <c r="BH546" t="s">
        <v>74</v>
      </c>
      <c r="BI546">
        <v>14</v>
      </c>
      <c r="BJ546" t="s">
        <v>7296</v>
      </c>
      <c r="BK546" t="s">
        <v>902</v>
      </c>
      <c r="BL546" t="s">
        <v>2422</v>
      </c>
      <c r="BM546" t="s">
        <v>7297</v>
      </c>
      <c r="BN546" t="s">
        <v>74</v>
      </c>
      <c r="BO546" t="s">
        <v>74</v>
      </c>
      <c r="BP546" t="s">
        <v>74</v>
      </c>
      <c r="BQ546" t="s">
        <v>74</v>
      </c>
      <c r="BR546" t="s">
        <v>106</v>
      </c>
      <c r="BS546" t="s">
        <v>11137</v>
      </c>
      <c r="BT546" t="str">
        <f>HYPERLINK("https%3A%2F%2Fwww.webofscience.com%2Fwos%2Fwoscc%2Ffull-record%2FWOS:000371931600011","View Full Record in Web of Science")</f>
        <v>View Full Record in Web of Science</v>
      </c>
    </row>
    <row r="547" spans="1:72" x14ac:dyDescent="0.25">
      <c r="A547" t="s">
        <v>108</v>
      </c>
      <c r="B547" t="s">
        <v>9233</v>
      </c>
      <c r="C547" t="s">
        <v>74</v>
      </c>
      <c r="D547" t="s">
        <v>11138</v>
      </c>
      <c r="E547" t="s">
        <v>74</v>
      </c>
      <c r="F547" t="s">
        <v>9235</v>
      </c>
      <c r="G547" t="s">
        <v>74</v>
      </c>
      <c r="H547" t="s">
        <v>74</v>
      </c>
      <c r="I547" t="s">
        <v>11139</v>
      </c>
      <c r="J547" t="s">
        <v>11140</v>
      </c>
      <c r="K547" t="s">
        <v>74</v>
      </c>
      <c r="L547" t="s">
        <v>74</v>
      </c>
      <c r="M547" t="s">
        <v>78</v>
      </c>
      <c r="N547" t="s">
        <v>115</v>
      </c>
      <c r="O547" t="s">
        <v>9238</v>
      </c>
      <c r="P547" t="s">
        <v>9239</v>
      </c>
      <c r="Q547" t="s">
        <v>9240</v>
      </c>
      <c r="R547" t="s">
        <v>9241</v>
      </c>
      <c r="S547" t="s">
        <v>74</v>
      </c>
      <c r="T547" t="s">
        <v>11141</v>
      </c>
      <c r="U547" t="s">
        <v>74</v>
      </c>
      <c r="V547" t="s">
        <v>11142</v>
      </c>
      <c r="W547" t="s">
        <v>11143</v>
      </c>
      <c r="X547" t="s">
        <v>9246</v>
      </c>
      <c r="Y547" t="s">
        <v>9247</v>
      </c>
      <c r="Z547" t="s">
        <v>9248</v>
      </c>
      <c r="AA547" t="s">
        <v>9249</v>
      </c>
      <c r="AB547" t="s">
        <v>9250</v>
      </c>
      <c r="AC547" t="s">
        <v>74</v>
      </c>
      <c r="AD547" t="s">
        <v>74</v>
      </c>
      <c r="AE547" t="s">
        <v>74</v>
      </c>
      <c r="AF547" t="s">
        <v>74</v>
      </c>
      <c r="AG547">
        <v>27</v>
      </c>
      <c r="AH547">
        <v>6</v>
      </c>
      <c r="AI547">
        <v>9</v>
      </c>
      <c r="AJ547">
        <v>0</v>
      </c>
      <c r="AK547">
        <v>9</v>
      </c>
      <c r="AL547" t="s">
        <v>465</v>
      </c>
      <c r="AM547" t="s">
        <v>92</v>
      </c>
      <c r="AN547" t="s">
        <v>480</v>
      </c>
      <c r="AO547" t="s">
        <v>74</v>
      </c>
      <c r="AP547" t="s">
        <v>74</v>
      </c>
      <c r="AQ547" t="s">
        <v>11144</v>
      </c>
      <c r="AR547" t="s">
        <v>74</v>
      </c>
      <c r="AS547" t="s">
        <v>74</v>
      </c>
      <c r="AT547" t="s">
        <v>74</v>
      </c>
      <c r="AU547">
        <v>2014</v>
      </c>
      <c r="AV547" t="s">
        <v>74</v>
      </c>
      <c r="AW547" t="s">
        <v>74</v>
      </c>
      <c r="AX547" t="s">
        <v>74</v>
      </c>
      <c r="AY547" t="s">
        <v>74</v>
      </c>
      <c r="AZ547" t="s">
        <v>74</v>
      </c>
      <c r="BA547" t="s">
        <v>74</v>
      </c>
      <c r="BB547">
        <v>293</v>
      </c>
      <c r="BC547">
        <v>299</v>
      </c>
      <c r="BD547" t="s">
        <v>74</v>
      </c>
      <c r="BE547" t="s">
        <v>11145</v>
      </c>
      <c r="BF547" t="str">
        <f>HYPERLINK("http://dx.doi.org/10.1109/CW.2014.47","http://dx.doi.org/10.1109/CW.2014.47")</f>
        <v>http://dx.doi.org/10.1109/CW.2014.47</v>
      </c>
      <c r="BG547" t="s">
        <v>74</v>
      </c>
      <c r="BH547" t="s">
        <v>74</v>
      </c>
      <c r="BI547">
        <v>7</v>
      </c>
      <c r="BJ547" t="s">
        <v>972</v>
      </c>
      <c r="BK547" t="s">
        <v>203</v>
      </c>
      <c r="BL547" t="s">
        <v>953</v>
      </c>
      <c r="BM547" t="s">
        <v>11146</v>
      </c>
      <c r="BN547" t="s">
        <v>74</v>
      </c>
      <c r="BO547" t="s">
        <v>74</v>
      </c>
      <c r="BP547" t="s">
        <v>74</v>
      </c>
      <c r="BQ547" t="s">
        <v>74</v>
      </c>
      <c r="BR547" t="s">
        <v>106</v>
      </c>
      <c r="BS547" t="s">
        <v>11147</v>
      </c>
      <c r="BT547" t="str">
        <f>HYPERLINK("https%3A%2F%2Fwww.webofscience.com%2Fwos%2Fwoscc%2Ffull-record%2FWOS:000361137500038","View Full Record in Web of Science")</f>
        <v>View Full Record in Web of Science</v>
      </c>
    </row>
    <row r="548" spans="1:72" x14ac:dyDescent="0.25">
      <c r="A548" t="s">
        <v>72</v>
      </c>
      <c r="B548" t="s">
        <v>11148</v>
      </c>
      <c r="C548" t="s">
        <v>74</v>
      </c>
      <c r="D548" t="s">
        <v>74</v>
      </c>
      <c r="E548" t="s">
        <v>74</v>
      </c>
      <c r="F548" t="s">
        <v>11149</v>
      </c>
      <c r="G548" t="s">
        <v>74</v>
      </c>
      <c r="H548" t="s">
        <v>74</v>
      </c>
      <c r="I548" t="s">
        <v>11150</v>
      </c>
      <c r="J548" t="s">
        <v>11151</v>
      </c>
      <c r="K548" t="s">
        <v>74</v>
      </c>
      <c r="L548" t="s">
        <v>74</v>
      </c>
      <c r="M548" t="s">
        <v>78</v>
      </c>
      <c r="N548" t="s">
        <v>79</v>
      </c>
      <c r="O548" t="s">
        <v>74</v>
      </c>
      <c r="P548" t="s">
        <v>74</v>
      </c>
      <c r="Q548" t="s">
        <v>74</v>
      </c>
      <c r="R548" t="s">
        <v>74</v>
      </c>
      <c r="S548" t="s">
        <v>74</v>
      </c>
      <c r="T548" t="s">
        <v>11152</v>
      </c>
      <c r="U548" t="s">
        <v>11153</v>
      </c>
      <c r="V548" t="s">
        <v>11154</v>
      </c>
      <c r="W548" t="s">
        <v>11155</v>
      </c>
      <c r="X548" t="s">
        <v>11156</v>
      </c>
      <c r="Y548" t="s">
        <v>11157</v>
      </c>
      <c r="Z548" t="s">
        <v>11158</v>
      </c>
      <c r="AA548" t="s">
        <v>11159</v>
      </c>
      <c r="AB548" t="s">
        <v>74</v>
      </c>
      <c r="AC548" t="s">
        <v>11160</v>
      </c>
      <c r="AD548" t="s">
        <v>11161</v>
      </c>
      <c r="AE548" t="s">
        <v>11162</v>
      </c>
      <c r="AF548" t="s">
        <v>74</v>
      </c>
      <c r="AG548">
        <v>50</v>
      </c>
      <c r="AH548">
        <v>1</v>
      </c>
      <c r="AI548">
        <v>1</v>
      </c>
      <c r="AJ548">
        <v>0</v>
      </c>
      <c r="AK548">
        <v>6</v>
      </c>
      <c r="AL548" t="s">
        <v>178</v>
      </c>
      <c r="AM548" t="s">
        <v>92</v>
      </c>
      <c r="AN548" t="s">
        <v>179</v>
      </c>
      <c r="AO548" t="s">
        <v>11163</v>
      </c>
      <c r="AP548" t="s">
        <v>11164</v>
      </c>
      <c r="AQ548" t="s">
        <v>74</v>
      </c>
      <c r="AR548" t="s">
        <v>11165</v>
      </c>
      <c r="AS548" t="s">
        <v>11166</v>
      </c>
      <c r="AT548" t="s">
        <v>4318</v>
      </c>
      <c r="AU548">
        <v>2015</v>
      </c>
      <c r="AV548">
        <v>84</v>
      </c>
      <c r="AW548">
        <v>4</v>
      </c>
      <c r="AX548" t="s">
        <v>74</v>
      </c>
      <c r="AY548" t="s">
        <v>74</v>
      </c>
      <c r="AZ548" t="s">
        <v>74</v>
      </c>
      <c r="BA548" t="s">
        <v>74</v>
      </c>
      <c r="BB548">
        <v>2327</v>
      </c>
      <c r="BC548">
        <v>2350</v>
      </c>
      <c r="BD548" t="s">
        <v>74</v>
      </c>
      <c r="BE548" t="s">
        <v>11167</v>
      </c>
      <c r="BF548" t="str">
        <f>HYPERLINK("http://dx.doi.org/10.1007/s11277-015-2707-5","http://dx.doi.org/10.1007/s11277-015-2707-5")</f>
        <v>http://dx.doi.org/10.1007/s11277-015-2707-5</v>
      </c>
      <c r="BG548" t="s">
        <v>74</v>
      </c>
      <c r="BH548" t="s">
        <v>74</v>
      </c>
      <c r="BI548">
        <v>24</v>
      </c>
      <c r="BJ548" t="s">
        <v>4177</v>
      </c>
      <c r="BK548" t="s">
        <v>902</v>
      </c>
      <c r="BL548" t="s">
        <v>4177</v>
      </c>
      <c r="BM548" t="s">
        <v>11168</v>
      </c>
      <c r="BN548" t="s">
        <v>74</v>
      </c>
      <c r="BO548" t="s">
        <v>74</v>
      </c>
      <c r="BP548" t="s">
        <v>74</v>
      </c>
      <c r="BQ548" t="s">
        <v>74</v>
      </c>
      <c r="BR548" t="s">
        <v>106</v>
      </c>
      <c r="BS548" t="s">
        <v>11169</v>
      </c>
      <c r="BT548" t="str">
        <f>HYPERLINK("https%3A%2F%2Fwww.webofscience.com%2Fwos%2Fwoscc%2Ffull-record%2FWOS:000362008300004","View Full Record in Web of Science")</f>
        <v>View Full Record in Web of Science</v>
      </c>
    </row>
    <row r="549" spans="1:72" x14ac:dyDescent="0.25">
      <c r="A549" t="s">
        <v>72</v>
      </c>
      <c r="B549" t="s">
        <v>11170</v>
      </c>
      <c r="C549" t="s">
        <v>74</v>
      </c>
      <c r="D549" t="s">
        <v>74</v>
      </c>
      <c r="E549" t="s">
        <v>74</v>
      </c>
      <c r="F549" t="s">
        <v>11171</v>
      </c>
      <c r="G549" t="s">
        <v>74</v>
      </c>
      <c r="H549" t="s">
        <v>74</v>
      </c>
      <c r="I549" t="s">
        <v>11172</v>
      </c>
      <c r="J549" t="s">
        <v>2016</v>
      </c>
      <c r="K549" t="s">
        <v>74</v>
      </c>
      <c r="L549" t="s">
        <v>74</v>
      </c>
      <c r="M549" t="s">
        <v>78</v>
      </c>
      <c r="N549" t="s">
        <v>79</v>
      </c>
      <c r="O549" t="s">
        <v>74</v>
      </c>
      <c r="P549" t="s">
        <v>74</v>
      </c>
      <c r="Q549" t="s">
        <v>74</v>
      </c>
      <c r="R549" t="s">
        <v>74</v>
      </c>
      <c r="S549" t="s">
        <v>74</v>
      </c>
      <c r="T549" t="s">
        <v>11173</v>
      </c>
      <c r="U549" t="s">
        <v>74</v>
      </c>
      <c r="V549" t="s">
        <v>11174</v>
      </c>
      <c r="W549" t="s">
        <v>11175</v>
      </c>
      <c r="X549" t="s">
        <v>7770</v>
      </c>
      <c r="Y549" t="s">
        <v>11176</v>
      </c>
      <c r="Z549" t="s">
        <v>11177</v>
      </c>
      <c r="AA549" t="s">
        <v>11178</v>
      </c>
      <c r="AB549" t="s">
        <v>74</v>
      </c>
      <c r="AC549" t="s">
        <v>74</v>
      </c>
      <c r="AD549" t="s">
        <v>74</v>
      </c>
      <c r="AE549" t="s">
        <v>74</v>
      </c>
      <c r="AF549" t="s">
        <v>74</v>
      </c>
      <c r="AG549">
        <v>64</v>
      </c>
      <c r="AH549">
        <v>30</v>
      </c>
      <c r="AI549">
        <v>37</v>
      </c>
      <c r="AJ549">
        <v>0</v>
      </c>
      <c r="AK549">
        <v>26</v>
      </c>
      <c r="AL549" t="s">
        <v>362</v>
      </c>
      <c r="AM549" t="s">
        <v>363</v>
      </c>
      <c r="AN549" t="s">
        <v>364</v>
      </c>
      <c r="AO549" t="s">
        <v>2027</v>
      </c>
      <c r="AP549" t="s">
        <v>2028</v>
      </c>
      <c r="AQ549" t="s">
        <v>74</v>
      </c>
      <c r="AR549" t="s">
        <v>2016</v>
      </c>
      <c r="AS549" t="s">
        <v>2029</v>
      </c>
      <c r="AT549" t="s">
        <v>11179</v>
      </c>
      <c r="AU549">
        <v>2016</v>
      </c>
      <c r="AV549">
        <v>172</v>
      </c>
      <c r="AW549" t="s">
        <v>74</v>
      </c>
      <c r="AX549" t="s">
        <v>74</v>
      </c>
      <c r="AY549" t="s">
        <v>74</v>
      </c>
      <c r="AZ549" t="s">
        <v>247</v>
      </c>
      <c r="BA549" t="s">
        <v>74</v>
      </c>
      <c r="BB549">
        <v>114</v>
      </c>
      <c r="BC549">
        <v>133</v>
      </c>
      <c r="BD549" t="s">
        <v>74</v>
      </c>
      <c r="BE549" t="s">
        <v>11180</v>
      </c>
      <c r="BF549" t="str">
        <f>HYPERLINK("http://dx.doi.org/10.1016/j.neucom.2014.12.104","http://dx.doi.org/10.1016/j.neucom.2014.12.104")</f>
        <v>http://dx.doi.org/10.1016/j.neucom.2014.12.104</v>
      </c>
      <c r="BG549" t="s">
        <v>74</v>
      </c>
      <c r="BH549" t="s">
        <v>74</v>
      </c>
      <c r="BI549">
        <v>20</v>
      </c>
      <c r="BJ549" t="s">
        <v>807</v>
      </c>
      <c r="BK549" t="s">
        <v>902</v>
      </c>
      <c r="BL549" t="s">
        <v>103</v>
      </c>
      <c r="BM549" t="s">
        <v>11181</v>
      </c>
      <c r="BN549" t="s">
        <v>74</v>
      </c>
      <c r="BO549" t="s">
        <v>74</v>
      </c>
      <c r="BP549" t="s">
        <v>74</v>
      </c>
      <c r="BQ549" t="s">
        <v>74</v>
      </c>
      <c r="BR549" t="s">
        <v>106</v>
      </c>
      <c r="BS549" t="s">
        <v>11182</v>
      </c>
      <c r="BT549" t="str">
        <f>HYPERLINK("https%3A%2F%2Fwww.webofscience.com%2Fwos%2Fwoscc%2Ffull-record%2FWOS:000364884700013","View Full Record in Web of Science")</f>
        <v>View Full Record in Web of Science</v>
      </c>
    </row>
    <row r="550" spans="1:72" x14ac:dyDescent="0.25">
      <c r="A550" t="s">
        <v>108</v>
      </c>
      <c r="B550" t="s">
        <v>11183</v>
      </c>
      <c r="C550" t="s">
        <v>74</v>
      </c>
      <c r="D550" t="s">
        <v>74</v>
      </c>
      <c r="E550" t="s">
        <v>322</v>
      </c>
      <c r="F550" t="s">
        <v>11184</v>
      </c>
      <c r="G550" t="s">
        <v>74</v>
      </c>
      <c r="H550" t="s">
        <v>74</v>
      </c>
      <c r="I550" t="s">
        <v>11185</v>
      </c>
      <c r="J550" t="s">
        <v>11186</v>
      </c>
      <c r="K550" t="s">
        <v>74</v>
      </c>
      <c r="L550" t="s">
        <v>74</v>
      </c>
      <c r="M550" t="s">
        <v>78</v>
      </c>
      <c r="N550" t="s">
        <v>115</v>
      </c>
      <c r="O550" t="s">
        <v>11187</v>
      </c>
      <c r="P550" t="s">
        <v>11188</v>
      </c>
      <c r="Q550" t="s">
        <v>11189</v>
      </c>
      <c r="R550" t="s">
        <v>11190</v>
      </c>
      <c r="S550" t="s">
        <v>74</v>
      </c>
      <c r="T550" t="s">
        <v>11191</v>
      </c>
      <c r="U550" t="s">
        <v>11192</v>
      </c>
      <c r="V550" t="s">
        <v>11193</v>
      </c>
      <c r="W550" t="s">
        <v>11194</v>
      </c>
      <c r="X550" t="s">
        <v>11195</v>
      </c>
      <c r="Y550" t="s">
        <v>11196</v>
      </c>
      <c r="Z550" t="s">
        <v>11197</v>
      </c>
      <c r="AA550" t="s">
        <v>7531</v>
      </c>
      <c r="AB550" t="s">
        <v>11198</v>
      </c>
      <c r="AC550" t="s">
        <v>74</v>
      </c>
      <c r="AD550" t="s">
        <v>74</v>
      </c>
      <c r="AE550" t="s">
        <v>74</v>
      </c>
      <c r="AF550" t="s">
        <v>74</v>
      </c>
      <c r="AG550">
        <v>27</v>
      </c>
      <c r="AH550">
        <v>12</v>
      </c>
      <c r="AI550">
        <v>12</v>
      </c>
      <c r="AJ550">
        <v>0</v>
      </c>
      <c r="AK550">
        <v>9</v>
      </c>
      <c r="AL550" t="s">
        <v>291</v>
      </c>
      <c r="AM550" t="s">
        <v>92</v>
      </c>
      <c r="AN550" t="s">
        <v>292</v>
      </c>
      <c r="AO550" t="s">
        <v>74</v>
      </c>
      <c r="AP550" t="s">
        <v>74</v>
      </c>
      <c r="AQ550" t="s">
        <v>11199</v>
      </c>
      <c r="AR550" t="s">
        <v>74</v>
      </c>
      <c r="AS550" t="s">
        <v>74</v>
      </c>
      <c r="AT550" t="s">
        <v>74</v>
      </c>
      <c r="AU550">
        <v>2017</v>
      </c>
      <c r="AV550" t="s">
        <v>74</v>
      </c>
      <c r="AW550" t="s">
        <v>74</v>
      </c>
      <c r="AX550" t="s">
        <v>74</v>
      </c>
      <c r="AY550" t="s">
        <v>74</v>
      </c>
      <c r="AZ550" t="s">
        <v>74</v>
      </c>
      <c r="BA550" t="s">
        <v>74</v>
      </c>
      <c r="BB550">
        <v>573</v>
      </c>
      <c r="BC550">
        <v>580</v>
      </c>
      <c r="BD550" t="s">
        <v>74</v>
      </c>
      <c r="BE550" t="s">
        <v>11200</v>
      </c>
      <c r="BF550" t="str">
        <f>HYPERLINK("http://dx.doi.org/10.1145/3106426.3106483","http://dx.doi.org/10.1145/3106426.3106483")</f>
        <v>http://dx.doi.org/10.1145/3106426.3106483</v>
      </c>
      <c r="BG550" t="s">
        <v>74</v>
      </c>
      <c r="BH550" t="s">
        <v>74</v>
      </c>
      <c r="BI550">
        <v>8</v>
      </c>
      <c r="BJ550" t="s">
        <v>202</v>
      </c>
      <c r="BK550" t="s">
        <v>203</v>
      </c>
      <c r="BL550" t="s">
        <v>103</v>
      </c>
      <c r="BM550" t="s">
        <v>11201</v>
      </c>
      <c r="BN550" t="s">
        <v>74</v>
      </c>
      <c r="BO550" t="s">
        <v>74</v>
      </c>
      <c r="BP550" t="s">
        <v>74</v>
      </c>
      <c r="BQ550" t="s">
        <v>74</v>
      </c>
      <c r="BR550" t="s">
        <v>106</v>
      </c>
      <c r="BS550" t="s">
        <v>11202</v>
      </c>
      <c r="BT550" t="str">
        <f>HYPERLINK("https%3A%2F%2Fwww.webofscience.com%2Fwos%2Fwoscc%2Ffull-record%2FWOS:000426965100072","View Full Record in Web of Science")</f>
        <v>View Full Record in Web of Science</v>
      </c>
    </row>
    <row r="551" spans="1:72" x14ac:dyDescent="0.25">
      <c r="A551" t="s">
        <v>108</v>
      </c>
      <c r="B551" t="s">
        <v>11203</v>
      </c>
      <c r="C551" t="s">
        <v>74</v>
      </c>
      <c r="D551" t="s">
        <v>74</v>
      </c>
      <c r="E551" t="s">
        <v>11204</v>
      </c>
      <c r="F551" t="s">
        <v>11205</v>
      </c>
      <c r="G551" t="s">
        <v>74</v>
      </c>
      <c r="H551" t="s">
        <v>74</v>
      </c>
      <c r="I551" t="s">
        <v>11206</v>
      </c>
      <c r="J551" t="s">
        <v>11207</v>
      </c>
      <c r="K551" t="s">
        <v>11208</v>
      </c>
      <c r="L551" t="s">
        <v>74</v>
      </c>
      <c r="M551" t="s">
        <v>78</v>
      </c>
      <c r="N551" t="s">
        <v>115</v>
      </c>
      <c r="O551" t="s">
        <v>11209</v>
      </c>
      <c r="P551" t="s">
        <v>11210</v>
      </c>
      <c r="Q551" t="s">
        <v>11211</v>
      </c>
      <c r="R551" t="s">
        <v>11204</v>
      </c>
      <c r="S551" t="s">
        <v>74</v>
      </c>
      <c r="T551" t="s">
        <v>11212</v>
      </c>
      <c r="U551" t="s">
        <v>74</v>
      </c>
      <c r="V551" t="s">
        <v>11213</v>
      </c>
      <c r="W551" t="s">
        <v>11214</v>
      </c>
      <c r="X551" t="s">
        <v>11215</v>
      </c>
      <c r="Y551" t="s">
        <v>11216</v>
      </c>
      <c r="Z551" t="s">
        <v>74</v>
      </c>
      <c r="AA551" t="s">
        <v>11217</v>
      </c>
      <c r="AB551" t="s">
        <v>11218</v>
      </c>
      <c r="AC551" t="s">
        <v>74</v>
      </c>
      <c r="AD551" t="s">
        <v>74</v>
      </c>
      <c r="AE551" t="s">
        <v>74</v>
      </c>
      <c r="AF551" t="s">
        <v>74</v>
      </c>
      <c r="AG551">
        <v>32</v>
      </c>
      <c r="AH551">
        <v>11</v>
      </c>
      <c r="AI551">
        <v>11</v>
      </c>
      <c r="AJ551">
        <v>0</v>
      </c>
      <c r="AK551">
        <v>0</v>
      </c>
      <c r="AL551" t="s">
        <v>11219</v>
      </c>
      <c r="AM551" t="s">
        <v>240</v>
      </c>
      <c r="AN551" t="s">
        <v>11220</v>
      </c>
      <c r="AO551" t="s">
        <v>11221</v>
      </c>
      <c r="AP551" t="s">
        <v>74</v>
      </c>
      <c r="AQ551" t="s">
        <v>74</v>
      </c>
      <c r="AR551" t="s">
        <v>11222</v>
      </c>
      <c r="AS551" t="s">
        <v>74</v>
      </c>
      <c r="AT551" t="s">
        <v>74</v>
      </c>
      <c r="AU551">
        <v>2014</v>
      </c>
      <c r="AV551" t="s">
        <v>74</v>
      </c>
      <c r="AW551" t="s">
        <v>74</v>
      </c>
      <c r="AX551" t="s">
        <v>74</v>
      </c>
      <c r="AY551" t="s">
        <v>74</v>
      </c>
      <c r="AZ551" t="s">
        <v>74</v>
      </c>
      <c r="BA551" t="s">
        <v>74</v>
      </c>
      <c r="BB551" t="s">
        <v>74</v>
      </c>
      <c r="BC551" t="s">
        <v>74</v>
      </c>
      <c r="BD551" t="s">
        <v>74</v>
      </c>
      <c r="BE551" t="s">
        <v>74</v>
      </c>
      <c r="BF551" t="s">
        <v>74</v>
      </c>
      <c r="BG551" t="s">
        <v>74</v>
      </c>
      <c r="BH551" t="s">
        <v>74</v>
      </c>
      <c r="BI551">
        <v>15</v>
      </c>
      <c r="BJ551" t="s">
        <v>5813</v>
      </c>
      <c r="BK551" t="s">
        <v>138</v>
      </c>
      <c r="BL551" t="s">
        <v>486</v>
      </c>
      <c r="BM551" t="s">
        <v>11223</v>
      </c>
      <c r="BN551" t="s">
        <v>74</v>
      </c>
      <c r="BO551" t="s">
        <v>74</v>
      </c>
      <c r="BP551" t="s">
        <v>74</v>
      </c>
      <c r="BQ551" t="s">
        <v>74</v>
      </c>
      <c r="BR551" t="s">
        <v>106</v>
      </c>
      <c r="BS551" t="s">
        <v>11224</v>
      </c>
      <c r="BT551" t="str">
        <f>HYPERLINK("https%3A%2F%2Fwww.webofscience.com%2Fwos%2Fwoscc%2Ffull-record%2FWOS:000383779701014","View Full Record in Web of Science")</f>
        <v>View Full Record in Web of Science</v>
      </c>
    </row>
    <row r="552" spans="1:72" x14ac:dyDescent="0.25">
      <c r="A552" t="s">
        <v>108</v>
      </c>
      <c r="B552" t="s">
        <v>11225</v>
      </c>
      <c r="C552" t="s">
        <v>74</v>
      </c>
      <c r="D552" t="s">
        <v>74</v>
      </c>
      <c r="E552" t="s">
        <v>322</v>
      </c>
      <c r="F552" t="s">
        <v>11226</v>
      </c>
      <c r="G552" t="s">
        <v>74</v>
      </c>
      <c r="H552" t="s">
        <v>74</v>
      </c>
      <c r="I552" t="s">
        <v>11227</v>
      </c>
      <c r="J552" t="s">
        <v>8107</v>
      </c>
      <c r="K552" t="s">
        <v>74</v>
      </c>
      <c r="L552" t="s">
        <v>74</v>
      </c>
      <c r="M552" t="s">
        <v>78</v>
      </c>
      <c r="N552" t="s">
        <v>115</v>
      </c>
      <c r="O552" t="s">
        <v>8108</v>
      </c>
      <c r="P552" t="s">
        <v>8109</v>
      </c>
      <c r="Q552" t="s">
        <v>5553</v>
      </c>
      <c r="R552" t="s">
        <v>8110</v>
      </c>
      <c r="S552" t="s">
        <v>74</v>
      </c>
      <c r="T552" t="s">
        <v>11228</v>
      </c>
      <c r="U552" t="s">
        <v>74</v>
      </c>
      <c r="V552" t="s">
        <v>11229</v>
      </c>
      <c r="W552" t="s">
        <v>11230</v>
      </c>
      <c r="X552" t="s">
        <v>11231</v>
      </c>
      <c r="Y552" t="s">
        <v>11232</v>
      </c>
      <c r="Z552" t="s">
        <v>11233</v>
      </c>
      <c r="AA552" t="s">
        <v>11234</v>
      </c>
      <c r="AB552" t="s">
        <v>11235</v>
      </c>
      <c r="AC552" t="s">
        <v>11236</v>
      </c>
      <c r="AD552" t="s">
        <v>11237</v>
      </c>
      <c r="AE552" t="s">
        <v>11238</v>
      </c>
      <c r="AF552" t="s">
        <v>74</v>
      </c>
      <c r="AG552">
        <v>7</v>
      </c>
      <c r="AH552">
        <v>9</v>
      </c>
      <c r="AI552">
        <v>11</v>
      </c>
      <c r="AJ552">
        <v>0</v>
      </c>
      <c r="AK552">
        <v>1</v>
      </c>
      <c r="AL552" t="s">
        <v>291</v>
      </c>
      <c r="AM552" t="s">
        <v>92</v>
      </c>
      <c r="AN552" t="s">
        <v>341</v>
      </c>
      <c r="AO552" t="s">
        <v>74</v>
      </c>
      <c r="AP552" t="s">
        <v>74</v>
      </c>
      <c r="AQ552" t="s">
        <v>8116</v>
      </c>
      <c r="AR552" t="s">
        <v>74</v>
      </c>
      <c r="AS552" t="s">
        <v>74</v>
      </c>
      <c r="AT552" t="s">
        <v>74</v>
      </c>
      <c r="AU552">
        <v>2014</v>
      </c>
      <c r="AV552" t="s">
        <v>74</v>
      </c>
      <c r="AW552" t="s">
        <v>74</v>
      </c>
      <c r="AX552" t="s">
        <v>74</v>
      </c>
      <c r="AY552" t="s">
        <v>74</v>
      </c>
      <c r="AZ552" t="s">
        <v>74</v>
      </c>
      <c r="BA552" t="s">
        <v>74</v>
      </c>
      <c r="BB552">
        <v>1211</v>
      </c>
      <c r="BC552">
        <v>1214</v>
      </c>
      <c r="BD552" t="s">
        <v>74</v>
      </c>
      <c r="BE552" t="s">
        <v>11239</v>
      </c>
      <c r="BF552" t="str">
        <f>HYPERLINK("http://dx.doi.org/10.1145/2600428.2609547","http://dx.doi.org/10.1145/2600428.2609547")</f>
        <v>http://dx.doi.org/10.1145/2600428.2609547</v>
      </c>
      <c r="BG552" t="s">
        <v>74</v>
      </c>
      <c r="BH552" t="s">
        <v>74</v>
      </c>
      <c r="BI552">
        <v>4</v>
      </c>
      <c r="BJ552" t="s">
        <v>852</v>
      </c>
      <c r="BK552" t="s">
        <v>203</v>
      </c>
      <c r="BL552" t="s">
        <v>103</v>
      </c>
      <c r="BM552" t="s">
        <v>8118</v>
      </c>
      <c r="BN552" t="s">
        <v>74</v>
      </c>
      <c r="BO552" t="s">
        <v>74</v>
      </c>
      <c r="BP552" t="s">
        <v>74</v>
      </c>
      <c r="BQ552" t="s">
        <v>74</v>
      </c>
      <c r="BR552" t="s">
        <v>106</v>
      </c>
      <c r="BS552" t="s">
        <v>11240</v>
      </c>
      <c r="BT552" t="str">
        <f>HYPERLINK("https%3A%2F%2Fwww.webofscience.com%2Fwos%2Fwoscc%2Ffull-record%2FWOS:000450717600181","View Full Record in Web of Science")</f>
        <v>View Full Record in Web of Science</v>
      </c>
    </row>
    <row r="553" spans="1:72" x14ac:dyDescent="0.25">
      <c r="A553" t="s">
        <v>72</v>
      </c>
      <c r="B553" t="s">
        <v>11241</v>
      </c>
      <c r="C553" t="s">
        <v>74</v>
      </c>
      <c r="D553" t="s">
        <v>74</v>
      </c>
      <c r="E553" t="s">
        <v>74</v>
      </c>
      <c r="F553" t="s">
        <v>11242</v>
      </c>
      <c r="G553" t="s">
        <v>74</v>
      </c>
      <c r="H553" t="s">
        <v>74</v>
      </c>
      <c r="I553" t="s">
        <v>11243</v>
      </c>
      <c r="J553" t="s">
        <v>11244</v>
      </c>
      <c r="K553" t="s">
        <v>74</v>
      </c>
      <c r="L553" t="s">
        <v>74</v>
      </c>
      <c r="M553" t="s">
        <v>78</v>
      </c>
      <c r="N553" t="s">
        <v>79</v>
      </c>
      <c r="O553" t="s">
        <v>74</v>
      </c>
      <c r="P553" t="s">
        <v>74</v>
      </c>
      <c r="Q553" t="s">
        <v>74</v>
      </c>
      <c r="R553" t="s">
        <v>74</v>
      </c>
      <c r="S553" t="s">
        <v>74</v>
      </c>
      <c r="T553" t="s">
        <v>11245</v>
      </c>
      <c r="U553" t="s">
        <v>74</v>
      </c>
      <c r="V553" t="s">
        <v>11246</v>
      </c>
      <c r="W553" t="s">
        <v>11247</v>
      </c>
      <c r="X553" t="s">
        <v>11248</v>
      </c>
      <c r="Y553" t="s">
        <v>11249</v>
      </c>
      <c r="Z553" t="s">
        <v>11250</v>
      </c>
      <c r="AA553" t="s">
        <v>74</v>
      </c>
      <c r="AB553" t="s">
        <v>74</v>
      </c>
      <c r="AC553" t="s">
        <v>11251</v>
      </c>
      <c r="AD553" t="s">
        <v>11252</v>
      </c>
      <c r="AE553" t="s">
        <v>11253</v>
      </c>
      <c r="AF553" t="s">
        <v>74</v>
      </c>
      <c r="AG553">
        <v>32</v>
      </c>
      <c r="AH553">
        <v>67</v>
      </c>
      <c r="AI553">
        <v>77</v>
      </c>
      <c r="AJ553">
        <v>0</v>
      </c>
      <c r="AK553">
        <v>23</v>
      </c>
      <c r="AL553" t="s">
        <v>947</v>
      </c>
      <c r="AM553" t="s">
        <v>948</v>
      </c>
      <c r="AN553" t="s">
        <v>2346</v>
      </c>
      <c r="AO553" t="s">
        <v>11254</v>
      </c>
      <c r="AP553" t="s">
        <v>11255</v>
      </c>
      <c r="AQ553" t="s">
        <v>74</v>
      </c>
      <c r="AR553" t="s">
        <v>11256</v>
      </c>
      <c r="AS553" t="s">
        <v>11257</v>
      </c>
      <c r="AT553" t="s">
        <v>1950</v>
      </c>
      <c r="AU553">
        <v>2014</v>
      </c>
      <c r="AV553">
        <v>13</v>
      </c>
      <c r="AW553">
        <v>2</v>
      </c>
      <c r="AX553" t="s">
        <v>74</v>
      </c>
      <c r="AY553" t="s">
        <v>74</v>
      </c>
      <c r="AZ553" t="s">
        <v>74</v>
      </c>
      <c r="BA553" t="s">
        <v>74</v>
      </c>
      <c r="BB553">
        <v>235</v>
      </c>
      <c r="BC553">
        <v>249</v>
      </c>
      <c r="BD553" t="s">
        <v>74</v>
      </c>
      <c r="BE553" t="s">
        <v>11258</v>
      </c>
      <c r="BF553" t="str">
        <f>HYPERLINK("http://dx.doi.org/10.1109/TMC.2012.239","http://dx.doi.org/10.1109/TMC.2012.239")</f>
        <v>http://dx.doi.org/10.1109/TMC.2012.239</v>
      </c>
      <c r="BG553" t="s">
        <v>74</v>
      </c>
      <c r="BH553" t="s">
        <v>74</v>
      </c>
      <c r="BI553">
        <v>15</v>
      </c>
      <c r="BJ553" t="s">
        <v>2674</v>
      </c>
      <c r="BK553" t="s">
        <v>902</v>
      </c>
      <c r="BL553" t="s">
        <v>2422</v>
      </c>
      <c r="BM553" t="s">
        <v>11259</v>
      </c>
      <c r="BN553" t="s">
        <v>74</v>
      </c>
      <c r="BO553" t="s">
        <v>74</v>
      </c>
      <c r="BP553" t="s">
        <v>74</v>
      </c>
      <c r="BQ553" t="s">
        <v>74</v>
      </c>
      <c r="BR553" t="s">
        <v>106</v>
      </c>
      <c r="BS553" t="s">
        <v>11260</v>
      </c>
      <c r="BT553" t="str">
        <f>HYPERLINK("https%3A%2F%2Fwww.webofscience.com%2Fwos%2Fwoscc%2Ffull-record%2FWOS:000333091100001","View Full Record in Web of Science")</f>
        <v>View Full Record in Web of Science</v>
      </c>
    </row>
    <row r="554" spans="1:72" x14ac:dyDescent="0.25">
      <c r="A554" t="s">
        <v>108</v>
      </c>
      <c r="B554" t="s">
        <v>11261</v>
      </c>
      <c r="C554" t="s">
        <v>74</v>
      </c>
      <c r="D554" t="s">
        <v>11262</v>
      </c>
      <c r="E554" t="s">
        <v>74</v>
      </c>
      <c r="F554" t="s">
        <v>11263</v>
      </c>
      <c r="G554" t="s">
        <v>74</v>
      </c>
      <c r="H554" t="s">
        <v>74</v>
      </c>
      <c r="I554" t="s">
        <v>11264</v>
      </c>
      <c r="J554" t="s">
        <v>11265</v>
      </c>
      <c r="K554" t="s">
        <v>4853</v>
      </c>
      <c r="L554" t="s">
        <v>74</v>
      </c>
      <c r="M554" t="s">
        <v>78</v>
      </c>
      <c r="N554" t="s">
        <v>115</v>
      </c>
      <c r="O554" t="s">
        <v>11266</v>
      </c>
      <c r="P554" t="s">
        <v>11267</v>
      </c>
      <c r="Q554" t="s">
        <v>2643</v>
      </c>
      <c r="R554" t="s">
        <v>11268</v>
      </c>
      <c r="S554" t="s">
        <v>74</v>
      </c>
      <c r="T554" t="s">
        <v>11269</v>
      </c>
      <c r="U554" t="s">
        <v>11270</v>
      </c>
      <c r="V554" t="s">
        <v>11271</v>
      </c>
      <c r="W554" t="s">
        <v>11272</v>
      </c>
      <c r="X554" t="s">
        <v>11273</v>
      </c>
      <c r="Y554" t="s">
        <v>11274</v>
      </c>
      <c r="Z554" t="s">
        <v>11275</v>
      </c>
      <c r="AA554" t="s">
        <v>11276</v>
      </c>
      <c r="AB554" t="s">
        <v>74</v>
      </c>
      <c r="AC554" t="s">
        <v>11277</v>
      </c>
      <c r="AD554" t="s">
        <v>11278</v>
      </c>
      <c r="AE554" t="s">
        <v>11279</v>
      </c>
      <c r="AF554" t="s">
        <v>74</v>
      </c>
      <c r="AG554">
        <v>31</v>
      </c>
      <c r="AH554">
        <v>3</v>
      </c>
      <c r="AI554">
        <v>3</v>
      </c>
      <c r="AJ554">
        <v>0</v>
      </c>
      <c r="AK554">
        <v>7</v>
      </c>
      <c r="AL554" t="s">
        <v>197</v>
      </c>
      <c r="AM554" t="s">
        <v>198</v>
      </c>
      <c r="AN554" t="s">
        <v>199</v>
      </c>
      <c r="AO554" t="s">
        <v>4865</v>
      </c>
      <c r="AP554" t="s">
        <v>4866</v>
      </c>
      <c r="AQ554" t="s">
        <v>11280</v>
      </c>
      <c r="AR554" t="s">
        <v>4868</v>
      </c>
      <c r="AS554" t="s">
        <v>74</v>
      </c>
      <c r="AT554" t="s">
        <v>74</v>
      </c>
      <c r="AU554">
        <v>2017</v>
      </c>
      <c r="AV554">
        <v>774</v>
      </c>
      <c r="AW554" t="s">
        <v>74</v>
      </c>
      <c r="AX554" t="s">
        <v>74</v>
      </c>
      <c r="AY554" t="s">
        <v>74</v>
      </c>
      <c r="AZ554" t="s">
        <v>74</v>
      </c>
      <c r="BA554" t="s">
        <v>74</v>
      </c>
      <c r="BB554">
        <v>29</v>
      </c>
      <c r="BC554">
        <v>39</v>
      </c>
      <c r="BD554" t="s">
        <v>74</v>
      </c>
      <c r="BE554" t="s">
        <v>11281</v>
      </c>
      <c r="BF554" t="str">
        <f>HYPERLINK("http://dx.doi.org/10.1007/978-981-10-6805-8_3","http://dx.doi.org/10.1007/978-981-10-6805-8_3")</f>
        <v>http://dx.doi.org/10.1007/978-981-10-6805-8_3</v>
      </c>
      <c r="BG554" t="s">
        <v>74</v>
      </c>
      <c r="BH554" t="s">
        <v>74</v>
      </c>
      <c r="BI554">
        <v>11</v>
      </c>
      <c r="BJ554" t="s">
        <v>461</v>
      </c>
      <c r="BK554" t="s">
        <v>203</v>
      </c>
      <c r="BL554" t="s">
        <v>103</v>
      </c>
      <c r="BM554" t="s">
        <v>11282</v>
      </c>
      <c r="BN554" t="s">
        <v>74</v>
      </c>
      <c r="BO554" t="s">
        <v>74</v>
      </c>
      <c r="BP554" t="s">
        <v>74</v>
      </c>
      <c r="BQ554" t="s">
        <v>74</v>
      </c>
      <c r="BR554" t="s">
        <v>106</v>
      </c>
      <c r="BS554" t="s">
        <v>11283</v>
      </c>
      <c r="BT554" t="str">
        <f>HYPERLINK("https%3A%2F%2Fwww.webofscience.com%2Fwos%2Fwoscc%2Ffull-record%2FWOS:000437040400003","View Full Record in Web of Science")</f>
        <v>View Full Record in Web of Science</v>
      </c>
    </row>
    <row r="555" spans="1:72" x14ac:dyDescent="0.25">
      <c r="A555" t="s">
        <v>108</v>
      </c>
      <c r="B555" t="s">
        <v>11284</v>
      </c>
      <c r="C555" t="s">
        <v>74</v>
      </c>
      <c r="D555" t="s">
        <v>11285</v>
      </c>
      <c r="E555" t="s">
        <v>74</v>
      </c>
      <c r="F555" t="s">
        <v>11286</v>
      </c>
      <c r="G555" t="s">
        <v>74</v>
      </c>
      <c r="H555" t="s">
        <v>74</v>
      </c>
      <c r="I555" t="s">
        <v>11287</v>
      </c>
      <c r="J555" t="s">
        <v>11288</v>
      </c>
      <c r="K555" t="s">
        <v>147</v>
      </c>
      <c r="L555" t="s">
        <v>74</v>
      </c>
      <c r="M555" t="s">
        <v>78</v>
      </c>
      <c r="N555" t="s">
        <v>115</v>
      </c>
      <c r="O555" t="s">
        <v>11289</v>
      </c>
      <c r="P555" t="s">
        <v>11290</v>
      </c>
      <c r="Q555" t="s">
        <v>11291</v>
      </c>
      <c r="R555" t="s">
        <v>11292</v>
      </c>
      <c r="S555" t="s">
        <v>74</v>
      </c>
      <c r="T555" t="s">
        <v>11293</v>
      </c>
      <c r="U555" t="s">
        <v>74</v>
      </c>
      <c r="V555" t="s">
        <v>11294</v>
      </c>
      <c r="W555" t="s">
        <v>11295</v>
      </c>
      <c r="X555" t="s">
        <v>11296</v>
      </c>
      <c r="Y555" t="s">
        <v>11297</v>
      </c>
      <c r="Z555" t="s">
        <v>11298</v>
      </c>
      <c r="AA555" t="s">
        <v>11299</v>
      </c>
      <c r="AB555" t="s">
        <v>74</v>
      </c>
      <c r="AC555" t="s">
        <v>74</v>
      </c>
      <c r="AD555" t="s">
        <v>74</v>
      </c>
      <c r="AE555" t="s">
        <v>74</v>
      </c>
      <c r="AF555" t="s">
        <v>74</v>
      </c>
      <c r="AG555">
        <v>28</v>
      </c>
      <c r="AH555">
        <v>2</v>
      </c>
      <c r="AI555">
        <v>2</v>
      </c>
      <c r="AJ555">
        <v>0</v>
      </c>
      <c r="AK555">
        <v>1</v>
      </c>
      <c r="AL555" t="s">
        <v>197</v>
      </c>
      <c r="AM555" t="s">
        <v>198</v>
      </c>
      <c r="AN555" t="s">
        <v>199</v>
      </c>
      <c r="AO555" t="s">
        <v>159</v>
      </c>
      <c r="AP555" t="s">
        <v>133</v>
      </c>
      <c r="AQ555" t="s">
        <v>11300</v>
      </c>
      <c r="AR555" t="s">
        <v>161</v>
      </c>
      <c r="AS555" t="s">
        <v>74</v>
      </c>
      <c r="AT555" t="s">
        <v>74</v>
      </c>
      <c r="AU555">
        <v>2015</v>
      </c>
      <c r="AV555">
        <v>9088</v>
      </c>
      <c r="AW555" t="s">
        <v>74</v>
      </c>
      <c r="AX555" t="s">
        <v>74</v>
      </c>
      <c r="AY555" t="s">
        <v>74</v>
      </c>
      <c r="AZ555" t="s">
        <v>74</v>
      </c>
      <c r="BA555" t="s">
        <v>74</v>
      </c>
      <c r="BB555">
        <v>817</v>
      </c>
      <c r="BC555">
        <v>828</v>
      </c>
      <c r="BD555" t="s">
        <v>74</v>
      </c>
      <c r="BE555" t="s">
        <v>11301</v>
      </c>
      <c r="BF555" t="str">
        <f>HYPERLINK("http://dx.doi.org/10.1007/978-3-319-18818-8_54","http://dx.doi.org/10.1007/978-3-319-18818-8_54")</f>
        <v>http://dx.doi.org/10.1007/978-3-319-18818-8_54</v>
      </c>
      <c r="BG555" t="s">
        <v>74</v>
      </c>
      <c r="BH555" t="s">
        <v>74</v>
      </c>
      <c r="BI555">
        <v>12</v>
      </c>
      <c r="BJ555" t="s">
        <v>11302</v>
      </c>
      <c r="BK555" t="s">
        <v>203</v>
      </c>
      <c r="BL555" t="s">
        <v>1715</v>
      </c>
      <c r="BM555" t="s">
        <v>11303</v>
      </c>
      <c r="BN555" t="s">
        <v>74</v>
      </c>
      <c r="BO555" t="s">
        <v>205</v>
      </c>
      <c r="BP555" t="s">
        <v>74</v>
      </c>
      <c r="BQ555" t="s">
        <v>74</v>
      </c>
      <c r="BR555" t="s">
        <v>106</v>
      </c>
      <c r="BS555" t="s">
        <v>11304</v>
      </c>
      <c r="BT555" t="str">
        <f>HYPERLINK("https%3A%2F%2Fwww.webofscience.com%2Fwos%2Fwoscc%2Ffull-record%2FWOS:000362439200054","View Full Record in Web of Science")</f>
        <v>View Full Record in Web of Science</v>
      </c>
    </row>
    <row r="556" spans="1:72" x14ac:dyDescent="0.25">
      <c r="A556" t="s">
        <v>108</v>
      </c>
      <c r="B556" t="s">
        <v>11305</v>
      </c>
      <c r="C556" t="s">
        <v>74</v>
      </c>
      <c r="D556" t="s">
        <v>74</v>
      </c>
      <c r="E556" t="s">
        <v>10296</v>
      </c>
      <c r="F556" t="s">
        <v>11306</v>
      </c>
      <c r="G556" t="s">
        <v>74</v>
      </c>
      <c r="H556" t="s">
        <v>74</v>
      </c>
      <c r="I556" t="s">
        <v>11307</v>
      </c>
      <c r="J556" t="s">
        <v>11308</v>
      </c>
      <c r="K556" t="s">
        <v>5509</v>
      </c>
      <c r="L556" t="s">
        <v>74</v>
      </c>
      <c r="M556" t="s">
        <v>78</v>
      </c>
      <c r="N556" t="s">
        <v>115</v>
      </c>
      <c r="O556" t="s">
        <v>11309</v>
      </c>
      <c r="P556" t="s">
        <v>11310</v>
      </c>
      <c r="Q556" t="s">
        <v>11311</v>
      </c>
      <c r="R556" t="s">
        <v>5505</v>
      </c>
      <c r="S556" t="s">
        <v>74</v>
      </c>
      <c r="T556" t="s">
        <v>74</v>
      </c>
      <c r="U556" t="s">
        <v>74</v>
      </c>
      <c r="V556" t="s">
        <v>11312</v>
      </c>
      <c r="W556" t="s">
        <v>11313</v>
      </c>
      <c r="X556" t="s">
        <v>285</v>
      </c>
      <c r="Y556" t="s">
        <v>11314</v>
      </c>
      <c r="Z556" t="s">
        <v>11315</v>
      </c>
      <c r="AA556" t="s">
        <v>11316</v>
      </c>
      <c r="AB556" t="s">
        <v>74</v>
      </c>
      <c r="AC556" t="s">
        <v>74</v>
      </c>
      <c r="AD556" t="s">
        <v>74</v>
      </c>
      <c r="AE556" t="s">
        <v>74</v>
      </c>
      <c r="AF556" t="s">
        <v>74</v>
      </c>
      <c r="AG556">
        <v>19</v>
      </c>
      <c r="AH556">
        <v>0</v>
      </c>
      <c r="AI556">
        <v>0</v>
      </c>
      <c r="AJ556">
        <v>0</v>
      </c>
      <c r="AK556">
        <v>0</v>
      </c>
      <c r="AL556" t="s">
        <v>5523</v>
      </c>
      <c r="AM556" t="s">
        <v>5524</v>
      </c>
      <c r="AN556" t="s">
        <v>5525</v>
      </c>
      <c r="AO556" t="s">
        <v>5526</v>
      </c>
      <c r="AP556" t="s">
        <v>5527</v>
      </c>
      <c r="AQ556" t="s">
        <v>74</v>
      </c>
      <c r="AR556" t="s">
        <v>5529</v>
      </c>
      <c r="AS556" t="s">
        <v>74</v>
      </c>
      <c r="AT556" t="s">
        <v>74</v>
      </c>
      <c r="AU556">
        <v>2016</v>
      </c>
      <c r="AV556" t="s">
        <v>74</v>
      </c>
      <c r="AW556" t="s">
        <v>74</v>
      </c>
      <c r="AX556" t="s">
        <v>74</v>
      </c>
      <c r="AY556" t="s">
        <v>74</v>
      </c>
      <c r="AZ556" t="s">
        <v>74</v>
      </c>
      <c r="BA556" t="s">
        <v>74</v>
      </c>
      <c r="BB556">
        <v>129</v>
      </c>
      <c r="BC556">
        <v>136</v>
      </c>
      <c r="BD556" t="s">
        <v>74</v>
      </c>
      <c r="BE556" t="s">
        <v>74</v>
      </c>
      <c r="BF556" t="s">
        <v>74</v>
      </c>
      <c r="BG556" t="s">
        <v>74</v>
      </c>
      <c r="BH556" t="s">
        <v>74</v>
      </c>
      <c r="BI556">
        <v>8</v>
      </c>
      <c r="BJ556" t="s">
        <v>952</v>
      </c>
      <c r="BK556" t="s">
        <v>203</v>
      </c>
      <c r="BL556" t="s">
        <v>953</v>
      </c>
      <c r="BM556" t="s">
        <v>11317</v>
      </c>
      <c r="BN556" t="s">
        <v>74</v>
      </c>
      <c r="BO556" t="s">
        <v>74</v>
      </c>
      <c r="BP556" t="s">
        <v>74</v>
      </c>
      <c r="BQ556" t="s">
        <v>74</v>
      </c>
      <c r="BR556" t="s">
        <v>106</v>
      </c>
      <c r="BS556" t="s">
        <v>11318</v>
      </c>
      <c r="BT556" t="str">
        <f>HYPERLINK("https%3A%2F%2Fwww.webofscience.com%2Fwos%2Fwoscc%2Ffull-record%2FWOS:000485474200018","View Full Record in Web of Science")</f>
        <v>View Full Record in Web of Science</v>
      </c>
    </row>
    <row r="557" spans="1:72" x14ac:dyDescent="0.25">
      <c r="A557" t="s">
        <v>108</v>
      </c>
      <c r="B557" t="s">
        <v>11319</v>
      </c>
      <c r="C557" t="s">
        <v>74</v>
      </c>
      <c r="D557" t="s">
        <v>74</v>
      </c>
      <c r="E557" t="s">
        <v>465</v>
      </c>
      <c r="F557" t="s">
        <v>11320</v>
      </c>
      <c r="G557" t="s">
        <v>74</v>
      </c>
      <c r="H557" t="s">
        <v>74</v>
      </c>
      <c r="I557" t="s">
        <v>11321</v>
      </c>
      <c r="J557" t="s">
        <v>11322</v>
      </c>
      <c r="K557" t="s">
        <v>11323</v>
      </c>
      <c r="L557" t="s">
        <v>74</v>
      </c>
      <c r="M557" t="s">
        <v>78</v>
      </c>
      <c r="N557" t="s">
        <v>115</v>
      </c>
      <c r="O557" t="s">
        <v>11324</v>
      </c>
      <c r="P557" t="s">
        <v>11325</v>
      </c>
      <c r="Q557" t="s">
        <v>4669</v>
      </c>
      <c r="R557" t="s">
        <v>11326</v>
      </c>
      <c r="S557" t="s">
        <v>74</v>
      </c>
      <c r="T557" t="s">
        <v>11327</v>
      </c>
      <c r="U557" t="s">
        <v>74</v>
      </c>
      <c r="V557" t="s">
        <v>11328</v>
      </c>
      <c r="W557" t="s">
        <v>11329</v>
      </c>
      <c r="X557" t="s">
        <v>11330</v>
      </c>
      <c r="Y557" t="s">
        <v>11331</v>
      </c>
      <c r="Z557" t="s">
        <v>11332</v>
      </c>
      <c r="AA557" t="s">
        <v>74</v>
      </c>
      <c r="AB557" t="s">
        <v>74</v>
      </c>
      <c r="AC557" t="s">
        <v>74</v>
      </c>
      <c r="AD557" t="s">
        <v>74</v>
      </c>
      <c r="AE557" t="s">
        <v>74</v>
      </c>
      <c r="AF557" t="s">
        <v>74</v>
      </c>
      <c r="AG557">
        <v>17</v>
      </c>
      <c r="AH557">
        <v>11</v>
      </c>
      <c r="AI557">
        <v>14</v>
      </c>
      <c r="AJ557">
        <v>0</v>
      </c>
      <c r="AK557">
        <v>16</v>
      </c>
      <c r="AL557" t="s">
        <v>947</v>
      </c>
      <c r="AM557" t="s">
        <v>948</v>
      </c>
      <c r="AN557" t="s">
        <v>949</v>
      </c>
      <c r="AO557" t="s">
        <v>11333</v>
      </c>
      <c r="AP557" t="s">
        <v>74</v>
      </c>
      <c r="AQ557" t="s">
        <v>11334</v>
      </c>
      <c r="AR557" t="s">
        <v>11335</v>
      </c>
      <c r="AS557" t="s">
        <v>74</v>
      </c>
      <c r="AT557" t="s">
        <v>74</v>
      </c>
      <c r="AU557">
        <v>2020</v>
      </c>
      <c r="AV557" t="s">
        <v>74</v>
      </c>
      <c r="AW557" t="s">
        <v>74</v>
      </c>
      <c r="AX557" t="s">
        <v>74</v>
      </c>
      <c r="AY557" t="s">
        <v>74</v>
      </c>
      <c r="AZ557" t="s">
        <v>74</v>
      </c>
      <c r="BA557" t="s">
        <v>74</v>
      </c>
      <c r="BB557">
        <v>322</v>
      </c>
      <c r="BC557">
        <v>327</v>
      </c>
      <c r="BD557" t="s">
        <v>74</v>
      </c>
      <c r="BE557" t="s">
        <v>11336</v>
      </c>
      <c r="BF557" t="str">
        <f>HYPERLINK("http://dx.doi.org/10.1109/MDM48529.2020.00071","http://dx.doi.org/10.1109/MDM48529.2020.00071")</f>
        <v>http://dx.doi.org/10.1109/MDM48529.2020.00071</v>
      </c>
      <c r="BG557" t="s">
        <v>74</v>
      </c>
      <c r="BH557" t="s">
        <v>74</v>
      </c>
      <c r="BI557">
        <v>6</v>
      </c>
      <c r="BJ557" t="s">
        <v>901</v>
      </c>
      <c r="BK557" t="s">
        <v>203</v>
      </c>
      <c r="BL557" t="s">
        <v>903</v>
      </c>
      <c r="BM557" t="s">
        <v>11337</v>
      </c>
      <c r="BN557" t="s">
        <v>74</v>
      </c>
      <c r="BO557" t="s">
        <v>74</v>
      </c>
      <c r="BP557" t="s">
        <v>74</v>
      </c>
      <c r="BQ557" t="s">
        <v>74</v>
      </c>
      <c r="BR557" t="s">
        <v>106</v>
      </c>
      <c r="BS557" t="s">
        <v>11338</v>
      </c>
      <c r="BT557" t="str">
        <f>HYPERLINK("https%3A%2F%2Fwww.webofscience.com%2Fwos%2Fwoscc%2Ffull-record%2FWOS:000621175800052","View Full Record in Web of Science")</f>
        <v>View Full Record in Web of Science</v>
      </c>
    </row>
    <row r="558" spans="1:72" x14ac:dyDescent="0.25">
      <c r="A558" t="s">
        <v>72</v>
      </c>
      <c r="B558" t="s">
        <v>11339</v>
      </c>
      <c r="C558" t="s">
        <v>74</v>
      </c>
      <c r="D558" t="s">
        <v>74</v>
      </c>
      <c r="E558" t="s">
        <v>74</v>
      </c>
      <c r="F558" t="s">
        <v>11340</v>
      </c>
      <c r="G558" t="s">
        <v>74</v>
      </c>
      <c r="H558" t="s">
        <v>74</v>
      </c>
      <c r="I558" t="s">
        <v>11341</v>
      </c>
      <c r="J558" t="s">
        <v>11342</v>
      </c>
      <c r="K558" t="s">
        <v>74</v>
      </c>
      <c r="L558" t="s">
        <v>74</v>
      </c>
      <c r="M558" t="s">
        <v>78</v>
      </c>
      <c r="N558" t="s">
        <v>79</v>
      </c>
      <c r="O558" t="s">
        <v>74</v>
      </c>
      <c r="P558" t="s">
        <v>74</v>
      </c>
      <c r="Q558" t="s">
        <v>74</v>
      </c>
      <c r="R558" t="s">
        <v>74</v>
      </c>
      <c r="S558" t="s">
        <v>74</v>
      </c>
      <c r="T558" t="s">
        <v>11343</v>
      </c>
      <c r="U558" t="s">
        <v>11344</v>
      </c>
      <c r="V558" t="s">
        <v>11345</v>
      </c>
      <c r="W558" t="s">
        <v>11346</v>
      </c>
      <c r="X558" t="s">
        <v>11347</v>
      </c>
      <c r="Y558" t="s">
        <v>11348</v>
      </c>
      <c r="Z558" t="s">
        <v>11349</v>
      </c>
      <c r="AA558" t="s">
        <v>11350</v>
      </c>
      <c r="AB558" t="s">
        <v>11351</v>
      </c>
      <c r="AC558" t="s">
        <v>11352</v>
      </c>
      <c r="AD558" t="s">
        <v>11353</v>
      </c>
      <c r="AE558" t="s">
        <v>11354</v>
      </c>
      <c r="AF558" t="s">
        <v>74</v>
      </c>
      <c r="AG558">
        <v>57</v>
      </c>
      <c r="AH558">
        <v>82</v>
      </c>
      <c r="AI558">
        <v>110</v>
      </c>
      <c r="AJ558">
        <v>0</v>
      </c>
      <c r="AK558">
        <v>53</v>
      </c>
      <c r="AL558" t="s">
        <v>4549</v>
      </c>
      <c r="AM558" t="s">
        <v>4550</v>
      </c>
      <c r="AN558" t="s">
        <v>4551</v>
      </c>
      <c r="AO558" t="s">
        <v>11355</v>
      </c>
      <c r="AP558" t="s">
        <v>11356</v>
      </c>
      <c r="AQ558" t="s">
        <v>74</v>
      </c>
      <c r="AR558" t="s">
        <v>11357</v>
      </c>
      <c r="AS558" t="s">
        <v>11358</v>
      </c>
      <c r="AT558" t="s">
        <v>1166</v>
      </c>
      <c r="AU558">
        <v>2015</v>
      </c>
      <c r="AV558">
        <v>42</v>
      </c>
      <c r="AW558" t="s">
        <v>74</v>
      </c>
      <c r="AX558" t="s">
        <v>74</v>
      </c>
      <c r="AY558" t="s">
        <v>74</v>
      </c>
      <c r="AZ558" t="s">
        <v>74</v>
      </c>
      <c r="BA558" t="s">
        <v>74</v>
      </c>
      <c r="BB558">
        <v>17</v>
      </c>
      <c r="BC558">
        <v>25</v>
      </c>
      <c r="BD558" t="s">
        <v>74</v>
      </c>
      <c r="BE558" t="s">
        <v>11359</v>
      </c>
      <c r="BF558" t="str">
        <f>HYPERLINK("http://dx.doi.org/10.1016/j.cedpsych.2015.03.006","http://dx.doi.org/10.1016/j.cedpsych.2015.03.006")</f>
        <v>http://dx.doi.org/10.1016/j.cedpsych.2015.03.006</v>
      </c>
      <c r="BG558" t="s">
        <v>74</v>
      </c>
      <c r="BH558" t="s">
        <v>74</v>
      </c>
      <c r="BI558">
        <v>9</v>
      </c>
      <c r="BJ558" t="s">
        <v>249</v>
      </c>
      <c r="BK558" t="s">
        <v>250</v>
      </c>
      <c r="BL558" t="s">
        <v>251</v>
      </c>
      <c r="BM558" t="s">
        <v>11360</v>
      </c>
      <c r="BN558" t="s">
        <v>74</v>
      </c>
      <c r="BO558" t="s">
        <v>74</v>
      </c>
      <c r="BP558" t="s">
        <v>74</v>
      </c>
      <c r="BQ558" t="s">
        <v>74</v>
      </c>
      <c r="BR558" t="s">
        <v>106</v>
      </c>
      <c r="BS558" t="s">
        <v>11361</v>
      </c>
      <c r="BT558" t="str">
        <f>HYPERLINK("https%3A%2F%2Fwww.webofscience.com%2Fwos%2Fwoscc%2Ffull-record%2FWOS:000359097100002","View Full Record in Web of Science")</f>
        <v>View Full Record in Web of Science</v>
      </c>
    </row>
    <row r="559" spans="1:72" x14ac:dyDescent="0.25">
      <c r="A559" t="s">
        <v>72</v>
      </c>
      <c r="B559" t="s">
        <v>11362</v>
      </c>
      <c r="C559" t="s">
        <v>74</v>
      </c>
      <c r="D559" t="s">
        <v>74</v>
      </c>
      <c r="E559" t="s">
        <v>74</v>
      </c>
      <c r="F559" t="s">
        <v>11363</v>
      </c>
      <c r="G559" t="s">
        <v>74</v>
      </c>
      <c r="H559" t="s">
        <v>74</v>
      </c>
      <c r="I559" t="s">
        <v>11364</v>
      </c>
      <c r="J559" t="s">
        <v>3461</v>
      </c>
      <c r="K559" t="s">
        <v>74</v>
      </c>
      <c r="L559" t="s">
        <v>74</v>
      </c>
      <c r="M559" t="s">
        <v>78</v>
      </c>
      <c r="N559" t="s">
        <v>79</v>
      </c>
      <c r="O559" t="s">
        <v>74</v>
      </c>
      <c r="P559" t="s">
        <v>74</v>
      </c>
      <c r="Q559" t="s">
        <v>74</v>
      </c>
      <c r="R559" t="s">
        <v>74</v>
      </c>
      <c r="S559" t="s">
        <v>74</v>
      </c>
      <c r="T559" t="s">
        <v>11365</v>
      </c>
      <c r="U559" t="s">
        <v>11366</v>
      </c>
      <c r="V559" t="s">
        <v>11367</v>
      </c>
      <c r="W559" t="s">
        <v>11368</v>
      </c>
      <c r="X559" t="s">
        <v>11369</v>
      </c>
      <c r="Y559" t="s">
        <v>11370</v>
      </c>
      <c r="Z559" t="s">
        <v>11371</v>
      </c>
      <c r="AA559" t="s">
        <v>11372</v>
      </c>
      <c r="AB559" t="s">
        <v>11373</v>
      </c>
      <c r="AC559" t="s">
        <v>11374</v>
      </c>
      <c r="AD559" t="s">
        <v>11375</v>
      </c>
      <c r="AE559" t="s">
        <v>11376</v>
      </c>
      <c r="AF559" t="s">
        <v>74</v>
      </c>
      <c r="AG559">
        <v>60</v>
      </c>
      <c r="AH559">
        <v>11</v>
      </c>
      <c r="AI559">
        <v>11</v>
      </c>
      <c r="AJ559">
        <v>0</v>
      </c>
      <c r="AK559">
        <v>3</v>
      </c>
      <c r="AL559" t="s">
        <v>291</v>
      </c>
      <c r="AM559" t="s">
        <v>92</v>
      </c>
      <c r="AN559" t="s">
        <v>2534</v>
      </c>
      <c r="AO559" t="s">
        <v>3472</v>
      </c>
      <c r="AP559" t="s">
        <v>3473</v>
      </c>
      <c r="AQ559" t="s">
        <v>74</v>
      </c>
      <c r="AR559" t="s">
        <v>3474</v>
      </c>
      <c r="AS559" t="s">
        <v>3475</v>
      </c>
      <c r="AT559" t="s">
        <v>1251</v>
      </c>
      <c r="AU559">
        <v>2017</v>
      </c>
      <c r="AV559">
        <v>8</v>
      </c>
      <c r="AW559">
        <v>3</v>
      </c>
      <c r="AX559" t="s">
        <v>74</v>
      </c>
      <c r="AY559" t="s">
        <v>74</v>
      </c>
      <c r="AZ559" t="s">
        <v>247</v>
      </c>
      <c r="BA559" t="s">
        <v>74</v>
      </c>
      <c r="BB559" t="s">
        <v>74</v>
      </c>
      <c r="BC559" t="s">
        <v>74</v>
      </c>
      <c r="BD559">
        <v>48</v>
      </c>
      <c r="BE559" t="s">
        <v>11377</v>
      </c>
      <c r="BF559" t="str">
        <f>HYPERLINK("http://dx.doi.org/10.1145/3011019","http://dx.doi.org/10.1145/3011019")</f>
        <v>http://dx.doi.org/10.1145/3011019</v>
      </c>
      <c r="BG559" t="s">
        <v>74</v>
      </c>
      <c r="BH559" t="s">
        <v>74</v>
      </c>
      <c r="BI559">
        <v>25</v>
      </c>
      <c r="BJ559" t="s">
        <v>202</v>
      </c>
      <c r="BK559" t="s">
        <v>902</v>
      </c>
      <c r="BL559" t="s">
        <v>103</v>
      </c>
      <c r="BM559" t="s">
        <v>11378</v>
      </c>
      <c r="BN559" t="s">
        <v>74</v>
      </c>
      <c r="BO559" t="s">
        <v>74</v>
      </c>
      <c r="BP559" t="s">
        <v>74</v>
      </c>
      <c r="BQ559" t="s">
        <v>74</v>
      </c>
      <c r="BR559" t="s">
        <v>106</v>
      </c>
      <c r="BS559" t="s">
        <v>11379</v>
      </c>
      <c r="BT559" t="str">
        <f>HYPERLINK("https%3A%2F%2Fwww.webofscience.com%2Fwos%2Fwoscc%2Ffull-record%2FWOS:000400160800015","View Full Record in Web of Science")</f>
        <v>View Full Record in Web of Science</v>
      </c>
    </row>
    <row r="560" spans="1:72" x14ac:dyDescent="0.25">
      <c r="A560" t="s">
        <v>108</v>
      </c>
      <c r="B560" t="s">
        <v>11380</v>
      </c>
      <c r="C560" t="s">
        <v>74</v>
      </c>
      <c r="D560" t="s">
        <v>11381</v>
      </c>
      <c r="E560" t="s">
        <v>74</v>
      </c>
      <c r="F560" t="s">
        <v>11382</v>
      </c>
      <c r="G560" t="s">
        <v>74</v>
      </c>
      <c r="H560" t="s">
        <v>74</v>
      </c>
      <c r="I560" t="s">
        <v>11383</v>
      </c>
      <c r="J560" t="s">
        <v>11384</v>
      </c>
      <c r="K560" t="s">
        <v>147</v>
      </c>
      <c r="L560" t="s">
        <v>74</v>
      </c>
      <c r="M560" t="s">
        <v>78</v>
      </c>
      <c r="N560" t="s">
        <v>115</v>
      </c>
      <c r="O560" t="s">
        <v>11385</v>
      </c>
      <c r="P560" t="s">
        <v>11386</v>
      </c>
      <c r="Q560" t="s">
        <v>11387</v>
      </c>
      <c r="R560" t="s">
        <v>11388</v>
      </c>
      <c r="S560" t="s">
        <v>11389</v>
      </c>
      <c r="T560" t="s">
        <v>11390</v>
      </c>
      <c r="U560" t="s">
        <v>74</v>
      </c>
      <c r="V560" t="s">
        <v>11391</v>
      </c>
      <c r="W560" t="s">
        <v>11392</v>
      </c>
      <c r="X560" t="s">
        <v>5515</v>
      </c>
      <c r="Y560" t="s">
        <v>11393</v>
      </c>
      <c r="Z560" t="s">
        <v>11394</v>
      </c>
      <c r="AA560" t="s">
        <v>74</v>
      </c>
      <c r="AB560" t="s">
        <v>11395</v>
      </c>
      <c r="AC560" t="s">
        <v>74</v>
      </c>
      <c r="AD560" t="s">
        <v>74</v>
      </c>
      <c r="AE560" t="s">
        <v>74</v>
      </c>
      <c r="AF560" t="s">
        <v>74</v>
      </c>
      <c r="AG560">
        <v>30</v>
      </c>
      <c r="AH560">
        <v>9</v>
      </c>
      <c r="AI560">
        <v>10</v>
      </c>
      <c r="AJ560">
        <v>0</v>
      </c>
      <c r="AK560">
        <v>3</v>
      </c>
      <c r="AL560" t="s">
        <v>129</v>
      </c>
      <c r="AM560" t="s">
        <v>130</v>
      </c>
      <c r="AN560" t="s">
        <v>131</v>
      </c>
      <c r="AO560" t="s">
        <v>159</v>
      </c>
      <c r="AP560" t="s">
        <v>133</v>
      </c>
      <c r="AQ560" t="s">
        <v>11396</v>
      </c>
      <c r="AR560" t="s">
        <v>161</v>
      </c>
      <c r="AS560" t="s">
        <v>74</v>
      </c>
      <c r="AT560" t="s">
        <v>74</v>
      </c>
      <c r="AU560">
        <v>2018</v>
      </c>
      <c r="AV560">
        <v>11018</v>
      </c>
      <c r="AW560" t="s">
        <v>74</v>
      </c>
      <c r="AX560" t="s">
        <v>74</v>
      </c>
      <c r="AY560" t="s">
        <v>74</v>
      </c>
      <c r="AZ560" t="s">
        <v>74</v>
      </c>
      <c r="BA560" t="s">
        <v>74</v>
      </c>
      <c r="BB560">
        <v>15</v>
      </c>
      <c r="BC560">
        <v>27</v>
      </c>
      <c r="BD560" t="s">
        <v>74</v>
      </c>
      <c r="BE560" t="s">
        <v>11397</v>
      </c>
      <c r="BF560" t="str">
        <f>HYPERLINK("http://dx.doi.org/10.1007/978-3-319-98932-7_2","http://dx.doi.org/10.1007/978-3-319-98932-7_2")</f>
        <v>http://dx.doi.org/10.1007/978-3-319-98932-7_2</v>
      </c>
      <c r="BG560" t="s">
        <v>74</v>
      </c>
      <c r="BH560" t="s">
        <v>74</v>
      </c>
      <c r="BI560">
        <v>13</v>
      </c>
      <c r="BJ560" t="s">
        <v>6091</v>
      </c>
      <c r="BK560" t="s">
        <v>203</v>
      </c>
      <c r="BL560" t="s">
        <v>103</v>
      </c>
      <c r="BM560" t="s">
        <v>11398</v>
      </c>
      <c r="BN560" t="s">
        <v>74</v>
      </c>
      <c r="BO560" t="s">
        <v>74</v>
      </c>
      <c r="BP560" t="s">
        <v>74</v>
      </c>
      <c r="BQ560" t="s">
        <v>74</v>
      </c>
      <c r="BR560" t="s">
        <v>106</v>
      </c>
      <c r="BS560" t="s">
        <v>11399</v>
      </c>
      <c r="BT560" t="str">
        <f>HYPERLINK("https%3A%2F%2Fwww.webofscience.com%2Fwos%2Fwoscc%2Ffull-record%2FWOS:000550799000002","View Full Record in Web of Science")</f>
        <v>View Full Record in Web of Science</v>
      </c>
    </row>
    <row r="561" spans="1:72" x14ac:dyDescent="0.25">
      <c r="A561" t="s">
        <v>108</v>
      </c>
      <c r="B561" t="s">
        <v>11400</v>
      </c>
      <c r="C561" t="s">
        <v>74</v>
      </c>
      <c r="D561" t="s">
        <v>11401</v>
      </c>
      <c r="E561" t="s">
        <v>74</v>
      </c>
      <c r="F561" t="s">
        <v>11402</v>
      </c>
      <c r="G561" t="s">
        <v>74</v>
      </c>
      <c r="H561" t="s">
        <v>74</v>
      </c>
      <c r="I561" t="s">
        <v>11403</v>
      </c>
      <c r="J561" t="s">
        <v>11404</v>
      </c>
      <c r="K561" t="s">
        <v>3110</v>
      </c>
      <c r="L561" t="s">
        <v>74</v>
      </c>
      <c r="M561" t="s">
        <v>78</v>
      </c>
      <c r="N561" t="s">
        <v>115</v>
      </c>
      <c r="O561" t="s">
        <v>11405</v>
      </c>
      <c r="P561" t="s">
        <v>11406</v>
      </c>
      <c r="Q561" t="s">
        <v>11407</v>
      </c>
      <c r="R561" t="s">
        <v>11408</v>
      </c>
      <c r="S561" t="s">
        <v>74</v>
      </c>
      <c r="T561" t="s">
        <v>11409</v>
      </c>
      <c r="U561" t="s">
        <v>11410</v>
      </c>
      <c r="V561" t="s">
        <v>11411</v>
      </c>
      <c r="W561" t="s">
        <v>11412</v>
      </c>
      <c r="X561" t="s">
        <v>11413</v>
      </c>
      <c r="Y561" t="s">
        <v>11414</v>
      </c>
      <c r="Z561" t="s">
        <v>11415</v>
      </c>
      <c r="AA561" t="s">
        <v>11416</v>
      </c>
      <c r="AB561" t="s">
        <v>74</v>
      </c>
      <c r="AC561" t="s">
        <v>74</v>
      </c>
      <c r="AD561" t="s">
        <v>74</v>
      </c>
      <c r="AE561" t="s">
        <v>74</v>
      </c>
      <c r="AF561" t="s">
        <v>74</v>
      </c>
      <c r="AG561">
        <v>34</v>
      </c>
      <c r="AH561">
        <v>2</v>
      </c>
      <c r="AI561">
        <v>2</v>
      </c>
      <c r="AJ561">
        <v>0</v>
      </c>
      <c r="AK561">
        <v>2</v>
      </c>
      <c r="AL561" t="s">
        <v>197</v>
      </c>
      <c r="AM561" t="s">
        <v>198</v>
      </c>
      <c r="AN561" t="s">
        <v>199</v>
      </c>
      <c r="AO561" t="s">
        <v>3120</v>
      </c>
      <c r="AP561" t="s">
        <v>11417</v>
      </c>
      <c r="AQ561" t="s">
        <v>11418</v>
      </c>
      <c r="AR561" t="s">
        <v>3122</v>
      </c>
      <c r="AS561" t="s">
        <v>74</v>
      </c>
      <c r="AT561" t="s">
        <v>74</v>
      </c>
      <c r="AU561">
        <v>2019</v>
      </c>
      <c r="AV561">
        <v>339</v>
      </c>
      <c r="AW561" t="s">
        <v>74</v>
      </c>
      <c r="AX561" t="s">
        <v>74</v>
      </c>
      <c r="AY561" t="s">
        <v>74</v>
      </c>
      <c r="AZ561" t="s">
        <v>74</v>
      </c>
      <c r="BA561" t="s">
        <v>74</v>
      </c>
      <c r="BB561">
        <v>63</v>
      </c>
      <c r="BC561">
        <v>76</v>
      </c>
      <c r="BD561" t="s">
        <v>74</v>
      </c>
      <c r="BE561" t="s">
        <v>11419</v>
      </c>
      <c r="BF561" t="str">
        <f>HYPERLINK("http://dx.doi.org/10.1007/978-3-030-04849-5_6","http://dx.doi.org/10.1007/978-3-030-04849-5_6")</f>
        <v>http://dx.doi.org/10.1007/978-3-030-04849-5_6</v>
      </c>
      <c r="BG561" t="s">
        <v>74</v>
      </c>
      <c r="BH561" t="s">
        <v>74</v>
      </c>
      <c r="BI561">
        <v>14</v>
      </c>
      <c r="BJ561" t="s">
        <v>852</v>
      </c>
      <c r="BK561" t="s">
        <v>203</v>
      </c>
      <c r="BL561" t="s">
        <v>103</v>
      </c>
      <c r="BM561" t="s">
        <v>11420</v>
      </c>
      <c r="BN561" t="s">
        <v>74</v>
      </c>
      <c r="BO561" t="s">
        <v>74</v>
      </c>
      <c r="BP561" t="s">
        <v>74</v>
      </c>
      <c r="BQ561" t="s">
        <v>74</v>
      </c>
      <c r="BR561" t="s">
        <v>106</v>
      </c>
      <c r="BS561" t="s">
        <v>11421</v>
      </c>
      <c r="BT561" t="str">
        <f>HYPERLINK("https%3A%2F%2Fwww.webofscience.com%2Fwos%2Fwoscc%2Ffull-record%2FWOS:000792555500006","View Full Record in Web of Science")</f>
        <v>View Full Record in Web of Science</v>
      </c>
    </row>
    <row r="562" spans="1:72" x14ac:dyDescent="0.25">
      <c r="A562" t="s">
        <v>72</v>
      </c>
      <c r="B562" t="s">
        <v>11422</v>
      </c>
      <c r="C562" t="s">
        <v>74</v>
      </c>
      <c r="D562" t="s">
        <v>74</v>
      </c>
      <c r="E562" t="s">
        <v>74</v>
      </c>
      <c r="F562" t="s">
        <v>11423</v>
      </c>
      <c r="G562" t="s">
        <v>74</v>
      </c>
      <c r="H562" t="s">
        <v>74</v>
      </c>
      <c r="I562" t="s">
        <v>11424</v>
      </c>
      <c r="J562" t="s">
        <v>1572</v>
      </c>
      <c r="K562" t="s">
        <v>74</v>
      </c>
      <c r="L562" t="s">
        <v>74</v>
      </c>
      <c r="M562" t="s">
        <v>78</v>
      </c>
      <c r="N562" t="s">
        <v>79</v>
      </c>
      <c r="O562" t="s">
        <v>74</v>
      </c>
      <c r="P562" t="s">
        <v>74</v>
      </c>
      <c r="Q562" t="s">
        <v>74</v>
      </c>
      <c r="R562" t="s">
        <v>74</v>
      </c>
      <c r="S562" t="s">
        <v>74</v>
      </c>
      <c r="T562" t="s">
        <v>11425</v>
      </c>
      <c r="U562" t="s">
        <v>11426</v>
      </c>
      <c r="V562" t="s">
        <v>11427</v>
      </c>
      <c r="W562" t="s">
        <v>11428</v>
      </c>
      <c r="X562" t="s">
        <v>11429</v>
      </c>
      <c r="Y562" t="s">
        <v>11430</v>
      </c>
      <c r="Z562" t="s">
        <v>11431</v>
      </c>
      <c r="AA562" t="s">
        <v>74</v>
      </c>
      <c r="AB562" t="s">
        <v>74</v>
      </c>
      <c r="AC562" t="s">
        <v>11432</v>
      </c>
      <c r="AD562" t="s">
        <v>3629</v>
      </c>
      <c r="AE562" t="s">
        <v>11433</v>
      </c>
      <c r="AF562" t="s">
        <v>74</v>
      </c>
      <c r="AG562">
        <v>56</v>
      </c>
      <c r="AH562">
        <v>39</v>
      </c>
      <c r="AI562">
        <v>43</v>
      </c>
      <c r="AJ562">
        <v>0</v>
      </c>
      <c r="AK562">
        <v>30</v>
      </c>
      <c r="AL562" t="s">
        <v>362</v>
      </c>
      <c r="AM562" t="s">
        <v>363</v>
      </c>
      <c r="AN562" t="s">
        <v>364</v>
      </c>
      <c r="AO562" t="s">
        <v>1584</v>
      </c>
      <c r="AP562" t="s">
        <v>1585</v>
      </c>
      <c r="AQ562" t="s">
        <v>74</v>
      </c>
      <c r="AR562" t="s">
        <v>1586</v>
      </c>
      <c r="AS562" t="s">
        <v>1587</v>
      </c>
      <c r="AT562" t="s">
        <v>11434</v>
      </c>
      <c r="AU562">
        <v>2010</v>
      </c>
      <c r="AV562">
        <v>9</v>
      </c>
      <c r="AW562">
        <v>4</v>
      </c>
      <c r="AX562" t="s">
        <v>74</v>
      </c>
      <c r="AY562" t="s">
        <v>74</v>
      </c>
      <c r="AZ562" t="s">
        <v>74</v>
      </c>
      <c r="BA562" t="s">
        <v>74</v>
      </c>
      <c r="BB562">
        <v>323</v>
      </c>
      <c r="BC562">
        <v>334</v>
      </c>
      <c r="BD562" t="s">
        <v>74</v>
      </c>
      <c r="BE562" t="s">
        <v>11435</v>
      </c>
      <c r="BF562" t="str">
        <f>HYPERLINK("http://dx.doi.org/10.1016/j.elerap.2010.01.001","http://dx.doi.org/10.1016/j.elerap.2010.01.001")</f>
        <v>http://dx.doi.org/10.1016/j.elerap.2010.01.001</v>
      </c>
      <c r="BG562" t="s">
        <v>74</v>
      </c>
      <c r="BH562" t="s">
        <v>74</v>
      </c>
      <c r="BI562">
        <v>12</v>
      </c>
      <c r="BJ562" t="s">
        <v>1590</v>
      </c>
      <c r="BK562" t="s">
        <v>745</v>
      </c>
      <c r="BL562" t="s">
        <v>1591</v>
      </c>
      <c r="BM562" t="s">
        <v>11436</v>
      </c>
      <c r="BN562" t="s">
        <v>74</v>
      </c>
      <c r="BO562" t="s">
        <v>74</v>
      </c>
      <c r="BP562" t="s">
        <v>74</v>
      </c>
      <c r="BQ562" t="s">
        <v>74</v>
      </c>
      <c r="BR562" t="s">
        <v>106</v>
      </c>
      <c r="BS562" t="s">
        <v>11437</v>
      </c>
      <c r="BT562" t="str">
        <f>HYPERLINK("https%3A%2F%2Fwww.webofscience.com%2Fwos%2Fwoscc%2Ffull-record%2FWOS:000279065200006","View Full Record in Web of Science")</f>
        <v>View Full Record in Web of Science</v>
      </c>
    </row>
    <row r="563" spans="1:72" x14ac:dyDescent="0.25">
      <c r="A563" t="s">
        <v>108</v>
      </c>
      <c r="B563" t="s">
        <v>11438</v>
      </c>
      <c r="C563" t="s">
        <v>74</v>
      </c>
      <c r="D563" t="s">
        <v>11439</v>
      </c>
      <c r="E563" t="s">
        <v>74</v>
      </c>
      <c r="F563" t="s">
        <v>11440</v>
      </c>
      <c r="G563" t="s">
        <v>74</v>
      </c>
      <c r="H563" t="s">
        <v>74</v>
      </c>
      <c r="I563" t="s">
        <v>11441</v>
      </c>
      <c r="J563" t="s">
        <v>11442</v>
      </c>
      <c r="K563" t="s">
        <v>74</v>
      </c>
      <c r="L563" t="s">
        <v>74</v>
      </c>
      <c r="M563" t="s">
        <v>78</v>
      </c>
      <c r="N563" t="s">
        <v>115</v>
      </c>
      <c r="O563" t="s">
        <v>11443</v>
      </c>
      <c r="P563" t="s">
        <v>11444</v>
      </c>
      <c r="Q563" t="s">
        <v>11445</v>
      </c>
      <c r="R563" t="s">
        <v>7337</v>
      </c>
      <c r="S563" t="s">
        <v>74</v>
      </c>
      <c r="T563" t="s">
        <v>11446</v>
      </c>
      <c r="U563" t="s">
        <v>74</v>
      </c>
      <c r="V563" t="s">
        <v>11447</v>
      </c>
      <c r="W563" t="s">
        <v>11448</v>
      </c>
      <c r="X563" t="s">
        <v>11449</v>
      </c>
      <c r="Y563" t="s">
        <v>11450</v>
      </c>
      <c r="Z563" t="s">
        <v>11451</v>
      </c>
      <c r="AA563" t="s">
        <v>11452</v>
      </c>
      <c r="AB563" t="s">
        <v>11453</v>
      </c>
      <c r="AC563" t="s">
        <v>11454</v>
      </c>
      <c r="AD563" t="s">
        <v>11455</v>
      </c>
      <c r="AE563" t="s">
        <v>11456</v>
      </c>
      <c r="AF563" t="s">
        <v>74</v>
      </c>
      <c r="AG563">
        <v>23</v>
      </c>
      <c r="AH563">
        <v>10</v>
      </c>
      <c r="AI563">
        <v>12</v>
      </c>
      <c r="AJ563">
        <v>0</v>
      </c>
      <c r="AK563">
        <v>2</v>
      </c>
      <c r="AL563" t="s">
        <v>465</v>
      </c>
      <c r="AM563" t="s">
        <v>92</v>
      </c>
      <c r="AN563" t="s">
        <v>480</v>
      </c>
      <c r="AO563" t="s">
        <v>74</v>
      </c>
      <c r="AP563" t="s">
        <v>74</v>
      </c>
      <c r="AQ563" t="s">
        <v>11457</v>
      </c>
      <c r="AR563" t="s">
        <v>74</v>
      </c>
      <c r="AS563" t="s">
        <v>74</v>
      </c>
      <c r="AT563" t="s">
        <v>74</v>
      </c>
      <c r="AU563">
        <v>2012</v>
      </c>
      <c r="AV563" t="s">
        <v>74</v>
      </c>
      <c r="AW563" t="s">
        <v>74</v>
      </c>
      <c r="AX563" t="s">
        <v>74</v>
      </c>
      <c r="AY563" t="s">
        <v>74</v>
      </c>
      <c r="AZ563" t="s">
        <v>74</v>
      </c>
      <c r="BA563" t="s">
        <v>74</v>
      </c>
      <c r="BB563">
        <v>783</v>
      </c>
      <c r="BC563">
        <v>787</v>
      </c>
      <c r="BD563" t="s">
        <v>74</v>
      </c>
      <c r="BE563" t="s">
        <v>11458</v>
      </c>
      <c r="BF563" t="str">
        <f>HYPERLINK("http://dx.doi.org/10.1109/CGC.2012.119","http://dx.doi.org/10.1109/CGC.2012.119")</f>
        <v>http://dx.doi.org/10.1109/CGC.2012.119</v>
      </c>
      <c r="BG563" t="s">
        <v>74</v>
      </c>
      <c r="BH563" t="s">
        <v>74</v>
      </c>
      <c r="BI563">
        <v>5</v>
      </c>
      <c r="BJ563" t="s">
        <v>11459</v>
      </c>
      <c r="BK563" t="s">
        <v>203</v>
      </c>
      <c r="BL563" t="s">
        <v>103</v>
      </c>
      <c r="BM563" t="s">
        <v>11460</v>
      </c>
      <c r="BN563" t="s">
        <v>74</v>
      </c>
      <c r="BO563" t="s">
        <v>74</v>
      </c>
      <c r="BP563" t="s">
        <v>74</v>
      </c>
      <c r="BQ563" t="s">
        <v>74</v>
      </c>
      <c r="BR563" t="s">
        <v>106</v>
      </c>
      <c r="BS563" t="s">
        <v>11461</v>
      </c>
      <c r="BT563" t="str">
        <f>HYPERLINK("https%3A%2F%2Fwww.webofscience.com%2Fwos%2Fwoscc%2Ffull-record%2FWOS:000318812400116","View Full Record in Web of Science")</f>
        <v>View Full Record in Web of Science</v>
      </c>
    </row>
    <row r="564" spans="1:72" x14ac:dyDescent="0.25">
      <c r="A564" t="s">
        <v>72</v>
      </c>
      <c r="B564" t="s">
        <v>11462</v>
      </c>
      <c r="C564" t="s">
        <v>74</v>
      </c>
      <c r="D564" t="s">
        <v>74</v>
      </c>
      <c r="E564" t="s">
        <v>74</v>
      </c>
      <c r="F564" t="s">
        <v>11463</v>
      </c>
      <c r="G564" t="s">
        <v>74</v>
      </c>
      <c r="H564" t="s">
        <v>74</v>
      </c>
      <c r="I564" t="s">
        <v>11464</v>
      </c>
      <c r="J564" t="s">
        <v>11465</v>
      </c>
      <c r="K564" t="s">
        <v>74</v>
      </c>
      <c r="L564" t="s">
        <v>74</v>
      </c>
      <c r="M564" t="s">
        <v>78</v>
      </c>
      <c r="N564" t="s">
        <v>7584</v>
      </c>
      <c r="O564" t="s">
        <v>11466</v>
      </c>
      <c r="P564" t="s">
        <v>11467</v>
      </c>
      <c r="Q564" t="s">
        <v>11468</v>
      </c>
      <c r="R564" t="s">
        <v>11469</v>
      </c>
      <c r="S564" t="s">
        <v>11470</v>
      </c>
      <c r="T564" t="s">
        <v>74</v>
      </c>
      <c r="U564" t="s">
        <v>74</v>
      </c>
      <c r="V564" t="s">
        <v>11471</v>
      </c>
      <c r="W564" t="s">
        <v>11472</v>
      </c>
      <c r="X564" t="s">
        <v>11473</v>
      </c>
      <c r="Y564" t="s">
        <v>11474</v>
      </c>
      <c r="Z564" t="s">
        <v>11475</v>
      </c>
      <c r="AA564" t="s">
        <v>11476</v>
      </c>
      <c r="AB564" t="s">
        <v>11477</v>
      </c>
      <c r="AC564" t="s">
        <v>11478</v>
      </c>
      <c r="AD564" t="s">
        <v>11479</v>
      </c>
      <c r="AE564" t="s">
        <v>11480</v>
      </c>
      <c r="AF564" t="s">
        <v>74</v>
      </c>
      <c r="AG564">
        <v>44</v>
      </c>
      <c r="AH564">
        <v>21</v>
      </c>
      <c r="AI564">
        <v>25</v>
      </c>
      <c r="AJ564">
        <v>0</v>
      </c>
      <c r="AK564">
        <v>7</v>
      </c>
      <c r="AL564" t="s">
        <v>178</v>
      </c>
      <c r="AM564" t="s">
        <v>1005</v>
      </c>
      <c r="AN564" t="s">
        <v>1006</v>
      </c>
      <c r="AO564" t="s">
        <v>11481</v>
      </c>
      <c r="AP564" t="s">
        <v>11482</v>
      </c>
      <c r="AQ564" t="s">
        <v>74</v>
      </c>
      <c r="AR564" t="s">
        <v>11483</v>
      </c>
      <c r="AS564" t="s">
        <v>11484</v>
      </c>
      <c r="AT564" t="s">
        <v>98</v>
      </c>
      <c r="AU564">
        <v>2017</v>
      </c>
      <c r="AV564">
        <v>106</v>
      </c>
      <c r="AW564">
        <v>12</v>
      </c>
      <c r="AX564" t="s">
        <v>74</v>
      </c>
      <c r="AY564" t="s">
        <v>74</v>
      </c>
      <c r="AZ564" t="s">
        <v>247</v>
      </c>
      <c r="BA564" t="s">
        <v>74</v>
      </c>
      <c r="BB564">
        <v>1971</v>
      </c>
      <c r="BC564">
        <v>1991</v>
      </c>
      <c r="BD564" t="s">
        <v>74</v>
      </c>
      <c r="BE564" t="s">
        <v>11485</v>
      </c>
      <c r="BF564" t="str">
        <f>HYPERLINK("http://dx.doi.org/10.1007/s10994-017-5647-3","http://dx.doi.org/10.1007/s10994-017-5647-3")</f>
        <v>http://dx.doi.org/10.1007/s10994-017-5647-3</v>
      </c>
      <c r="BG564" t="s">
        <v>74</v>
      </c>
      <c r="BH564" t="s">
        <v>74</v>
      </c>
      <c r="BI564">
        <v>21</v>
      </c>
      <c r="BJ564" t="s">
        <v>807</v>
      </c>
      <c r="BK564" t="s">
        <v>11486</v>
      </c>
      <c r="BL564" t="s">
        <v>103</v>
      </c>
      <c r="BM564" t="s">
        <v>11487</v>
      </c>
      <c r="BN564" t="s">
        <v>74</v>
      </c>
      <c r="BO564" t="s">
        <v>1014</v>
      </c>
      <c r="BP564" t="s">
        <v>74</v>
      </c>
      <c r="BQ564" t="s">
        <v>74</v>
      </c>
      <c r="BR564" t="s">
        <v>106</v>
      </c>
      <c r="BS564" t="s">
        <v>11488</v>
      </c>
      <c r="BT564" t="str">
        <f>HYPERLINK("https%3A%2F%2Fwww.webofscience.com%2Fwos%2Fwoscc%2Ffull-record%2FWOS:000415881500005","View Full Record in Web of Science")</f>
        <v>View Full Record in Web of Science</v>
      </c>
    </row>
    <row r="565" spans="1:72" x14ac:dyDescent="0.25">
      <c r="A565" t="s">
        <v>72</v>
      </c>
      <c r="B565" t="s">
        <v>11489</v>
      </c>
      <c r="C565" t="s">
        <v>74</v>
      </c>
      <c r="D565" t="s">
        <v>74</v>
      </c>
      <c r="E565" t="s">
        <v>74</v>
      </c>
      <c r="F565" t="s">
        <v>11490</v>
      </c>
      <c r="G565" t="s">
        <v>74</v>
      </c>
      <c r="H565" t="s">
        <v>74</v>
      </c>
      <c r="I565" t="s">
        <v>11491</v>
      </c>
      <c r="J565" t="s">
        <v>2480</v>
      </c>
      <c r="K565" t="s">
        <v>74</v>
      </c>
      <c r="L565" t="s">
        <v>74</v>
      </c>
      <c r="M565" t="s">
        <v>78</v>
      </c>
      <c r="N565" t="s">
        <v>79</v>
      </c>
      <c r="O565" t="s">
        <v>74</v>
      </c>
      <c r="P565" t="s">
        <v>74</v>
      </c>
      <c r="Q565" t="s">
        <v>74</v>
      </c>
      <c r="R565" t="s">
        <v>74</v>
      </c>
      <c r="S565" t="s">
        <v>74</v>
      </c>
      <c r="T565" t="s">
        <v>11492</v>
      </c>
      <c r="U565" t="s">
        <v>11493</v>
      </c>
      <c r="V565" t="s">
        <v>11494</v>
      </c>
      <c r="W565" t="s">
        <v>11495</v>
      </c>
      <c r="X565" t="s">
        <v>11496</v>
      </c>
      <c r="Y565" t="s">
        <v>11497</v>
      </c>
      <c r="Z565" t="s">
        <v>11498</v>
      </c>
      <c r="AA565" t="s">
        <v>11499</v>
      </c>
      <c r="AB565" t="s">
        <v>11500</v>
      </c>
      <c r="AC565" t="s">
        <v>11501</v>
      </c>
      <c r="AD565" t="s">
        <v>11502</v>
      </c>
      <c r="AE565" t="s">
        <v>11503</v>
      </c>
      <c r="AF565" t="s">
        <v>74</v>
      </c>
      <c r="AG565">
        <v>81</v>
      </c>
      <c r="AH565">
        <v>25</v>
      </c>
      <c r="AI565">
        <v>27</v>
      </c>
      <c r="AJ565">
        <v>1</v>
      </c>
      <c r="AK565">
        <v>58</v>
      </c>
      <c r="AL565" t="s">
        <v>178</v>
      </c>
      <c r="AM565" t="s">
        <v>1005</v>
      </c>
      <c r="AN565" t="s">
        <v>1006</v>
      </c>
      <c r="AO565" t="s">
        <v>2489</v>
      </c>
      <c r="AP565" t="s">
        <v>3079</v>
      </c>
      <c r="AQ565" t="s">
        <v>74</v>
      </c>
      <c r="AR565" t="s">
        <v>2490</v>
      </c>
      <c r="AS565" t="s">
        <v>2491</v>
      </c>
      <c r="AT565" t="s">
        <v>223</v>
      </c>
      <c r="AU565">
        <v>2018</v>
      </c>
      <c r="AV565">
        <v>77</v>
      </c>
      <c r="AW565">
        <v>6</v>
      </c>
      <c r="AX565" t="s">
        <v>74</v>
      </c>
      <c r="AY565" t="s">
        <v>74</v>
      </c>
      <c r="AZ565" t="s">
        <v>74</v>
      </c>
      <c r="BA565" t="s">
        <v>74</v>
      </c>
      <c r="BB565">
        <v>6425</v>
      </c>
      <c r="BC565">
        <v>6444</v>
      </c>
      <c r="BD565" t="s">
        <v>74</v>
      </c>
      <c r="BE565" t="s">
        <v>11504</v>
      </c>
      <c r="BF565" t="str">
        <f>HYPERLINK("http://dx.doi.org/10.1007/s11042-017-4550-z","http://dx.doi.org/10.1007/s11042-017-4550-z")</f>
        <v>http://dx.doi.org/10.1007/s11042-017-4550-z</v>
      </c>
      <c r="BG565" t="s">
        <v>74</v>
      </c>
      <c r="BH565" t="s">
        <v>74</v>
      </c>
      <c r="BI565">
        <v>20</v>
      </c>
      <c r="BJ565" t="s">
        <v>2493</v>
      </c>
      <c r="BK565" t="s">
        <v>902</v>
      </c>
      <c r="BL565" t="s">
        <v>953</v>
      </c>
      <c r="BM565" t="s">
        <v>11505</v>
      </c>
      <c r="BN565" t="s">
        <v>74</v>
      </c>
      <c r="BO565" t="s">
        <v>74</v>
      </c>
      <c r="BP565" t="s">
        <v>74</v>
      </c>
      <c r="BQ565" t="s">
        <v>74</v>
      </c>
      <c r="BR565" t="s">
        <v>106</v>
      </c>
      <c r="BS565" t="s">
        <v>11506</v>
      </c>
      <c r="BT565" t="str">
        <f>HYPERLINK("https%3A%2F%2Fwww.webofscience.com%2Fwos%2Fwoscc%2Ffull-record%2FWOS:000427927700001","View Full Record in Web of Science")</f>
        <v>View Full Record in Web of Science</v>
      </c>
    </row>
    <row r="566" spans="1:72" x14ac:dyDescent="0.25">
      <c r="A566" t="s">
        <v>72</v>
      </c>
      <c r="B566" t="s">
        <v>11339</v>
      </c>
      <c r="C566" t="s">
        <v>74</v>
      </c>
      <c r="D566" t="s">
        <v>74</v>
      </c>
      <c r="E566" t="s">
        <v>74</v>
      </c>
      <c r="F566" t="s">
        <v>11340</v>
      </c>
      <c r="G566" t="s">
        <v>74</v>
      </c>
      <c r="H566" t="s">
        <v>74</v>
      </c>
      <c r="I566" t="s">
        <v>11507</v>
      </c>
      <c r="J566" t="s">
        <v>976</v>
      </c>
      <c r="K566" t="s">
        <v>74</v>
      </c>
      <c r="L566" t="s">
        <v>74</v>
      </c>
      <c r="M566" t="s">
        <v>78</v>
      </c>
      <c r="N566" t="s">
        <v>79</v>
      </c>
      <c r="O566" t="s">
        <v>74</v>
      </c>
      <c r="P566" t="s">
        <v>74</v>
      </c>
      <c r="Q566" t="s">
        <v>74</v>
      </c>
      <c r="R566" t="s">
        <v>74</v>
      </c>
      <c r="S566" t="s">
        <v>74</v>
      </c>
      <c r="T566" t="s">
        <v>11508</v>
      </c>
      <c r="U566" t="s">
        <v>11509</v>
      </c>
      <c r="V566" t="s">
        <v>11510</v>
      </c>
      <c r="W566" t="s">
        <v>11511</v>
      </c>
      <c r="X566" t="s">
        <v>11512</v>
      </c>
      <c r="Y566" t="s">
        <v>11513</v>
      </c>
      <c r="Z566" t="s">
        <v>11514</v>
      </c>
      <c r="AA566" t="s">
        <v>11515</v>
      </c>
      <c r="AB566" t="s">
        <v>11516</v>
      </c>
      <c r="AC566" t="s">
        <v>74</v>
      </c>
      <c r="AD566" t="s">
        <v>74</v>
      </c>
      <c r="AE566" t="s">
        <v>74</v>
      </c>
      <c r="AF566" t="s">
        <v>74</v>
      </c>
      <c r="AG566">
        <v>62</v>
      </c>
      <c r="AH566">
        <v>31</v>
      </c>
      <c r="AI566">
        <v>43</v>
      </c>
      <c r="AJ566">
        <v>1</v>
      </c>
      <c r="AK566">
        <v>37</v>
      </c>
      <c r="AL566" t="s">
        <v>310</v>
      </c>
      <c r="AM566" t="s">
        <v>311</v>
      </c>
      <c r="AN566" t="s">
        <v>312</v>
      </c>
      <c r="AO566" t="s">
        <v>983</v>
      </c>
      <c r="AP566" t="s">
        <v>984</v>
      </c>
      <c r="AQ566" t="s">
        <v>74</v>
      </c>
      <c r="AR566" t="s">
        <v>985</v>
      </c>
      <c r="AS566" t="s">
        <v>986</v>
      </c>
      <c r="AT566" t="s">
        <v>74</v>
      </c>
      <c r="AU566">
        <v>2017</v>
      </c>
      <c r="AV566">
        <v>85</v>
      </c>
      <c r="AW566">
        <v>4</v>
      </c>
      <c r="AX566" t="s">
        <v>74</v>
      </c>
      <c r="AY566" t="s">
        <v>74</v>
      </c>
      <c r="AZ566" t="s">
        <v>74</v>
      </c>
      <c r="BA566" t="s">
        <v>74</v>
      </c>
      <c r="BB566">
        <v>597</v>
      </c>
      <c r="BC566">
        <v>613</v>
      </c>
      <c r="BD566" t="s">
        <v>74</v>
      </c>
      <c r="BE566" t="s">
        <v>11517</v>
      </c>
      <c r="BF566" t="str">
        <f>HYPERLINK("http://dx.doi.org/10.1080/00220973.2016.1268085","http://dx.doi.org/10.1080/00220973.2016.1268085")</f>
        <v>http://dx.doi.org/10.1080/00220973.2016.1268085</v>
      </c>
      <c r="BG566" t="s">
        <v>74</v>
      </c>
      <c r="BH566" t="s">
        <v>74</v>
      </c>
      <c r="BI566">
        <v>17</v>
      </c>
      <c r="BJ566" t="s">
        <v>664</v>
      </c>
      <c r="BK566" t="s">
        <v>250</v>
      </c>
      <c r="BL566" t="s">
        <v>665</v>
      </c>
      <c r="BM566" t="s">
        <v>11518</v>
      </c>
      <c r="BN566" t="s">
        <v>74</v>
      </c>
      <c r="BO566" t="s">
        <v>74</v>
      </c>
      <c r="BP566" t="s">
        <v>74</v>
      </c>
      <c r="BQ566" t="s">
        <v>74</v>
      </c>
      <c r="BR566" t="s">
        <v>106</v>
      </c>
      <c r="BS566" t="s">
        <v>11519</v>
      </c>
      <c r="BT566" t="str">
        <f>HYPERLINK("https%3A%2F%2Fwww.webofscience.com%2Fwos%2Fwoscc%2Ffull-record%2FWOS:000407550200004","View Full Record in Web of Science")</f>
        <v>View Full Record in Web of Science</v>
      </c>
    </row>
    <row r="567" spans="1:72" x14ac:dyDescent="0.25">
      <c r="A567" t="s">
        <v>108</v>
      </c>
      <c r="B567" t="s">
        <v>11520</v>
      </c>
      <c r="C567" t="s">
        <v>74</v>
      </c>
      <c r="D567" t="s">
        <v>9604</v>
      </c>
      <c r="E567" t="s">
        <v>74</v>
      </c>
      <c r="F567" t="s">
        <v>11521</v>
      </c>
      <c r="G567" t="s">
        <v>74</v>
      </c>
      <c r="H567" t="s">
        <v>74</v>
      </c>
      <c r="I567" t="s">
        <v>11522</v>
      </c>
      <c r="J567" t="s">
        <v>9607</v>
      </c>
      <c r="K567" t="s">
        <v>114</v>
      </c>
      <c r="L567" t="s">
        <v>74</v>
      </c>
      <c r="M567" t="s">
        <v>78</v>
      </c>
      <c r="N567" t="s">
        <v>115</v>
      </c>
      <c r="O567" t="s">
        <v>9608</v>
      </c>
      <c r="P567" t="s">
        <v>9609</v>
      </c>
      <c r="Q567" t="s">
        <v>9610</v>
      </c>
      <c r="R567" t="s">
        <v>9611</v>
      </c>
      <c r="S567" t="s">
        <v>74</v>
      </c>
      <c r="T567" t="s">
        <v>11523</v>
      </c>
      <c r="U567" t="s">
        <v>74</v>
      </c>
      <c r="V567" t="s">
        <v>11524</v>
      </c>
      <c r="W567" t="s">
        <v>11525</v>
      </c>
      <c r="X567" t="s">
        <v>11526</v>
      </c>
      <c r="Y567" t="s">
        <v>11527</v>
      </c>
      <c r="Z567" t="s">
        <v>11528</v>
      </c>
      <c r="AA567" t="s">
        <v>74</v>
      </c>
      <c r="AB567" t="s">
        <v>74</v>
      </c>
      <c r="AC567" t="s">
        <v>11529</v>
      </c>
      <c r="AD567" t="s">
        <v>11530</v>
      </c>
      <c r="AE567" t="s">
        <v>11531</v>
      </c>
      <c r="AF567" t="s">
        <v>74</v>
      </c>
      <c r="AG567">
        <v>30</v>
      </c>
      <c r="AH567">
        <v>1</v>
      </c>
      <c r="AI567">
        <v>1</v>
      </c>
      <c r="AJ567">
        <v>0</v>
      </c>
      <c r="AK567">
        <v>17</v>
      </c>
      <c r="AL567" t="s">
        <v>129</v>
      </c>
      <c r="AM567" t="s">
        <v>130</v>
      </c>
      <c r="AN567" t="s">
        <v>131</v>
      </c>
      <c r="AO567" t="s">
        <v>132</v>
      </c>
      <c r="AP567" t="s">
        <v>133</v>
      </c>
      <c r="AQ567" t="s">
        <v>9618</v>
      </c>
      <c r="AR567" t="s">
        <v>135</v>
      </c>
      <c r="AS567" t="s">
        <v>74</v>
      </c>
      <c r="AT567" t="s">
        <v>74</v>
      </c>
      <c r="AU567">
        <v>2018</v>
      </c>
      <c r="AV567">
        <v>11109</v>
      </c>
      <c r="AW567" t="s">
        <v>74</v>
      </c>
      <c r="AX567" t="s">
        <v>74</v>
      </c>
      <c r="AY567" t="s">
        <v>74</v>
      </c>
      <c r="AZ567" t="s">
        <v>74</v>
      </c>
      <c r="BA567" t="s">
        <v>74</v>
      </c>
      <c r="BB567">
        <v>3</v>
      </c>
      <c r="BC567">
        <v>15</v>
      </c>
      <c r="BD567" t="s">
        <v>74</v>
      </c>
      <c r="BE567" t="s">
        <v>11532</v>
      </c>
      <c r="BF567" t="str">
        <f>HYPERLINK("http://dx.doi.org/10.1007/978-3-319-99501-4_1","http://dx.doi.org/10.1007/978-3-319-99501-4_1")</f>
        <v>http://dx.doi.org/10.1007/978-3-319-99501-4_1</v>
      </c>
      <c r="BG567" t="s">
        <v>74</v>
      </c>
      <c r="BH567" t="s">
        <v>74</v>
      </c>
      <c r="BI567">
        <v>13</v>
      </c>
      <c r="BJ567" t="s">
        <v>2837</v>
      </c>
      <c r="BK567" t="s">
        <v>203</v>
      </c>
      <c r="BL567" t="s">
        <v>103</v>
      </c>
      <c r="BM567" t="s">
        <v>9620</v>
      </c>
      <c r="BN567" t="s">
        <v>74</v>
      </c>
      <c r="BO567" t="s">
        <v>74</v>
      </c>
      <c r="BP567" t="s">
        <v>74</v>
      </c>
      <c r="BQ567" t="s">
        <v>74</v>
      </c>
      <c r="BR567" t="s">
        <v>106</v>
      </c>
      <c r="BS567" t="s">
        <v>11533</v>
      </c>
      <c r="BT567" t="str">
        <f>HYPERLINK("https%3A%2F%2Fwww.webofscience.com%2Fwos%2Fwoscc%2Ffull-record%2FWOS:000490899300001","View Full Record in Web of Science")</f>
        <v>View Full Record in Web of Science</v>
      </c>
    </row>
    <row r="568" spans="1:72" x14ac:dyDescent="0.25">
      <c r="A568" t="s">
        <v>108</v>
      </c>
      <c r="B568" t="s">
        <v>11534</v>
      </c>
      <c r="C568" t="s">
        <v>74</v>
      </c>
      <c r="D568" t="s">
        <v>11535</v>
      </c>
      <c r="E568" t="s">
        <v>74</v>
      </c>
      <c r="F568" t="s">
        <v>11536</v>
      </c>
      <c r="G568" t="s">
        <v>74</v>
      </c>
      <c r="H568" t="s">
        <v>74</v>
      </c>
      <c r="I568" t="s">
        <v>11537</v>
      </c>
      <c r="J568" t="s">
        <v>11538</v>
      </c>
      <c r="K568" t="s">
        <v>114</v>
      </c>
      <c r="L568" t="s">
        <v>74</v>
      </c>
      <c r="M568" t="s">
        <v>78</v>
      </c>
      <c r="N568" t="s">
        <v>115</v>
      </c>
      <c r="O568" t="s">
        <v>11539</v>
      </c>
      <c r="P568" t="s">
        <v>11540</v>
      </c>
      <c r="Q568" t="s">
        <v>11541</v>
      </c>
      <c r="R568" t="s">
        <v>11542</v>
      </c>
      <c r="S568" t="s">
        <v>11543</v>
      </c>
      <c r="T568" t="s">
        <v>11544</v>
      </c>
      <c r="U568" t="s">
        <v>74</v>
      </c>
      <c r="V568" t="s">
        <v>11545</v>
      </c>
      <c r="W568" t="s">
        <v>11546</v>
      </c>
      <c r="X568" t="s">
        <v>9319</v>
      </c>
      <c r="Y568" t="s">
        <v>11547</v>
      </c>
      <c r="Z568" t="s">
        <v>11548</v>
      </c>
      <c r="AA568" t="s">
        <v>11549</v>
      </c>
      <c r="AB568" t="s">
        <v>74</v>
      </c>
      <c r="AC568" t="s">
        <v>11550</v>
      </c>
      <c r="AD568" t="s">
        <v>11551</v>
      </c>
      <c r="AE568" t="s">
        <v>11552</v>
      </c>
      <c r="AF568" t="s">
        <v>74</v>
      </c>
      <c r="AG568">
        <v>22</v>
      </c>
      <c r="AH568">
        <v>0</v>
      </c>
      <c r="AI568">
        <v>0</v>
      </c>
      <c r="AJ568">
        <v>0</v>
      </c>
      <c r="AK568">
        <v>2</v>
      </c>
      <c r="AL568" t="s">
        <v>129</v>
      </c>
      <c r="AM568" t="s">
        <v>130</v>
      </c>
      <c r="AN568" t="s">
        <v>131</v>
      </c>
      <c r="AO568" t="s">
        <v>159</v>
      </c>
      <c r="AP568" t="s">
        <v>133</v>
      </c>
      <c r="AQ568" t="s">
        <v>11553</v>
      </c>
      <c r="AR568" t="s">
        <v>135</v>
      </c>
      <c r="AS568" t="s">
        <v>74</v>
      </c>
      <c r="AT568" t="s">
        <v>74</v>
      </c>
      <c r="AU568">
        <v>2018</v>
      </c>
      <c r="AV568">
        <v>10619</v>
      </c>
      <c r="AW568" t="s">
        <v>74</v>
      </c>
      <c r="AX568" t="s">
        <v>74</v>
      </c>
      <c r="AY568" t="s">
        <v>74</v>
      </c>
      <c r="AZ568" t="s">
        <v>74</v>
      </c>
      <c r="BA568" t="s">
        <v>74</v>
      </c>
      <c r="BB568">
        <v>63</v>
      </c>
      <c r="BC568">
        <v>72</v>
      </c>
      <c r="BD568" t="s">
        <v>74</v>
      </c>
      <c r="BE568" t="s">
        <v>11554</v>
      </c>
      <c r="BF568" t="str">
        <f>HYPERLINK("http://dx.doi.org/10.1007/978-3-319-73618-1_6","http://dx.doi.org/10.1007/978-3-319-73618-1_6")</f>
        <v>http://dx.doi.org/10.1007/978-3-319-73618-1_6</v>
      </c>
      <c r="BG568" t="s">
        <v>74</v>
      </c>
      <c r="BH568" t="s">
        <v>74</v>
      </c>
      <c r="BI568">
        <v>10</v>
      </c>
      <c r="BJ568" t="s">
        <v>2837</v>
      </c>
      <c r="BK568" t="s">
        <v>203</v>
      </c>
      <c r="BL568" t="s">
        <v>103</v>
      </c>
      <c r="BM568" t="s">
        <v>11555</v>
      </c>
      <c r="BN568" t="s">
        <v>74</v>
      </c>
      <c r="BO568" t="s">
        <v>74</v>
      </c>
      <c r="BP568" t="s">
        <v>74</v>
      </c>
      <c r="BQ568" t="s">
        <v>74</v>
      </c>
      <c r="BR568" t="s">
        <v>106</v>
      </c>
      <c r="BS568" t="s">
        <v>11556</v>
      </c>
      <c r="BT568" t="str">
        <f>HYPERLINK("https%3A%2F%2Fwww.webofscience.com%2Fwos%2Fwoscc%2Ffull-record%2FWOS:000491315000006","View Full Record in Web of Science")</f>
        <v>View Full Record in Web of Science</v>
      </c>
    </row>
    <row r="569" spans="1:72" x14ac:dyDescent="0.25">
      <c r="A569" t="s">
        <v>72</v>
      </c>
      <c r="B569" t="s">
        <v>11557</v>
      </c>
      <c r="C569" t="s">
        <v>74</v>
      </c>
      <c r="D569" t="s">
        <v>74</v>
      </c>
      <c r="E569" t="s">
        <v>74</v>
      </c>
      <c r="F569" t="s">
        <v>11558</v>
      </c>
      <c r="G569" t="s">
        <v>74</v>
      </c>
      <c r="H569" t="s">
        <v>74</v>
      </c>
      <c r="I569" t="s">
        <v>11559</v>
      </c>
      <c r="J569" t="s">
        <v>11560</v>
      </c>
      <c r="K569" t="s">
        <v>74</v>
      </c>
      <c r="L569" t="s">
        <v>74</v>
      </c>
      <c r="M569" t="s">
        <v>78</v>
      </c>
      <c r="N569" t="s">
        <v>79</v>
      </c>
      <c r="O569" t="s">
        <v>74</v>
      </c>
      <c r="P569" t="s">
        <v>74</v>
      </c>
      <c r="Q569" t="s">
        <v>74</v>
      </c>
      <c r="R569" t="s">
        <v>74</v>
      </c>
      <c r="S569" t="s">
        <v>74</v>
      </c>
      <c r="T569" t="s">
        <v>11561</v>
      </c>
      <c r="U569" t="s">
        <v>11562</v>
      </c>
      <c r="V569" t="s">
        <v>11563</v>
      </c>
      <c r="W569" t="s">
        <v>11564</v>
      </c>
      <c r="X569" t="s">
        <v>11565</v>
      </c>
      <c r="Y569" t="s">
        <v>11566</v>
      </c>
      <c r="Z569" t="s">
        <v>11567</v>
      </c>
      <c r="AA569" t="s">
        <v>11568</v>
      </c>
      <c r="AB569" t="s">
        <v>74</v>
      </c>
      <c r="AC569" t="s">
        <v>11569</v>
      </c>
      <c r="AD569" t="s">
        <v>2463</v>
      </c>
      <c r="AE569" t="s">
        <v>11570</v>
      </c>
      <c r="AF569" t="s">
        <v>74</v>
      </c>
      <c r="AG569">
        <v>49</v>
      </c>
      <c r="AH569">
        <v>14</v>
      </c>
      <c r="AI569">
        <v>19</v>
      </c>
      <c r="AJ569">
        <v>1</v>
      </c>
      <c r="AK569">
        <v>77</v>
      </c>
      <c r="AL569" t="s">
        <v>178</v>
      </c>
      <c r="AM569" t="s">
        <v>1005</v>
      </c>
      <c r="AN569" t="s">
        <v>1006</v>
      </c>
      <c r="AO569" t="s">
        <v>11571</v>
      </c>
      <c r="AP569" t="s">
        <v>11572</v>
      </c>
      <c r="AQ569" t="s">
        <v>74</v>
      </c>
      <c r="AR569" t="s">
        <v>11573</v>
      </c>
      <c r="AS569" t="s">
        <v>11574</v>
      </c>
      <c r="AT569" t="s">
        <v>98</v>
      </c>
      <c r="AU569">
        <v>2020</v>
      </c>
      <c r="AV569">
        <v>20</v>
      </c>
      <c r="AW569">
        <v>4</v>
      </c>
      <c r="AX569" t="s">
        <v>74</v>
      </c>
      <c r="AY569" t="s">
        <v>74</v>
      </c>
      <c r="AZ569" t="s">
        <v>74</v>
      </c>
      <c r="BA569" t="s">
        <v>74</v>
      </c>
      <c r="BB569">
        <v>857</v>
      </c>
      <c r="BC569">
        <v>882</v>
      </c>
      <c r="BD569" t="s">
        <v>74</v>
      </c>
      <c r="BE569" t="s">
        <v>11575</v>
      </c>
      <c r="BF569" t="str">
        <f>HYPERLINK("http://dx.doi.org/10.1007/s10660-018-9319-6","http://dx.doi.org/10.1007/s10660-018-9319-6")</f>
        <v>http://dx.doi.org/10.1007/s10660-018-9319-6</v>
      </c>
      <c r="BG569" t="s">
        <v>74</v>
      </c>
      <c r="BH569" t="s">
        <v>74</v>
      </c>
      <c r="BI569">
        <v>26</v>
      </c>
      <c r="BJ569" t="s">
        <v>11576</v>
      </c>
      <c r="BK569" t="s">
        <v>250</v>
      </c>
      <c r="BL569" t="s">
        <v>2588</v>
      </c>
      <c r="BM569" t="s">
        <v>11577</v>
      </c>
      <c r="BN569" t="s">
        <v>74</v>
      </c>
      <c r="BO569" t="s">
        <v>74</v>
      </c>
      <c r="BP569" t="s">
        <v>74</v>
      </c>
      <c r="BQ569" t="s">
        <v>74</v>
      </c>
      <c r="BR569" t="s">
        <v>106</v>
      </c>
      <c r="BS569" t="s">
        <v>11578</v>
      </c>
      <c r="BT569" t="str">
        <f>HYPERLINK("https%3A%2F%2Fwww.webofscience.com%2Fwos%2Fwoscc%2Ffull-record%2FWOS:000582891600008","View Full Record in Web of Science")</f>
        <v>View Full Record in Web of Science</v>
      </c>
    </row>
    <row r="570" spans="1:72" x14ac:dyDescent="0.25">
      <c r="A570" t="s">
        <v>108</v>
      </c>
      <c r="B570" t="s">
        <v>11579</v>
      </c>
      <c r="C570" t="s">
        <v>74</v>
      </c>
      <c r="D570" t="s">
        <v>11580</v>
      </c>
      <c r="E570" t="s">
        <v>74</v>
      </c>
      <c r="F570" t="s">
        <v>11581</v>
      </c>
      <c r="G570" t="s">
        <v>74</v>
      </c>
      <c r="H570" t="s">
        <v>74</v>
      </c>
      <c r="I570" t="s">
        <v>11582</v>
      </c>
      <c r="J570" t="s">
        <v>11583</v>
      </c>
      <c r="K570" t="s">
        <v>74</v>
      </c>
      <c r="L570" t="s">
        <v>74</v>
      </c>
      <c r="M570" t="s">
        <v>78</v>
      </c>
      <c r="N570" t="s">
        <v>115</v>
      </c>
      <c r="O570" t="s">
        <v>11584</v>
      </c>
      <c r="P570" t="s">
        <v>11585</v>
      </c>
      <c r="Q570" t="s">
        <v>11586</v>
      </c>
      <c r="R570" t="s">
        <v>11587</v>
      </c>
      <c r="S570" t="s">
        <v>74</v>
      </c>
      <c r="T570" t="s">
        <v>74</v>
      </c>
      <c r="U570" t="s">
        <v>74</v>
      </c>
      <c r="V570" t="s">
        <v>11588</v>
      </c>
      <c r="W570" t="s">
        <v>11589</v>
      </c>
      <c r="X570" t="s">
        <v>11590</v>
      </c>
      <c r="Y570" t="s">
        <v>11591</v>
      </c>
      <c r="Z570" t="s">
        <v>11592</v>
      </c>
      <c r="AA570" t="s">
        <v>74</v>
      </c>
      <c r="AB570" t="s">
        <v>74</v>
      </c>
      <c r="AC570" t="s">
        <v>74</v>
      </c>
      <c r="AD570" t="s">
        <v>74</v>
      </c>
      <c r="AE570" t="s">
        <v>74</v>
      </c>
      <c r="AF570" t="s">
        <v>74</v>
      </c>
      <c r="AG570">
        <v>10</v>
      </c>
      <c r="AH570">
        <v>1</v>
      </c>
      <c r="AI570">
        <v>1</v>
      </c>
      <c r="AJ570">
        <v>0</v>
      </c>
      <c r="AK570">
        <v>0</v>
      </c>
      <c r="AL570" t="s">
        <v>947</v>
      </c>
      <c r="AM570" t="s">
        <v>948</v>
      </c>
      <c r="AN570" t="s">
        <v>949</v>
      </c>
      <c r="AO570" t="s">
        <v>74</v>
      </c>
      <c r="AP570" t="s">
        <v>74</v>
      </c>
      <c r="AQ570" t="s">
        <v>11593</v>
      </c>
      <c r="AR570" t="s">
        <v>74</v>
      </c>
      <c r="AS570" t="s">
        <v>74</v>
      </c>
      <c r="AT570" t="s">
        <v>74</v>
      </c>
      <c r="AU570">
        <v>2007</v>
      </c>
      <c r="AV570" t="s">
        <v>74</v>
      </c>
      <c r="AW570" t="s">
        <v>74</v>
      </c>
      <c r="AX570" t="s">
        <v>74</v>
      </c>
      <c r="AY570" t="s">
        <v>74</v>
      </c>
      <c r="AZ570" t="s">
        <v>74</v>
      </c>
      <c r="BA570" t="s">
        <v>74</v>
      </c>
      <c r="BB570">
        <v>136</v>
      </c>
      <c r="BC570">
        <v>139</v>
      </c>
      <c r="BD570" t="s">
        <v>74</v>
      </c>
      <c r="BE570" t="s">
        <v>11594</v>
      </c>
      <c r="BF570" t="str">
        <f>HYPERLINK("http://dx.doi.org/10.1109/CIS.Workshops.2007.103","http://dx.doi.org/10.1109/CIS.Workshops.2007.103")</f>
        <v>http://dx.doi.org/10.1109/CIS.Workshops.2007.103</v>
      </c>
      <c r="BG570" t="s">
        <v>74</v>
      </c>
      <c r="BH570" t="s">
        <v>74</v>
      </c>
      <c r="BI570">
        <v>4</v>
      </c>
      <c r="BJ570" t="s">
        <v>11595</v>
      </c>
      <c r="BK570" t="s">
        <v>203</v>
      </c>
      <c r="BL570" t="s">
        <v>11596</v>
      </c>
      <c r="BM570" t="s">
        <v>11597</v>
      </c>
      <c r="BN570" t="s">
        <v>74</v>
      </c>
      <c r="BO570" t="s">
        <v>74</v>
      </c>
      <c r="BP570" t="s">
        <v>74</v>
      </c>
      <c r="BQ570" t="s">
        <v>74</v>
      </c>
      <c r="BR570" t="s">
        <v>106</v>
      </c>
      <c r="BS570" t="s">
        <v>11598</v>
      </c>
      <c r="BT570" t="str">
        <f>HYPERLINK("https%3A%2F%2Fwww.webofscience.com%2Fwos%2Fwoscc%2Ffull-record%2FWOS:000254556200033","View Full Record in Web of Science")</f>
        <v>View Full Record in Web of Science</v>
      </c>
    </row>
    <row r="571" spans="1:72" x14ac:dyDescent="0.25">
      <c r="A571" t="s">
        <v>72</v>
      </c>
      <c r="B571" t="s">
        <v>11599</v>
      </c>
      <c r="C571" t="s">
        <v>74</v>
      </c>
      <c r="D571" t="s">
        <v>74</v>
      </c>
      <c r="E571" t="s">
        <v>74</v>
      </c>
      <c r="F571" t="s">
        <v>11599</v>
      </c>
      <c r="G571" t="s">
        <v>74</v>
      </c>
      <c r="H571" t="s">
        <v>74</v>
      </c>
      <c r="I571" t="s">
        <v>11600</v>
      </c>
      <c r="J571" t="s">
        <v>11601</v>
      </c>
      <c r="K571" t="s">
        <v>74</v>
      </c>
      <c r="L571" t="s">
        <v>74</v>
      </c>
      <c r="M571" t="s">
        <v>78</v>
      </c>
      <c r="N571" t="s">
        <v>79</v>
      </c>
      <c r="O571" t="s">
        <v>74</v>
      </c>
      <c r="P571" t="s">
        <v>74</v>
      </c>
      <c r="Q571" t="s">
        <v>74</v>
      </c>
      <c r="R571" t="s">
        <v>74</v>
      </c>
      <c r="S571" t="s">
        <v>74</v>
      </c>
      <c r="T571" t="s">
        <v>11602</v>
      </c>
      <c r="U571" t="s">
        <v>11603</v>
      </c>
      <c r="V571" t="s">
        <v>11604</v>
      </c>
      <c r="W571" t="s">
        <v>11605</v>
      </c>
      <c r="X571" t="s">
        <v>11606</v>
      </c>
      <c r="Y571" t="s">
        <v>11607</v>
      </c>
      <c r="Z571" t="s">
        <v>11608</v>
      </c>
      <c r="AA571" t="s">
        <v>11609</v>
      </c>
      <c r="AB571" t="s">
        <v>11610</v>
      </c>
      <c r="AC571" t="s">
        <v>74</v>
      </c>
      <c r="AD571" t="s">
        <v>74</v>
      </c>
      <c r="AE571" t="s">
        <v>74</v>
      </c>
      <c r="AF571" t="s">
        <v>74</v>
      </c>
      <c r="AG571">
        <v>32</v>
      </c>
      <c r="AH571">
        <v>31</v>
      </c>
      <c r="AI571">
        <v>37</v>
      </c>
      <c r="AJ571">
        <v>0</v>
      </c>
      <c r="AK571">
        <v>2</v>
      </c>
      <c r="AL571" t="s">
        <v>11611</v>
      </c>
      <c r="AM571" t="s">
        <v>1273</v>
      </c>
      <c r="AN571" t="s">
        <v>11612</v>
      </c>
      <c r="AO571" t="s">
        <v>11613</v>
      </c>
      <c r="AP571" t="s">
        <v>11614</v>
      </c>
      <c r="AQ571" t="s">
        <v>74</v>
      </c>
      <c r="AR571" t="s">
        <v>11601</v>
      </c>
      <c r="AS571" t="s">
        <v>11615</v>
      </c>
      <c r="AT571" t="s">
        <v>74</v>
      </c>
      <c r="AU571">
        <v>2006</v>
      </c>
      <c r="AV571">
        <v>52</v>
      </c>
      <c r="AW571">
        <v>3</v>
      </c>
      <c r="AX571" t="s">
        <v>74</v>
      </c>
      <c r="AY571" t="s">
        <v>74</v>
      </c>
      <c r="AZ571" t="s">
        <v>74</v>
      </c>
      <c r="BA571" t="s">
        <v>74</v>
      </c>
      <c r="BB571">
        <v>188</v>
      </c>
      <c r="BC571">
        <v>198</v>
      </c>
      <c r="BD571" t="s">
        <v>74</v>
      </c>
      <c r="BE571" t="s">
        <v>11616</v>
      </c>
      <c r="BF571" t="str">
        <f>HYPERLINK("http://dx.doi.org/10.1159/000091829","http://dx.doi.org/10.1159/000091829")</f>
        <v>http://dx.doi.org/10.1159/000091829</v>
      </c>
      <c r="BG571" t="s">
        <v>74</v>
      </c>
      <c r="BH571" t="s">
        <v>74</v>
      </c>
      <c r="BI571">
        <v>11</v>
      </c>
      <c r="BJ571" t="s">
        <v>11617</v>
      </c>
      <c r="BK571" t="s">
        <v>745</v>
      </c>
      <c r="BL571" t="s">
        <v>11617</v>
      </c>
      <c r="BM571" t="s">
        <v>11618</v>
      </c>
      <c r="BN571">
        <v>16645300</v>
      </c>
      <c r="BO571" t="s">
        <v>205</v>
      </c>
      <c r="BP571" t="s">
        <v>74</v>
      </c>
      <c r="BQ571" t="s">
        <v>74</v>
      </c>
      <c r="BR571" t="s">
        <v>106</v>
      </c>
      <c r="BS571" t="s">
        <v>11619</v>
      </c>
      <c r="BT571" t="str">
        <f>HYPERLINK("https%3A%2F%2Fwww.webofscience.com%2Fwos%2Fwoscc%2Ffull-record%2FWOS:000237197700008","View Full Record in Web of Science")</f>
        <v>View Full Record in Web of Science</v>
      </c>
    </row>
    <row r="572" spans="1:72" x14ac:dyDescent="0.25">
      <c r="A572" t="s">
        <v>72</v>
      </c>
      <c r="B572" t="s">
        <v>11620</v>
      </c>
      <c r="C572" t="s">
        <v>74</v>
      </c>
      <c r="D572" t="s">
        <v>74</v>
      </c>
      <c r="E572" t="s">
        <v>74</v>
      </c>
      <c r="F572" t="s">
        <v>11621</v>
      </c>
      <c r="G572" t="s">
        <v>74</v>
      </c>
      <c r="H572" t="s">
        <v>74</v>
      </c>
      <c r="I572" t="s">
        <v>11622</v>
      </c>
      <c r="J572" t="s">
        <v>8187</v>
      </c>
      <c r="K572" t="s">
        <v>74</v>
      </c>
      <c r="L572" t="s">
        <v>74</v>
      </c>
      <c r="M572" t="s">
        <v>78</v>
      </c>
      <c r="N572" t="s">
        <v>79</v>
      </c>
      <c r="O572" t="s">
        <v>74</v>
      </c>
      <c r="P572" t="s">
        <v>74</v>
      </c>
      <c r="Q572" t="s">
        <v>74</v>
      </c>
      <c r="R572" t="s">
        <v>74</v>
      </c>
      <c r="S572" t="s">
        <v>74</v>
      </c>
      <c r="T572" t="s">
        <v>11623</v>
      </c>
      <c r="U572" t="s">
        <v>11624</v>
      </c>
      <c r="V572" t="s">
        <v>11625</v>
      </c>
      <c r="W572" t="s">
        <v>11626</v>
      </c>
      <c r="X572" t="s">
        <v>10221</v>
      </c>
      <c r="Y572" t="s">
        <v>11627</v>
      </c>
      <c r="Z572" t="s">
        <v>11628</v>
      </c>
      <c r="AA572" t="s">
        <v>74</v>
      </c>
      <c r="AB572" t="s">
        <v>11629</v>
      </c>
      <c r="AC572" t="s">
        <v>74</v>
      </c>
      <c r="AD572" t="s">
        <v>74</v>
      </c>
      <c r="AE572" t="s">
        <v>74</v>
      </c>
      <c r="AF572" t="s">
        <v>74</v>
      </c>
      <c r="AG572">
        <v>171</v>
      </c>
      <c r="AH572">
        <v>22</v>
      </c>
      <c r="AI572">
        <v>24</v>
      </c>
      <c r="AJ572">
        <v>0</v>
      </c>
      <c r="AK572">
        <v>11</v>
      </c>
      <c r="AL572" t="s">
        <v>362</v>
      </c>
      <c r="AM572" t="s">
        <v>363</v>
      </c>
      <c r="AN572" t="s">
        <v>364</v>
      </c>
      <c r="AO572" t="s">
        <v>8199</v>
      </c>
      <c r="AP572" t="s">
        <v>8200</v>
      </c>
      <c r="AQ572" t="s">
        <v>74</v>
      </c>
      <c r="AR572" t="s">
        <v>8201</v>
      </c>
      <c r="AS572" t="s">
        <v>8202</v>
      </c>
      <c r="AT572" t="s">
        <v>1166</v>
      </c>
      <c r="AU572">
        <v>2017</v>
      </c>
      <c r="AV572">
        <v>38</v>
      </c>
      <c r="AW572" t="s">
        <v>74</v>
      </c>
      <c r="AX572">
        <v>2</v>
      </c>
      <c r="AY572" t="s">
        <v>74</v>
      </c>
      <c r="AZ572" t="s">
        <v>247</v>
      </c>
      <c r="BA572" t="s">
        <v>74</v>
      </c>
      <c r="BB572">
        <v>446</v>
      </c>
      <c r="BC572">
        <v>473</v>
      </c>
      <c r="BD572" t="s">
        <v>74</v>
      </c>
      <c r="BE572" t="s">
        <v>11630</v>
      </c>
      <c r="BF572" t="str">
        <f>HYPERLINK("http://dx.doi.org/10.1016/j.pmcj.2016.04.004","http://dx.doi.org/10.1016/j.pmcj.2016.04.004")</f>
        <v>http://dx.doi.org/10.1016/j.pmcj.2016.04.004</v>
      </c>
      <c r="BG572" t="s">
        <v>74</v>
      </c>
      <c r="BH572" t="s">
        <v>74</v>
      </c>
      <c r="BI572">
        <v>28</v>
      </c>
      <c r="BJ572" t="s">
        <v>2674</v>
      </c>
      <c r="BK572" t="s">
        <v>745</v>
      </c>
      <c r="BL572" t="s">
        <v>2422</v>
      </c>
      <c r="BM572" t="s">
        <v>11631</v>
      </c>
      <c r="BN572" t="s">
        <v>74</v>
      </c>
      <c r="BO572" t="s">
        <v>346</v>
      </c>
      <c r="BP572" t="s">
        <v>74</v>
      </c>
      <c r="BQ572" t="s">
        <v>74</v>
      </c>
      <c r="BR572" t="s">
        <v>106</v>
      </c>
      <c r="BS572" t="s">
        <v>11632</v>
      </c>
      <c r="BT572" t="str">
        <f>HYPERLINK("https%3A%2F%2Fwww.webofscience.com%2Fwos%2Fwoscc%2Ffull-record%2FWOS:000404826600013","View Full Record in Web of Science")</f>
        <v>View Full Record in Web of Science</v>
      </c>
    </row>
    <row r="573" spans="1:72" x14ac:dyDescent="0.25">
      <c r="A573" t="s">
        <v>108</v>
      </c>
      <c r="B573" t="s">
        <v>11633</v>
      </c>
      <c r="C573" t="s">
        <v>74</v>
      </c>
      <c r="D573" t="s">
        <v>11634</v>
      </c>
      <c r="E573" t="s">
        <v>74</v>
      </c>
      <c r="F573" t="s">
        <v>11635</v>
      </c>
      <c r="G573" t="s">
        <v>74</v>
      </c>
      <c r="H573" t="s">
        <v>74</v>
      </c>
      <c r="I573" t="s">
        <v>11636</v>
      </c>
      <c r="J573" t="s">
        <v>11637</v>
      </c>
      <c r="K573" t="s">
        <v>2682</v>
      </c>
      <c r="L573" t="s">
        <v>74</v>
      </c>
      <c r="M573" t="s">
        <v>78</v>
      </c>
      <c r="N573" t="s">
        <v>115</v>
      </c>
      <c r="O573" t="s">
        <v>11638</v>
      </c>
      <c r="P573" t="s">
        <v>11639</v>
      </c>
      <c r="Q573" t="s">
        <v>11640</v>
      </c>
      <c r="R573" t="s">
        <v>11641</v>
      </c>
      <c r="S573" t="s">
        <v>74</v>
      </c>
      <c r="T573" t="s">
        <v>11642</v>
      </c>
      <c r="U573" t="s">
        <v>74</v>
      </c>
      <c r="V573" t="s">
        <v>11643</v>
      </c>
      <c r="W573" t="s">
        <v>11644</v>
      </c>
      <c r="X573" t="s">
        <v>5515</v>
      </c>
      <c r="Y573" t="s">
        <v>11645</v>
      </c>
      <c r="Z573" t="s">
        <v>7682</v>
      </c>
      <c r="AA573" t="s">
        <v>7683</v>
      </c>
      <c r="AB573" t="s">
        <v>7684</v>
      </c>
      <c r="AC573" t="s">
        <v>11646</v>
      </c>
      <c r="AD573" t="s">
        <v>11647</v>
      </c>
      <c r="AE573" t="s">
        <v>11648</v>
      </c>
      <c r="AF573" t="s">
        <v>74</v>
      </c>
      <c r="AG573">
        <v>17</v>
      </c>
      <c r="AH573">
        <v>3</v>
      </c>
      <c r="AI573">
        <v>3</v>
      </c>
      <c r="AJ573">
        <v>0</v>
      </c>
      <c r="AK573">
        <v>4</v>
      </c>
      <c r="AL573" t="s">
        <v>2695</v>
      </c>
      <c r="AM573" t="s">
        <v>363</v>
      </c>
      <c r="AN573" t="s">
        <v>2696</v>
      </c>
      <c r="AO573" t="s">
        <v>2697</v>
      </c>
      <c r="AP573" t="s">
        <v>74</v>
      </c>
      <c r="AQ573" t="s">
        <v>74</v>
      </c>
      <c r="AR573" t="s">
        <v>2698</v>
      </c>
      <c r="AS573" t="s">
        <v>74</v>
      </c>
      <c r="AT573" t="s">
        <v>74</v>
      </c>
      <c r="AU573">
        <v>2018</v>
      </c>
      <c r="AV573">
        <v>136</v>
      </c>
      <c r="AW573" t="s">
        <v>74</v>
      </c>
      <c r="AX573" t="s">
        <v>74</v>
      </c>
      <c r="AY573" t="s">
        <v>74</v>
      </c>
      <c r="AZ573" t="s">
        <v>74</v>
      </c>
      <c r="BA573" t="s">
        <v>74</v>
      </c>
      <c r="BB573">
        <v>236</v>
      </c>
      <c r="BC573">
        <v>245</v>
      </c>
      <c r="BD573" t="s">
        <v>74</v>
      </c>
      <c r="BE573" t="s">
        <v>11649</v>
      </c>
      <c r="BF573" t="str">
        <f>HYPERLINK("http://dx.doi.org/10.1016/j.procs.2018.08.262","http://dx.doi.org/10.1016/j.procs.2018.08.262")</f>
        <v>http://dx.doi.org/10.1016/j.procs.2018.08.262</v>
      </c>
      <c r="BG573" t="s">
        <v>74</v>
      </c>
      <c r="BH573" t="s">
        <v>74</v>
      </c>
      <c r="BI573">
        <v>10</v>
      </c>
      <c r="BJ573" t="s">
        <v>1190</v>
      </c>
      <c r="BK573" t="s">
        <v>203</v>
      </c>
      <c r="BL573" t="s">
        <v>103</v>
      </c>
      <c r="BM573" t="s">
        <v>11650</v>
      </c>
      <c r="BN573" t="s">
        <v>74</v>
      </c>
      <c r="BO573" t="s">
        <v>372</v>
      </c>
      <c r="BP573" t="s">
        <v>74</v>
      </c>
      <c r="BQ573" t="s">
        <v>74</v>
      </c>
      <c r="BR573" t="s">
        <v>106</v>
      </c>
      <c r="BS573" t="s">
        <v>11651</v>
      </c>
      <c r="BT573" t="str">
        <f>HYPERLINK("https%3A%2F%2Fwww.webofscience.com%2Fwos%2Fwoscc%2Ffull-record%2FWOS:000547808300027","View Full Record in Web of Science")</f>
        <v>View Full Record in Web of Science</v>
      </c>
    </row>
    <row r="574" spans="1:72" x14ac:dyDescent="0.25">
      <c r="A574" t="s">
        <v>72</v>
      </c>
      <c r="B574" t="s">
        <v>11652</v>
      </c>
      <c r="C574" t="s">
        <v>74</v>
      </c>
      <c r="D574" t="s">
        <v>74</v>
      </c>
      <c r="E574" t="s">
        <v>74</v>
      </c>
      <c r="F574" t="s">
        <v>11653</v>
      </c>
      <c r="G574" t="s">
        <v>74</v>
      </c>
      <c r="H574" t="s">
        <v>74</v>
      </c>
      <c r="I574" t="s">
        <v>11654</v>
      </c>
      <c r="J574" t="s">
        <v>11655</v>
      </c>
      <c r="K574" t="s">
        <v>74</v>
      </c>
      <c r="L574" t="s">
        <v>74</v>
      </c>
      <c r="M574" t="s">
        <v>78</v>
      </c>
      <c r="N574" t="s">
        <v>79</v>
      </c>
      <c r="O574" t="s">
        <v>74</v>
      </c>
      <c r="P574" t="s">
        <v>74</v>
      </c>
      <c r="Q574" t="s">
        <v>74</v>
      </c>
      <c r="R574" t="s">
        <v>74</v>
      </c>
      <c r="S574" t="s">
        <v>74</v>
      </c>
      <c r="T574" t="s">
        <v>11656</v>
      </c>
      <c r="U574" t="s">
        <v>11657</v>
      </c>
      <c r="V574" t="s">
        <v>11658</v>
      </c>
      <c r="W574" t="s">
        <v>11659</v>
      </c>
      <c r="X574" t="s">
        <v>11660</v>
      </c>
      <c r="Y574" t="s">
        <v>11661</v>
      </c>
      <c r="Z574" t="s">
        <v>11662</v>
      </c>
      <c r="AA574" t="s">
        <v>74</v>
      </c>
      <c r="AB574" t="s">
        <v>74</v>
      </c>
      <c r="AC574" t="s">
        <v>11663</v>
      </c>
      <c r="AD574" t="s">
        <v>11664</v>
      </c>
      <c r="AE574" t="s">
        <v>11665</v>
      </c>
      <c r="AF574" t="s">
        <v>74</v>
      </c>
      <c r="AG574">
        <v>30</v>
      </c>
      <c r="AH574">
        <v>5</v>
      </c>
      <c r="AI574">
        <v>7</v>
      </c>
      <c r="AJ574">
        <v>0</v>
      </c>
      <c r="AK574">
        <v>47</v>
      </c>
      <c r="AL574" t="s">
        <v>1097</v>
      </c>
      <c r="AM574" t="s">
        <v>1098</v>
      </c>
      <c r="AN574" t="s">
        <v>1099</v>
      </c>
      <c r="AO574" t="s">
        <v>11666</v>
      </c>
      <c r="AP574" t="s">
        <v>11667</v>
      </c>
      <c r="AQ574" t="s">
        <v>74</v>
      </c>
      <c r="AR574" t="s">
        <v>11668</v>
      </c>
      <c r="AS574" t="s">
        <v>11669</v>
      </c>
      <c r="AT574" t="s">
        <v>565</v>
      </c>
      <c r="AU574">
        <v>2016</v>
      </c>
      <c r="AV574">
        <v>41</v>
      </c>
      <c r="AW574">
        <v>8</v>
      </c>
      <c r="AX574" t="s">
        <v>74</v>
      </c>
      <c r="AY574" t="s">
        <v>74</v>
      </c>
      <c r="AZ574" t="s">
        <v>74</v>
      </c>
      <c r="BA574" t="s">
        <v>74</v>
      </c>
      <c r="BB574">
        <v>3177</v>
      </c>
      <c r="BC574">
        <v>3186</v>
      </c>
      <c r="BD574" t="s">
        <v>74</v>
      </c>
      <c r="BE574" t="s">
        <v>11670</v>
      </c>
      <c r="BF574" t="str">
        <f>HYPERLINK("http://dx.doi.org/10.1007/s13369-016-2137-z","http://dx.doi.org/10.1007/s13369-016-2137-z")</f>
        <v>http://dx.doi.org/10.1007/s13369-016-2137-z</v>
      </c>
      <c r="BG574" t="s">
        <v>74</v>
      </c>
      <c r="BH574" t="s">
        <v>74</v>
      </c>
      <c r="BI574">
        <v>10</v>
      </c>
      <c r="BJ574" t="s">
        <v>5861</v>
      </c>
      <c r="BK574" t="s">
        <v>902</v>
      </c>
      <c r="BL574" t="s">
        <v>5862</v>
      </c>
      <c r="BM574" t="s">
        <v>11671</v>
      </c>
      <c r="BN574" t="s">
        <v>74</v>
      </c>
      <c r="BO574" t="s">
        <v>74</v>
      </c>
      <c r="BP574" t="s">
        <v>74</v>
      </c>
      <c r="BQ574" t="s">
        <v>74</v>
      </c>
      <c r="BR574" t="s">
        <v>106</v>
      </c>
      <c r="BS574" t="s">
        <v>11672</v>
      </c>
      <c r="BT574" t="str">
        <f>HYPERLINK("https%3A%2F%2Fwww.webofscience.com%2Fwos%2Fwoscc%2Ffull-record%2FWOS:000378946400032","View Full Record in Web of Science")</f>
        <v>View Full Record in Web of Science</v>
      </c>
    </row>
    <row r="575" spans="1:72" x14ac:dyDescent="0.25">
      <c r="A575" t="s">
        <v>108</v>
      </c>
      <c r="B575" t="s">
        <v>11673</v>
      </c>
      <c r="C575" t="s">
        <v>74</v>
      </c>
      <c r="D575" t="s">
        <v>74</v>
      </c>
      <c r="E575" t="s">
        <v>3480</v>
      </c>
      <c r="F575" t="s">
        <v>11674</v>
      </c>
      <c r="G575" t="s">
        <v>74</v>
      </c>
      <c r="H575" t="s">
        <v>74</v>
      </c>
      <c r="I575" t="s">
        <v>11675</v>
      </c>
      <c r="J575" t="s">
        <v>6620</v>
      </c>
      <c r="K575" t="s">
        <v>74</v>
      </c>
      <c r="L575" t="s">
        <v>74</v>
      </c>
      <c r="M575" t="s">
        <v>78</v>
      </c>
      <c r="N575" t="s">
        <v>115</v>
      </c>
      <c r="O575" t="s">
        <v>6621</v>
      </c>
      <c r="P575" t="s">
        <v>6622</v>
      </c>
      <c r="Q575" t="s">
        <v>4669</v>
      </c>
      <c r="R575" t="s">
        <v>6623</v>
      </c>
      <c r="S575" t="s">
        <v>74</v>
      </c>
      <c r="T575" t="s">
        <v>11676</v>
      </c>
      <c r="U575" t="s">
        <v>74</v>
      </c>
      <c r="V575" t="s">
        <v>11677</v>
      </c>
      <c r="W575" t="s">
        <v>11678</v>
      </c>
      <c r="X575" t="s">
        <v>11679</v>
      </c>
      <c r="Y575" t="s">
        <v>11680</v>
      </c>
      <c r="Z575" t="s">
        <v>11681</v>
      </c>
      <c r="AA575" t="s">
        <v>11682</v>
      </c>
      <c r="AB575" t="s">
        <v>11683</v>
      </c>
      <c r="AC575" t="s">
        <v>11684</v>
      </c>
      <c r="AD575" t="s">
        <v>11685</v>
      </c>
      <c r="AE575" t="s">
        <v>11686</v>
      </c>
      <c r="AF575" t="s">
        <v>74</v>
      </c>
      <c r="AG575">
        <v>50</v>
      </c>
      <c r="AH575">
        <v>62</v>
      </c>
      <c r="AI575">
        <v>73</v>
      </c>
      <c r="AJ575">
        <v>1</v>
      </c>
      <c r="AK575">
        <v>29</v>
      </c>
      <c r="AL575" t="s">
        <v>291</v>
      </c>
      <c r="AM575" t="s">
        <v>92</v>
      </c>
      <c r="AN575" t="s">
        <v>341</v>
      </c>
      <c r="AO575" t="s">
        <v>74</v>
      </c>
      <c r="AP575" t="s">
        <v>74</v>
      </c>
      <c r="AQ575" t="s">
        <v>6635</v>
      </c>
      <c r="AR575" t="s">
        <v>74</v>
      </c>
      <c r="AS575" t="s">
        <v>74</v>
      </c>
      <c r="AT575" t="s">
        <v>74</v>
      </c>
      <c r="AU575">
        <v>2021</v>
      </c>
      <c r="AV575" t="s">
        <v>74</v>
      </c>
      <c r="AW575" t="s">
        <v>74</v>
      </c>
      <c r="AX575" t="s">
        <v>74</v>
      </c>
      <c r="AY575" t="s">
        <v>74</v>
      </c>
      <c r="AZ575" t="s">
        <v>74</v>
      </c>
      <c r="BA575" t="s">
        <v>74</v>
      </c>
      <c r="BB575">
        <v>555</v>
      </c>
      <c r="BC575">
        <v>564</v>
      </c>
      <c r="BD575" t="s">
        <v>74</v>
      </c>
      <c r="BE575" t="s">
        <v>11687</v>
      </c>
      <c r="BF575" t="str">
        <f>HYPERLINK("http://dx.doi.org/10.1145/3404835.3462828","http://dx.doi.org/10.1145/3404835.3462828")</f>
        <v>http://dx.doi.org/10.1145/3404835.3462828</v>
      </c>
      <c r="BG575" t="s">
        <v>74</v>
      </c>
      <c r="BH575" t="s">
        <v>74</v>
      </c>
      <c r="BI575">
        <v>10</v>
      </c>
      <c r="BJ575" t="s">
        <v>852</v>
      </c>
      <c r="BK575" t="s">
        <v>203</v>
      </c>
      <c r="BL575" t="s">
        <v>103</v>
      </c>
      <c r="BM575" t="s">
        <v>6637</v>
      </c>
      <c r="BN575" t="s">
        <v>74</v>
      </c>
      <c r="BO575" t="s">
        <v>346</v>
      </c>
      <c r="BP575" t="s">
        <v>74</v>
      </c>
      <c r="BQ575" t="s">
        <v>74</v>
      </c>
      <c r="BR575" t="s">
        <v>106</v>
      </c>
      <c r="BS575" t="s">
        <v>11688</v>
      </c>
      <c r="BT575" t="str">
        <f>HYPERLINK("https%3A%2F%2Fwww.webofscience.com%2Fwos%2Fwoscc%2Ffull-record%2FWOS:000719807900055","View Full Record in Web of Science")</f>
        <v>View Full Record in Web of Science</v>
      </c>
    </row>
    <row r="576" spans="1:72" x14ac:dyDescent="0.25">
      <c r="A576" t="s">
        <v>108</v>
      </c>
      <c r="B576" t="s">
        <v>11689</v>
      </c>
      <c r="C576" t="s">
        <v>74</v>
      </c>
      <c r="D576" t="s">
        <v>74</v>
      </c>
      <c r="E576" t="s">
        <v>465</v>
      </c>
      <c r="F576" t="s">
        <v>11690</v>
      </c>
      <c r="G576" t="s">
        <v>74</v>
      </c>
      <c r="H576" t="s">
        <v>74</v>
      </c>
      <c r="I576" t="s">
        <v>11691</v>
      </c>
      <c r="J576" t="s">
        <v>11692</v>
      </c>
      <c r="K576" t="s">
        <v>74</v>
      </c>
      <c r="L576" t="s">
        <v>74</v>
      </c>
      <c r="M576" t="s">
        <v>78</v>
      </c>
      <c r="N576" t="s">
        <v>115</v>
      </c>
      <c r="O576" t="s">
        <v>11693</v>
      </c>
      <c r="P576" t="s">
        <v>11694</v>
      </c>
      <c r="Q576" t="s">
        <v>11695</v>
      </c>
      <c r="R576" t="s">
        <v>11696</v>
      </c>
      <c r="S576" t="s">
        <v>74</v>
      </c>
      <c r="T576" t="s">
        <v>11697</v>
      </c>
      <c r="U576" t="s">
        <v>74</v>
      </c>
      <c r="V576" t="s">
        <v>11698</v>
      </c>
      <c r="W576" t="s">
        <v>11699</v>
      </c>
      <c r="X576" t="s">
        <v>11700</v>
      </c>
      <c r="Y576" t="s">
        <v>11701</v>
      </c>
      <c r="Z576" t="s">
        <v>11702</v>
      </c>
      <c r="AA576" t="s">
        <v>74</v>
      </c>
      <c r="AB576" t="s">
        <v>74</v>
      </c>
      <c r="AC576" t="s">
        <v>11703</v>
      </c>
      <c r="AD576" t="s">
        <v>2463</v>
      </c>
      <c r="AE576" t="s">
        <v>11704</v>
      </c>
      <c r="AF576" t="s">
        <v>74</v>
      </c>
      <c r="AG576">
        <v>17</v>
      </c>
      <c r="AH576">
        <v>0</v>
      </c>
      <c r="AI576">
        <v>0</v>
      </c>
      <c r="AJ576">
        <v>0</v>
      </c>
      <c r="AK576">
        <v>5</v>
      </c>
      <c r="AL576" t="s">
        <v>465</v>
      </c>
      <c r="AM576" t="s">
        <v>92</v>
      </c>
      <c r="AN576" t="s">
        <v>480</v>
      </c>
      <c r="AO576" t="s">
        <v>74</v>
      </c>
      <c r="AP576" t="s">
        <v>74</v>
      </c>
      <c r="AQ576" t="s">
        <v>11705</v>
      </c>
      <c r="AR576" t="s">
        <v>74</v>
      </c>
      <c r="AS576" t="s">
        <v>74</v>
      </c>
      <c r="AT576" t="s">
        <v>74</v>
      </c>
      <c r="AU576">
        <v>2016</v>
      </c>
      <c r="AV576" t="s">
        <v>74</v>
      </c>
      <c r="AW576" t="s">
        <v>74</v>
      </c>
      <c r="AX576" t="s">
        <v>74</v>
      </c>
      <c r="AY576" t="s">
        <v>74</v>
      </c>
      <c r="AZ576" t="s">
        <v>74</v>
      </c>
      <c r="BA576" t="s">
        <v>74</v>
      </c>
      <c r="BB576">
        <v>71</v>
      </c>
      <c r="BC576">
        <v>76</v>
      </c>
      <c r="BD576" t="s">
        <v>74</v>
      </c>
      <c r="BE576" t="s">
        <v>11706</v>
      </c>
      <c r="BF576" t="str">
        <f>HYPERLINK("http://dx.doi.org/10.1109/ICRIS.2016.15","http://dx.doi.org/10.1109/ICRIS.2016.15")</f>
        <v>http://dx.doi.org/10.1109/ICRIS.2016.15</v>
      </c>
      <c r="BG576" t="s">
        <v>74</v>
      </c>
      <c r="BH576" t="s">
        <v>74</v>
      </c>
      <c r="BI576">
        <v>6</v>
      </c>
      <c r="BJ576" t="s">
        <v>11707</v>
      </c>
      <c r="BK576" t="s">
        <v>203</v>
      </c>
      <c r="BL576" t="s">
        <v>11708</v>
      </c>
      <c r="BM576" t="s">
        <v>11709</v>
      </c>
      <c r="BN576" t="s">
        <v>74</v>
      </c>
      <c r="BO576" t="s">
        <v>74</v>
      </c>
      <c r="BP576" t="s">
        <v>74</v>
      </c>
      <c r="BQ576" t="s">
        <v>74</v>
      </c>
      <c r="BR576" t="s">
        <v>106</v>
      </c>
      <c r="BS576" t="s">
        <v>11710</v>
      </c>
      <c r="BT576" t="str">
        <f>HYPERLINK("https%3A%2F%2Fwww.webofscience.com%2Fwos%2Fwoscc%2Ffull-record%2FWOS:000392263200017","View Full Record in Web of Science")</f>
        <v>View Full Record in Web of Science</v>
      </c>
    </row>
    <row r="577" spans="1:72" x14ac:dyDescent="0.25">
      <c r="A577" t="s">
        <v>72</v>
      </c>
      <c r="B577" t="s">
        <v>11711</v>
      </c>
      <c r="C577" t="s">
        <v>74</v>
      </c>
      <c r="D577" t="s">
        <v>74</v>
      </c>
      <c r="E577" t="s">
        <v>74</v>
      </c>
      <c r="F577" t="s">
        <v>11712</v>
      </c>
      <c r="G577" t="s">
        <v>74</v>
      </c>
      <c r="H577" t="s">
        <v>74</v>
      </c>
      <c r="I577" t="s">
        <v>11713</v>
      </c>
      <c r="J577" t="s">
        <v>11714</v>
      </c>
      <c r="K577" t="s">
        <v>74</v>
      </c>
      <c r="L577" t="s">
        <v>74</v>
      </c>
      <c r="M577" t="s">
        <v>11715</v>
      </c>
      <c r="N577" t="s">
        <v>79</v>
      </c>
      <c r="O577" t="s">
        <v>74</v>
      </c>
      <c r="P577" t="s">
        <v>74</v>
      </c>
      <c r="Q577" t="s">
        <v>74</v>
      </c>
      <c r="R577" t="s">
        <v>74</v>
      </c>
      <c r="S577" t="s">
        <v>74</v>
      </c>
      <c r="T577" t="s">
        <v>11716</v>
      </c>
      <c r="U577" t="s">
        <v>11717</v>
      </c>
      <c r="V577" t="s">
        <v>11718</v>
      </c>
      <c r="W577" t="s">
        <v>11719</v>
      </c>
      <c r="X577" t="s">
        <v>11720</v>
      </c>
      <c r="Y577" t="s">
        <v>11721</v>
      </c>
      <c r="Z577" t="s">
        <v>11722</v>
      </c>
      <c r="AA577" t="s">
        <v>11723</v>
      </c>
      <c r="AB577" t="s">
        <v>74</v>
      </c>
      <c r="AC577" t="s">
        <v>74</v>
      </c>
      <c r="AD577" t="s">
        <v>74</v>
      </c>
      <c r="AE577" t="s">
        <v>74</v>
      </c>
      <c r="AF577" t="s">
        <v>74</v>
      </c>
      <c r="AG577">
        <v>33</v>
      </c>
      <c r="AH577">
        <v>0</v>
      </c>
      <c r="AI577">
        <v>0</v>
      </c>
      <c r="AJ577">
        <v>0</v>
      </c>
      <c r="AK577">
        <v>7</v>
      </c>
      <c r="AL577" t="s">
        <v>11724</v>
      </c>
      <c r="AM577" t="s">
        <v>11725</v>
      </c>
      <c r="AN577" t="s">
        <v>11726</v>
      </c>
      <c r="AO577" t="s">
        <v>11727</v>
      </c>
      <c r="AP577" t="s">
        <v>11728</v>
      </c>
      <c r="AQ577" t="s">
        <v>74</v>
      </c>
      <c r="AR577" t="s">
        <v>11729</v>
      </c>
      <c r="AS577" t="s">
        <v>11730</v>
      </c>
      <c r="AT577" t="s">
        <v>1375</v>
      </c>
      <c r="AU577">
        <v>2015</v>
      </c>
      <c r="AV577" t="s">
        <v>74</v>
      </c>
      <c r="AW577">
        <v>52</v>
      </c>
      <c r="AX577" t="s">
        <v>74</v>
      </c>
      <c r="AY577" t="s">
        <v>74</v>
      </c>
      <c r="AZ577" t="s">
        <v>74</v>
      </c>
      <c r="BA577" t="s">
        <v>74</v>
      </c>
      <c r="BB577">
        <v>17</v>
      </c>
      <c r="BC577">
        <v>31</v>
      </c>
      <c r="BD577" t="s">
        <v>74</v>
      </c>
      <c r="BE577" t="s">
        <v>74</v>
      </c>
      <c r="BF577" t="s">
        <v>74</v>
      </c>
      <c r="BG577" t="s">
        <v>74</v>
      </c>
      <c r="BH577" t="s">
        <v>74</v>
      </c>
      <c r="BI577">
        <v>15</v>
      </c>
      <c r="BJ577" t="s">
        <v>11731</v>
      </c>
      <c r="BK577" t="s">
        <v>102</v>
      </c>
      <c r="BL577" t="s">
        <v>11731</v>
      </c>
      <c r="BM577" t="s">
        <v>11732</v>
      </c>
      <c r="BN577" t="s">
        <v>74</v>
      </c>
      <c r="BO577" t="s">
        <v>74</v>
      </c>
      <c r="BP577" t="s">
        <v>74</v>
      </c>
      <c r="BQ577" t="s">
        <v>74</v>
      </c>
      <c r="BR577" t="s">
        <v>106</v>
      </c>
      <c r="BS577" t="s">
        <v>11733</v>
      </c>
      <c r="BT577" t="str">
        <f>HYPERLINK("https%3A%2F%2Fwww.webofscience.com%2Fwos%2Fwoscc%2Ffull-record%2FWOS:000360811000002","View Full Record in Web of Science")</f>
        <v>View Full Record in Web of Science</v>
      </c>
    </row>
    <row r="578" spans="1:72" x14ac:dyDescent="0.25">
      <c r="A578" t="s">
        <v>108</v>
      </c>
      <c r="B578" t="s">
        <v>11734</v>
      </c>
      <c r="C578" t="s">
        <v>74</v>
      </c>
      <c r="D578" t="s">
        <v>11735</v>
      </c>
      <c r="E578" t="s">
        <v>74</v>
      </c>
      <c r="F578" t="s">
        <v>11736</v>
      </c>
      <c r="G578" t="s">
        <v>74</v>
      </c>
      <c r="H578" t="s">
        <v>74</v>
      </c>
      <c r="I578" t="s">
        <v>11737</v>
      </c>
      <c r="J578" t="s">
        <v>11738</v>
      </c>
      <c r="K578" t="s">
        <v>6367</v>
      </c>
      <c r="L578" t="s">
        <v>74</v>
      </c>
      <c r="M578" t="s">
        <v>78</v>
      </c>
      <c r="N578" t="s">
        <v>115</v>
      </c>
      <c r="O578" t="s">
        <v>11739</v>
      </c>
      <c r="P578" t="s">
        <v>11740</v>
      </c>
      <c r="Q578" t="s">
        <v>11741</v>
      </c>
      <c r="R578" t="s">
        <v>74</v>
      </c>
      <c r="S578" t="s">
        <v>74</v>
      </c>
      <c r="T578" t="s">
        <v>11742</v>
      </c>
      <c r="U578" t="s">
        <v>74</v>
      </c>
      <c r="V578" t="s">
        <v>11743</v>
      </c>
      <c r="W578" t="s">
        <v>11744</v>
      </c>
      <c r="X578" t="s">
        <v>3539</v>
      </c>
      <c r="Y578" t="s">
        <v>11745</v>
      </c>
      <c r="Z578" t="s">
        <v>11746</v>
      </c>
      <c r="AA578" t="s">
        <v>74</v>
      </c>
      <c r="AB578" t="s">
        <v>74</v>
      </c>
      <c r="AC578" t="s">
        <v>74</v>
      </c>
      <c r="AD578" t="s">
        <v>74</v>
      </c>
      <c r="AE578" t="s">
        <v>74</v>
      </c>
      <c r="AF578" t="s">
        <v>74</v>
      </c>
      <c r="AG578">
        <v>9</v>
      </c>
      <c r="AH578">
        <v>0</v>
      </c>
      <c r="AI578">
        <v>0</v>
      </c>
      <c r="AJ578">
        <v>0</v>
      </c>
      <c r="AK578">
        <v>2</v>
      </c>
      <c r="AL578" t="s">
        <v>2605</v>
      </c>
      <c r="AM578" t="s">
        <v>2606</v>
      </c>
      <c r="AN578" t="s">
        <v>2607</v>
      </c>
      <c r="AO578" t="s">
        <v>6378</v>
      </c>
      <c r="AP578" t="s">
        <v>74</v>
      </c>
      <c r="AQ578" t="s">
        <v>11747</v>
      </c>
      <c r="AR578" t="s">
        <v>6380</v>
      </c>
      <c r="AS578" t="s">
        <v>74</v>
      </c>
      <c r="AT578" t="s">
        <v>74</v>
      </c>
      <c r="AU578">
        <v>2015</v>
      </c>
      <c r="AV578">
        <v>121</v>
      </c>
      <c r="AW578" t="s">
        <v>74</v>
      </c>
      <c r="AX578" t="s">
        <v>74</v>
      </c>
      <c r="AY578" t="s">
        <v>74</v>
      </c>
      <c r="AZ578" t="s">
        <v>74</v>
      </c>
      <c r="BA578" t="s">
        <v>74</v>
      </c>
      <c r="BB578">
        <v>386</v>
      </c>
      <c r="BC578">
        <v>389</v>
      </c>
      <c r="BD578" t="s">
        <v>74</v>
      </c>
      <c r="BE578" t="s">
        <v>74</v>
      </c>
      <c r="BF578" t="s">
        <v>74</v>
      </c>
      <c r="BG578" t="s">
        <v>74</v>
      </c>
      <c r="BH578" t="s">
        <v>74</v>
      </c>
      <c r="BI578">
        <v>4</v>
      </c>
      <c r="BJ578" t="s">
        <v>11748</v>
      </c>
      <c r="BK578" t="s">
        <v>203</v>
      </c>
      <c r="BL578" t="s">
        <v>11749</v>
      </c>
      <c r="BM578" t="s">
        <v>11750</v>
      </c>
      <c r="BN578" t="s">
        <v>74</v>
      </c>
      <c r="BO578" t="s">
        <v>105</v>
      </c>
      <c r="BP578" t="s">
        <v>74</v>
      </c>
      <c r="BQ578" t="s">
        <v>74</v>
      </c>
      <c r="BR578" t="s">
        <v>106</v>
      </c>
      <c r="BS578" t="s">
        <v>11751</v>
      </c>
      <c r="BT578" t="str">
        <f>HYPERLINK("https%3A%2F%2Fwww.webofscience.com%2Fwos%2Fwoscc%2Ffull-record%2FWOS:000359441300082","View Full Record in Web of Science")</f>
        <v>View Full Record in Web of Science</v>
      </c>
    </row>
    <row r="579" spans="1:72" x14ac:dyDescent="0.25">
      <c r="A579" t="s">
        <v>108</v>
      </c>
      <c r="B579" t="s">
        <v>11752</v>
      </c>
      <c r="C579" t="s">
        <v>74</v>
      </c>
      <c r="D579" t="s">
        <v>74</v>
      </c>
      <c r="E579" t="s">
        <v>465</v>
      </c>
      <c r="F579" t="s">
        <v>11752</v>
      </c>
      <c r="G579" t="s">
        <v>74</v>
      </c>
      <c r="H579" t="s">
        <v>74</v>
      </c>
      <c r="I579" t="s">
        <v>11753</v>
      </c>
      <c r="J579" t="s">
        <v>11754</v>
      </c>
      <c r="K579" t="s">
        <v>74</v>
      </c>
      <c r="L579" t="s">
        <v>74</v>
      </c>
      <c r="M579" t="s">
        <v>78</v>
      </c>
      <c r="N579" t="s">
        <v>115</v>
      </c>
      <c r="O579" t="s">
        <v>6745</v>
      </c>
      <c r="P579" t="s">
        <v>11755</v>
      </c>
      <c r="Q579" t="s">
        <v>11756</v>
      </c>
      <c r="R579" t="s">
        <v>465</v>
      </c>
      <c r="S579" t="s">
        <v>74</v>
      </c>
      <c r="T579" t="s">
        <v>74</v>
      </c>
      <c r="U579" t="s">
        <v>74</v>
      </c>
      <c r="V579" t="s">
        <v>11757</v>
      </c>
      <c r="W579" t="s">
        <v>74</v>
      </c>
      <c r="X579" t="s">
        <v>74</v>
      </c>
      <c r="Y579" t="s">
        <v>74</v>
      </c>
      <c r="Z579" t="s">
        <v>74</v>
      </c>
      <c r="AA579" t="s">
        <v>74</v>
      </c>
      <c r="AB579" t="s">
        <v>74</v>
      </c>
      <c r="AC579" t="s">
        <v>74</v>
      </c>
      <c r="AD579" t="s">
        <v>74</v>
      </c>
      <c r="AE579" t="s">
        <v>74</v>
      </c>
      <c r="AF579" t="s">
        <v>74</v>
      </c>
      <c r="AG579">
        <v>8</v>
      </c>
      <c r="AH579">
        <v>4</v>
      </c>
      <c r="AI579">
        <v>4</v>
      </c>
      <c r="AJ579">
        <v>0</v>
      </c>
      <c r="AK579">
        <v>0</v>
      </c>
      <c r="AL579" t="s">
        <v>465</v>
      </c>
      <c r="AM579" t="s">
        <v>92</v>
      </c>
      <c r="AN579" t="s">
        <v>480</v>
      </c>
      <c r="AO579" t="s">
        <v>74</v>
      </c>
      <c r="AP579" t="s">
        <v>74</v>
      </c>
      <c r="AQ579" t="s">
        <v>11758</v>
      </c>
      <c r="AR579" t="s">
        <v>74</v>
      </c>
      <c r="AS579" t="s">
        <v>74</v>
      </c>
      <c r="AT579" t="s">
        <v>74</v>
      </c>
      <c r="AU579">
        <v>2004</v>
      </c>
      <c r="AV579" t="s">
        <v>74</v>
      </c>
      <c r="AW579" t="s">
        <v>74</v>
      </c>
      <c r="AX579" t="s">
        <v>74</v>
      </c>
      <c r="AY579" t="s">
        <v>74</v>
      </c>
      <c r="AZ579" t="s">
        <v>74</v>
      </c>
      <c r="BA579" t="s">
        <v>74</v>
      </c>
      <c r="BB579">
        <v>1475</v>
      </c>
      <c r="BC579">
        <v>1478</v>
      </c>
      <c r="BD579" t="s">
        <v>74</v>
      </c>
      <c r="BE579" t="s">
        <v>11759</v>
      </c>
      <c r="BF579" t="str">
        <f>HYPERLINK("http://dx.doi.org/10.1109/ICME.2004.1394514","http://dx.doi.org/10.1109/ICME.2004.1394514")</f>
        <v>http://dx.doi.org/10.1109/ICME.2004.1394514</v>
      </c>
      <c r="BG579" t="s">
        <v>74</v>
      </c>
      <c r="BH579" t="s">
        <v>74</v>
      </c>
      <c r="BI579">
        <v>4</v>
      </c>
      <c r="BJ579" t="s">
        <v>11760</v>
      </c>
      <c r="BK579" t="s">
        <v>203</v>
      </c>
      <c r="BL579" t="s">
        <v>7976</v>
      </c>
      <c r="BM579" t="s">
        <v>11761</v>
      </c>
      <c r="BN579" t="s">
        <v>74</v>
      </c>
      <c r="BO579" t="s">
        <v>74</v>
      </c>
      <c r="BP579" t="s">
        <v>74</v>
      </c>
      <c r="BQ579" t="s">
        <v>74</v>
      </c>
      <c r="BR579" t="s">
        <v>106</v>
      </c>
      <c r="BS579" t="s">
        <v>11762</v>
      </c>
      <c r="BT579" t="str">
        <f>HYPERLINK("https%3A%2F%2Fwww.webofscience.com%2Fwos%2Fwoscc%2Ffull-record%2FWOS:000225567800374","View Full Record in Web of Science")</f>
        <v>View Full Record in Web of Science</v>
      </c>
    </row>
    <row r="580" spans="1:72" x14ac:dyDescent="0.25">
      <c r="A580" t="s">
        <v>108</v>
      </c>
      <c r="B580" t="s">
        <v>11763</v>
      </c>
      <c r="C580" t="s">
        <v>74</v>
      </c>
      <c r="D580" t="s">
        <v>11764</v>
      </c>
      <c r="E580" t="s">
        <v>74</v>
      </c>
      <c r="F580" t="s">
        <v>11765</v>
      </c>
      <c r="G580" t="s">
        <v>74</v>
      </c>
      <c r="H580" t="s">
        <v>74</v>
      </c>
      <c r="I580" t="s">
        <v>11766</v>
      </c>
      <c r="J580" t="s">
        <v>11767</v>
      </c>
      <c r="K580" t="s">
        <v>147</v>
      </c>
      <c r="L580" t="s">
        <v>74</v>
      </c>
      <c r="M580" t="s">
        <v>78</v>
      </c>
      <c r="N580" t="s">
        <v>115</v>
      </c>
      <c r="O580" t="s">
        <v>11768</v>
      </c>
      <c r="P580" t="s">
        <v>11769</v>
      </c>
      <c r="Q580" t="s">
        <v>11770</v>
      </c>
      <c r="R580" t="s">
        <v>11771</v>
      </c>
      <c r="S580" t="s">
        <v>11772</v>
      </c>
      <c r="T580" t="s">
        <v>74</v>
      </c>
      <c r="U580" t="s">
        <v>74</v>
      </c>
      <c r="V580" t="s">
        <v>11773</v>
      </c>
      <c r="W580" t="s">
        <v>11774</v>
      </c>
      <c r="X580" t="s">
        <v>11775</v>
      </c>
      <c r="Y580" t="s">
        <v>11776</v>
      </c>
      <c r="Z580" t="s">
        <v>11777</v>
      </c>
      <c r="AA580" t="s">
        <v>11778</v>
      </c>
      <c r="AB580" t="s">
        <v>11779</v>
      </c>
      <c r="AC580" t="s">
        <v>11780</v>
      </c>
      <c r="AD580" t="s">
        <v>11781</v>
      </c>
      <c r="AE580" t="s">
        <v>11782</v>
      </c>
      <c r="AF580" t="s">
        <v>74</v>
      </c>
      <c r="AG580">
        <v>11</v>
      </c>
      <c r="AH580">
        <v>13</v>
      </c>
      <c r="AI580">
        <v>13</v>
      </c>
      <c r="AJ580">
        <v>0</v>
      </c>
      <c r="AK580">
        <v>2</v>
      </c>
      <c r="AL580" t="s">
        <v>129</v>
      </c>
      <c r="AM580" t="s">
        <v>130</v>
      </c>
      <c r="AN580" t="s">
        <v>131</v>
      </c>
      <c r="AO580" t="s">
        <v>159</v>
      </c>
      <c r="AP580" t="s">
        <v>133</v>
      </c>
      <c r="AQ580" t="s">
        <v>11783</v>
      </c>
      <c r="AR580" t="s">
        <v>161</v>
      </c>
      <c r="AS580" t="s">
        <v>74</v>
      </c>
      <c r="AT580" t="s">
        <v>74</v>
      </c>
      <c r="AU580">
        <v>2017</v>
      </c>
      <c r="AV580">
        <v>10171</v>
      </c>
      <c r="AW580" t="s">
        <v>74</v>
      </c>
      <c r="AX580" t="s">
        <v>74</v>
      </c>
      <c r="AY580" t="s">
        <v>74</v>
      </c>
      <c r="AZ580" t="s">
        <v>74</v>
      </c>
      <c r="BA580" t="s">
        <v>74</v>
      </c>
      <c r="BB580">
        <v>17</v>
      </c>
      <c r="BC580">
        <v>30</v>
      </c>
      <c r="BD580" t="s">
        <v>74</v>
      </c>
      <c r="BE580" t="s">
        <v>11784</v>
      </c>
      <c r="BF580" t="str">
        <f>HYPERLINK("http://dx.doi.org/10.1007/978-3-319-55134-0_2","http://dx.doi.org/10.1007/978-3-319-55134-0_2")</f>
        <v>http://dx.doi.org/10.1007/978-3-319-55134-0_2</v>
      </c>
      <c r="BG580" t="s">
        <v>74</v>
      </c>
      <c r="BH580" t="s">
        <v>74</v>
      </c>
      <c r="BI580">
        <v>14</v>
      </c>
      <c r="BJ580" t="s">
        <v>11785</v>
      </c>
      <c r="BK580" t="s">
        <v>203</v>
      </c>
      <c r="BL580" t="s">
        <v>103</v>
      </c>
      <c r="BM580" t="s">
        <v>11786</v>
      </c>
      <c r="BN580" t="s">
        <v>74</v>
      </c>
      <c r="BO580" t="s">
        <v>346</v>
      </c>
      <c r="BP580" t="s">
        <v>74</v>
      </c>
      <c r="BQ580" t="s">
        <v>74</v>
      </c>
      <c r="BR580" t="s">
        <v>106</v>
      </c>
      <c r="BS580" t="s">
        <v>11787</v>
      </c>
      <c r="BT580" t="str">
        <f>HYPERLINK("https%3A%2F%2Fwww.webofscience.com%2Fwos%2Fwoscc%2Ffull-record%2FWOS:000413012900002","View Full Record in Web of Science")</f>
        <v>View Full Record in Web of Science</v>
      </c>
    </row>
    <row r="581" spans="1:72" x14ac:dyDescent="0.25">
      <c r="A581" t="s">
        <v>108</v>
      </c>
      <c r="B581" t="s">
        <v>11788</v>
      </c>
      <c r="C581" t="s">
        <v>74</v>
      </c>
      <c r="D581" t="s">
        <v>11789</v>
      </c>
      <c r="E581" t="s">
        <v>74</v>
      </c>
      <c r="F581" t="s">
        <v>11790</v>
      </c>
      <c r="G581" t="s">
        <v>74</v>
      </c>
      <c r="H581" t="s">
        <v>74</v>
      </c>
      <c r="I581" t="s">
        <v>11791</v>
      </c>
      <c r="J581" t="s">
        <v>11792</v>
      </c>
      <c r="K581" t="s">
        <v>74</v>
      </c>
      <c r="L581" t="s">
        <v>74</v>
      </c>
      <c r="M581" t="s">
        <v>78</v>
      </c>
      <c r="N581" t="s">
        <v>115</v>
      </c>
      <c r="O581" t="s">
        <v>11793</v>
      </c>
      <c r="P581" t="s">
        <v>11794</v>
      </c>
      <c r="Q581" t="s">
        <v>11795</v>
      </c>
      <c r="R581" t="s">
        <v>11796</v>
      </c>
      <c r="S581" t="s">
        <v>74</v>
      </c>
      <c r="T581" t="s">
        <v>11797</v>
      </c>
      <c r="U581" t="s">
        <v>11798</v>
      </c>
      <c r="V581" t="s">
        <v>11799</v>
      </c>
      <c r="W581" t="s">
        <v>11800</v>
      </c>
      <c r="X581" t="s">
        <v>10014</v>
      </c>
      <c r="Y581" t="s">
        <v>4142</v>
      </c>
      <c r="Z581" t="s">
        <v>11801</v>
      </c>
      <c r="AA581" t="s">
        <v>4144</v>
      </c>
      <c r="AB581" t="s">
        <v>4145</v>
      </c>
      <c r="AC581" t="s">
        <v>74</v>
      </c>
      <c r="AD581" t="s">
        <v>74</v>
      </c>
      <c r="AE581" t="s">
        <v>74</v>
      </c>
      <c r="AF581" t="s">
        <v>74</v>
      </c>
      <c r="AG581">
        <v>16</v>
      </c>
      <c r="AH581">
        <v>1</v>
      </c>
      <c r="AI581">
        <v>1</v>
      </c>
      <c r="AJ581">
        <v>0</v>
      </c>
      <c r="AK581">
        <v>12</v>
      </c>
      <c r="AL581" t="s">
        <v>465</v>
      </c>
      <c r="AM581" t="s">
        <v>92</v>
      </c>
      <c r="AN581" t="s">
        <v>480</v>
      </c>
      <c r="AO581" t="s">
        <v>74</v>
      </c>
      <c r="AP581" t="s">
        <v>74</v>
      </c>
      <c r="AQ581" t="s">
        <v>11802</v>
      </c>
      <c r="AR581" t="s">
        <v>74</v>
      </c>
      <c r="AS581" t="s">
        <v>74</v>
      </c>
      <c r="AT581" t="s">
        <v>74</v>
      </c>
      <c r="AU581">
        <v>2016</v>
      </c>
      <c r="AV581" t="s">
        <v>74</v>
      </c>
      <c r="AW581" t="s">
        <v>74</v>
      </c>
      <c r="AX581" t="s">
        <v>74</v>
      </c>
      <c r="AY581" t="s">
        <v>74</v>
      </c>
      <c r="AZ581" t="s">
        <v>74</v>
      </c>
      <c r="BA581" t="s">
        <v>74</v>
      </c>
      <c r="BB581">
        <v>124</v>
      </c>
      <c r="BC581">
        <v>131</v>
      </c>
      <c r="BD581" t="s">
        <v>74</v>
      </c>
      <c r="BE581" t="s">
        <v>11803</v>
      </c>
      <c r="BF581" t="str">
        <f>HYPERLINK("http://dx.doi.org/10.1109/DASC-PICom-DataCom-CyberSciTec.2016.39","http://dx.doi.org/10.1109/DASC-PICom-DataCom-CyberSciTec.2016.39")</f>
        <v>http://dx.doi.org/10.1109/DASC-PICom-DataCom-CyberSciTec.2016.39</v>
      </c>
      <c r="BG581" t="s">
        <v>74</v>
      </c>
      <c r="BH581" t="s">
        <v>74</v>
      </c>
      <c r="BI581">
        <v>8</v>
      </c>
      <c r="BJ581" t="s">
        <v>696</v>
      </c>
      <c r="BK581" t="s">
        <v>203</v>
      </c>
      <c r="BL581" t="s">
        <v>103</v>
      </c>
      <c r="BM581" t="s">
        <v>11804</v>
      </c>
      <c r="BN581" t="s">
        <v>74</v>
      </c>
      <c r="BO581" t="s">
        <v>74</v>
      </c>
      <c r="BP581" t="s">
        <v>74</v>
      </c>
      <c r="BQ581" t="s">
        <v>74</v>
      </c>
      <c r="BR581" t="s">
        <v>106</v>
      </c>
      <c r="BS581" t="s">
        <v>11805</v>
      </c>
      <c r="BT581" t="str">
        <f>HYPERLINK("https%3A%2F%2Fwww.webofscience.com%2Fwos%2Fwoscc%2Ffull-record%2FWOS:000391002500022","View Full Record in Web of Science")</f>
        <v>View Full Record in Web of Science</v>
      </c>
    </row>
    <row r="582" spans="1:72" x14ac:dyDescent="0.25">
      <c r="A582" t="s">
        <v>108</v>
      </c>
      <c r="B582" t="s">
        <v>11806</v>
      </c>
      <c r="C582" t="s">
        <v>74</v>
      </c>
      <c r="D582" t="s">
        <v>11807</v>
      </c>
      <c r="E582" t="s">
        <v>74</v>
      </c>
      <c r="F582" t="s">
        <v>11808</v>
      </c>
      <c r="G582" t="s">
        <v>74</v>
      </c>
      <c r="H582" t="s">
        <v>74</v>
      </c>
      <c r="I582" t="s">
        <v>11809</v>
      </c>
      <c r="J582" t="s">
        <v>11810</v>
      </c>
      <c r="K582" t="s">
        <v>114</v>
      </c>
      <c r="L582" t="s">
        <v>74</v>
      </c>
      <c r="M582" t="s">
        <v>78</v>
      </c>
      <c r="N582" t="s">
        <v>115</v>
      </c>
      <c r="O582" t="s">
        <v>11811</v>
      </c>
      <c r="P582" t="s">
        <v>11812</v>
      </c>
      <c r="Q582" t="s">
        <v>11813</v>
      </c>
      <c r="R582" t="s">
        <v>11814</v>
      </c>
      <c r="S582" t="s">
        <v>74</v>
      </c>
      <c r="T582" t="s">
        <v>11815</v>
      </c>
      <c r="U582" t="s">
        <v>74</v>
      </c>
      <c r="V582" t="s">
        <v>11816</v>
      </c>
      <c r="W582" t="s">
        <v>11817</v>
      </c>
      <c r="X582" t="s">
        <v>11818</v>
      </c>
      <c r="Y582" t="s">
        <v>11819</v>
      </c>
      <c r="Z582" t="s">
        <v>11820</v>
      </c>
      <c r="AA582" t="s">
        <v>11821</v>
      </c>
      <c r="AB582" t="s">
        <v>11822</v>
      </c>
      <c r="AC582" t="s">
        <v>74</v>
      </c>
      <c r="AD582" t="s">
        <v>74</v>
      </c>
      <c r="AE582" t="s">
        <v>74</v>
      </c>
      <c r="AF582" t="s">
        <v>74</v>
      </c>
      <c r="AG582">
        <v>17</v>
      </c>
      <c r="AH582">
        <v>1</v>
      </c>
      <c r="AI582">
        <v>1</v>
      </c>
      <c r="AJ582">
        <v>0</v>
      </c>
      <c r="AK582">
        <v>3</v>
      </c>
      <c r="AL582" t="s">
        <v>129</v>
      </c>
      <c r="AM582" t="s">
        <v>130</v>
      </c>
      <c r="AN582" t="s">
        <v>131</v>
      </c>
      <c r="AO582" t="s">
        <v>159</v>
      </c>
      <c r="AP582" t="s">
        <v>133</v>
      </c>
      <c r="AQ582" t="s">
        <v>11823</v>
      </c>
      <c r="AR582" t="s">
        <v>135</v>
      </c>
      <c r="AS582" t="s">
        <v>74</v>
      </c>
      <c r="AT582" t="s">
        <v>74</v>
      </c>
      <c r="AU582">
        <v>2019</v>
      </c>
      <c r="AV582">
        <v>11683</v>
      </c>
      <c r="AW582" t="s">
        <v>74</v>
      </c>
      <c r="AX582" t="s">
        <v>74</v>
      </c>
      <c r="AY582" t="s">
        <v>74</v>
      </c>
      <c r="AZ582" t="s">
        <v>74</v>
      </c>
      <c r="BA582" t="s">
        <v>74</v>
      </c>
      <c r="BB582">
        <v>93</v>
      </c>
      <c r="BC582">
        <v>105</v>
      </c>
      <c r="BD582" t="s">
        <v>74</v>
      </c>
      <c r="BE582" t="s">
        <v>11824</v>
      </c>
      <c r="BF582" t="str">
        <f>HYPERLINK("http://dx.doi.org/10.1007/978-3-030-28377-3_8","http://dx.doi.org/10.1007/978-3-030-28377-3_8")</f>
        <v>http://dx.doi.org/10.1007/978-3-030-28377-3_8</v>
      </c>
      <c r="BG582" t="s">
        <v>74</v>
      </c>
      <c r="BH582" t="s">
        <v>74</v>
      </c>
      <c r="BI582">
        <v>13</v>
      </c>
      <c r="BJ582" t="s">
        <v>202</v>
      </c>
      <c r="BK582" t="s">
        <v>203</v>
      </c>
      <c r="BL582" t="s">
        <v>103</v>
      </c>
      <c r="BM582" t="s">
        <v>11825</v>
      </c>
      <c r="BN582" t="s">
        <v>74</v>
      </c>
      <c r="BO582" t="s">
        <v>4086</v>
      </c>
      <c r="BP582" t="s">
        <v>74</v>
      </c>
      <c r="BQ582" t="s">
        <v>74</v>
      </c>
      <c r="BR582" t="s">
        <v>106</v>
      </c>
      <c r="BS582" t="s">
        <v>11826</v>
      </c>
      <c r="BT582" t="str">
        <f>HYPERLINK("https%3A%2F%2Fwww.webofscience.com%2Fwos%2Fwoscc%2Ffull-record%2FWOS:000611678800008","View Full Record in Web of Science")</f>
        <v>View Full Record in Web of Science</v>
      </c>
    </row>
    <row r="583" spans="1:72" x14ac:dyDescent="0.25">
      <c r="A583" t="s">
        <v>72</v>
      </c>
      <c r="B583" t="s">
        <v>2401</v>
      </c>
      <c r="C583" t="s">
        <v>74</v>
      </c>
      <c r="D583" t="s">
        <v>74</v>
      </c>
      <c r="E583" t="s">
        <v>74</v>
      </c>
      <c r="F583" t="s">
        <v>2401</v>
      </c>
      <c r="G583" t="s">
        <v>74</v>
      </c>
      <c r="H583" t="s">
        <v>74</v>
      </c>
      <c r="I583" t="s">
        <v>11827</v>
      </c>
      <c r="J583" t="s">
        <v>11828</v>
      </c>
      <c r="K583" t="s">
        <v>74</v>
      </c>
      <c r="L583" t="s">
        <v>74</v>
      </c>
      <c r="M583" t="s">
        <v>78</v>
      </c>
      <c r="N583" t="s">
        <v>79</v>
      </c>
      <c r="O583" t="s">
        <v>74</v>
      </c>
      <c r="P583" t="s">
        <v>74</v>
      </c>
      <c r="Q583" t="s">
        <v>74</v>
      </c>
      <c r="R583" t="s">
        <v>74</v>
      </c>
      <c r="S583" t="s">
        <v>74</v>
      </c>
      <c r="T583" t="s">
        <v>74</v>
      </c>
      <c r="U583" t="s">
        <v>74</v>
      </c>
      <c r="V583" t="s">
        <v>11829</v>
      </c>
      <c r="W583" t="s">
        <v>11830</v>
      </c>
      <c r="X583" t="s">
        <v>74</v>
      </c>
      <c r="Y583" t="s">
        <v>11831</v>
      </c>
      <c r="Z583" t="s">
        <v>2412</v>
      </c>
      <c r="AA583" t="s">
        <v>11832</v>
      </c>
      <c r="AB583" t="s">
        <v>11833</v>
      </c>
      <c r="AC583" t="s">
        <v>74</v>
      </c>
      <c r="AD583" t="s">
        <v>74</v>
      </c>
      <c r="AE583" t="s">
        <v>74</v>
      </c>
      <c r="AF583" t="s">
        <v>74</v>
      </c>
      <c r="AG583">
        <v>11</v>
      </c>
      <c r="AH583">
        <v>28</v>
      </c>
      <c r="AI583">
        <v>31</v>
      </c>
      <c r="AJ583">
        <v>0</v>
      </c>
      <c r="AK583">
        <v>13</v>
      </c>
      <c r="AL583" t="s">
        <v>947</v>
      </c>
      <c r="AM583" t="s">
        <v>948</v>
      </c>
      <c r="AN583" t="s">
        <v>2346</v>
      </c>
      <c r="AO583" t="s">
        <v>11834</v>
      </c>
      <c r="AP583" t="s">
        <v>74</v>
      </c>
      <c r="AQ583" t="s">
        <v>74</v>
      </c>
      <c r="AR583" t="s">
        <v>11835</v>
      </c>
      <c r="AS583" t="s">
        <v>11836</v>
      </c>
      <c r="AT583" t="s">
        <v>11434</v>
      </c>
      <c r="AU583">
        <v>2005</v>
      </c>
      <c r="AV583">
        <v>9</v>
      </c>
      <c r="AW583">
        <v>4</v>
      </c>
      <c r="AX583" t="s">
        <v>74</v>
      </c>
      <c r="AY583" t="s">
        <v>74</v>
      </c>
      <c r="AZ583" t="s">
        <v>74</v>
      </c>
      <c r="BA583" t="s">
        <v>74</v>
      </c>
      <c r="BB583">
        <v>56</v>
      </c>
      <c r="BC583">
        <v>64</v>
      </c>
      <c r="BD583" t="s">
        <v>74</v>
      </c>
      <c r="BE583" t="s">
        <v>11837</v>
      </c>
      <c r="BF583" t="str">
        <f>HYPERLINK("http://dx.doi.org/10.1109/MIC.2005.90","http://dx.doi.org/10.1109/MIC.2005.90")</f>
        <v>http://dx.doi.org/10.1109/MIC.2005.90</v>
      </c>
      <c r="BG583" t="s">
        <v>74</v>
      </c>
      <c r="BH583" t="s">
        <v>74</v>
      </c>
      <c r="BI583">
        <v>9</v>
      </c>
      <c r="BJ583" t="s">
        <v>10152</v>
      </c>
      <c r="BK583" t="s">
        <v>902</v>
      </c>
      <c r="BL583" t="s">
        <v>103</v>
      </c>
      <c r="BM583" t="s">
        <v>11838</v>
      </c>
      <c r="BN583" t="s">
        <v>74</v>
      </c>
      <c r="BO583" t="s">
        <v>346</v>
      </c>
      <c r="BP583" t="s">
        <v>74</v>
      </c>
      <c r="BQ583" t="s">
        <v>74</v>
      </c>
      <c r="BR583" t="s">
        <v>106</v>
      </c>
      <c r="BS583" t="s">
        <v>11839</v>
      </c>
      <c r="BT583" t="str">
        <f>HYPERLINK("https%3A%2F%2Fwww.webofscience.com%2Fwos%2Fwoscc%2Ffull-record%2FWOS:000230434800012","View Full Record in Web of Science")</f>
        <v>View Full Record in Web of Science</v>
      </c>
    </row>
    <row r="584" spans="1:72" x14ac:dyDescent="0.25">
      <c r="A584" t="s">
        <v>108</v>
      </c>
      <c r="B584" t="s">
        <v>11840</v>
      </c>
      <c r="C584" t="s">
        <v>74</v>
      </c>
      <c r="D584" t="s">
        <v>74</v>
      </c>
      <c r="E584" t="s">
        <v>465</v>
      </c>
      <c r="F584" t="s">
        <v>11841</v>
      </c>
      <c r="G584" t="s">
        <v>74</v>
      </c>
      <c r="H584" t="s">
        <v>74</v>
      </c>
      <c r="I584" t="s">
        <v>11842</v>
      </c>
      <c r="J584" t="s">
        <v>11843</v>
      </c>
      <c r="K584" t="s">
        <v>11844</v>
      </c>
      <c r="L584" t="s">
        <v>74</v>
      </c>
      <c r="M584" t="s">
        <v>78</v>
      </c>
      <c r="N584" t="s">
        <v>115</v>
      </c>
      <c r="O584" t="s">
        <v>11845</v>
      </c>
      <c r="P584" t="s">
        <v>11846</v>
      </c>
      <c r="Q584" t="s">
        <v>10302</v>
      </c>
      <c r="R584" t="s">
        <v>465</v>
      </c>
      <c r="S584" t="s">
        <v>74</v>
      </c>
      <c r="T584" t="s">
        <v>11847</v>
      </c>
      <c r="U584" t="s">
        <v>74</v>
      </c>
      <c r="V584" t="s">
        <v>11848</v>
      </c>
      <c r="W584" t="s">
        <v>11849</v>
      </c>
      <c r="X584" t="s">
        <v>74</v>
      </c>
      <c r="Y584" t="s">
        <v>11850</v>
      </c>
      <c r="Z584" t="s">
        <v>11851</v>
      </c>
      <c r="AA584" t="s">
        <v>74</v>
      </c>
      <c r="AB584" t="s">
        <v>74</v>
      </c>
      <c r="AC584" t="s">
        <v>74</v>
      </c>
      <c r="AD584" t="s">
        <v>74</v>
      </c>
      <c r="AE584" t="s">
        <v>74</v>
      </c>
      <c r="AF584" t="s">
        <v>74</v>
      </c>
      <c r="AG584">
        <v>5</v>
      </c>
      <c r="AH584">
        <v>1</v>
      </c>
      <c r="AI584">
        <v>1</v>
      </c>
      <c r="AJ584">
        <v>0</v>
      </c>
      <c r="AK584">
        <v>10</v>
      </c>
      <c r="AL584" t="s">
        <v>465</v>
      </c>
      <c r="AM584" t="s">
        <v>92</v>
      </c>
      <c r="AN584" t="s">
        <v>480</v>
      </c>
      <c r="AO584" t="s">
        <v>11852</v>
      </c>
      <c r="AP584" t="s">
        <v>74</v>
      </c>
      <c r="AQ584" t="s">
        <v>11853</v>
      </c>
      <c r="AR584" t="s">
        <v>11854</v>
      </c>
      <c r="AS584" t="s">
        <v>74</v>
      </c>
      <c r="AT584" t="s">
        <v>74</v>
      </c>
      <c r="AU584">
        <v>2021</v>
      </c>
      <c r="AV584" t="s">
        <v>74</v>
      </c>
      <c r="AW584" t="s">
        <v>74</v>
      </c>
      <c r="AX584" t="s">
        <v>74</v>
      </c>
      <c r="AY584" t="s">
        <v>74</v>
      </c>
      <c r="AZ584" t="s">
        <v>74</v>
      </c>
      <c r="BA584" t="s">
        <v>74</v>
      </c>
      <c r="BB584" t="s">
        <v>74</v>
      </c>
      <c r="BC584" t="s">
        <v>74</v>
      </c>
      <c r="BD584" t="s">
        <v>74</v>
      </c>
      <c r="BE584" t="s">
        <v>11855</v>
      </c>
      <c r="BF584" t="str">
        <f>HYPERLINK("http://dx.doi.org/10.1109/IPCCC51483.2021.9679449","http://dx.doi.org/10.1109/IPCCC51483.2021.9679449")</f>
        <v>http://dx.doi.org/10.1109/IPCCC51483.2021.9679449</v>
      </c>
      <c r="BG584" t="s">
        <v>74</v>
      </c>
      <c r="BH584" t="s">
        <v>74</v>
      </c>
      <c r="BI584">
        <v>2</v>
      </c>
      <c r="BJ584" t="s">
        <v>6304</v>
      </c>
      <c r="BK584" t="s">
        <v>203</v>
      </c>
      <c r="BL584" t="s">
        <v>903</v>
      </c>
      <c r="BM584" t="s">
        <v>11856</v>
      </c>
      <c r="BN584" t="s">
        <v>74</v>
      </c>
      <c r="BO584" t="s">
        <v>74</v>
      </c>
      <c r="BP584" t="s">
        <v>74</v>
      </c>
      <c r="BQ584" t="s">
        <v>74</v>
      </c>
      <c r="BR584" t="s">
        <v>106</v>
      </c>
      <c r="BS584" t="s">
        <v>11857</v>
      </c>
      <c r="BT584" t="str">
        <f>HYPERLINK("https%3A%2F%2Fwww.webofscience.com%2Fwos%2Fwoscc%2Ffull-record%2FWOS:000779177500071","View Full Record in Web of Science")</f>
        <v>View Full Record in Web of Science</v>
      </c>
    </row>
    <row r="585" spans="1:72" x14ac:dyDescent="0.25">
      <c r="A585" t="s">
        <v>108</v>
      </c>
      <c r="B585" t="s">
        <v>11858</v>
      </c>
      <c r="C585" t="s">
        <v>74</v>
      </c>
      <c r="D585" t="s">
        <v>74</v>
      </c>
      <c r="E585" t="s">
        <v>465</v>
      </c>
      <c r="F585" t="s">
        <v>11859</v>
      </c>
      <c r="G585" t="s">
        <v>74</v>
      </c>
      <c r="H585" t="s">
        <v>74</v>
      </c>
      <c r="I585" t="s">
        <v>11860</v>
      </c>
      <c r="J585" t="s">
        <v>11861</v>
      </c>
      <c r="K585" t="s">
        <v>11862</v>
      </c>
      <c r="L585" t="s">
        <v>74</v>
      </c>
      <c r="M585" t="s">
        <v>78</v>
      </c>
      <c r="N585" t="s">
        <v>115</v>
      </c>
      <c r="O585" t="s">
        <v>11863</v>
      </c>
      <c r="P585" t="s">
        <v>11864</v>
      </c>
      <c r="Q585" t="s">
        <v>11865</v>
      </c>
      <c r="R585" t="s">
        <v>11866</v>
      </c>
      <c r="S585" t="s">
        <v>74</v>
      </c>
      <c r="T585" t="s">
        <v>11867</v>
      </c>
      <c r="U585" t="s">
        <v>74</v>
      </c>
      <c r="V585" t="s">
        <v>11868</v>
      </c>
      <c r="W585" t="s">
        <v>11869</v>
      </c>
      <c r="X585" t="s">
        <v>11870</v>
      </c>
      <c r="Y585" t="s">
        <v>11871</v>
      </c>
      <c r="Z585" t="s">
        <v>11872</v>
      </c>
      <c r="AA585" t="s">
        <v>11873</v>
      </c>
      <c r="AB585" t="s">
        <v>74</v>
      </c>
      <c r="AC585" t="s">
        <v>11874</v>
      </c>
      <c r="AD585" t="s">
        <v>11875</v>
      </c>
      <c r="AE585" t="s">
        <v>11876</v>
      </c>
      <c r="AF585" t="s">
        <v>74</v>
      </c>
      <c r="AG585">
        <v>20</v>
      </c>
      <c r="AH585">
        <v>0</v>
      </c>
      <c r="AI585">
        <v>0</v>
      </c>
      <c r="AJ585">
        <v>0</v>
      </c>
      <c r="AK585">
        <v>0</v>
      </c>
      <c r="AL585" t="s">
        <v>465</v>
      </c>
      <c r="AM585" t="s">
        <v>92</v>
      </c>
      <c r="AN585" t="s">
        <v>480</v>
      </c>
      <c r="AO585" t="s">
        <v>11877</v>
      </c>
      <c r="AP585" t="s">
        <v>74</v>
      </c>
      <c r="AQ585" t="s">
        <v>11878</v>
      </c>
      <c r="AR585" t="s">
        <v>11879</v>
      </c>
      <c r="AS585" t="s">
        <v>74</v>
      </c>
      <c r="AT585" t="s">
        <v>74</v>
      </c>
      <c r="AU585">
        <v>2022</v>
      </c>
      <c r="AV585" t="s">
        <v>74</v>
      </c>
      <c r="AW585" t="s">
        <v>74</v>
      </c>
      <c r="AX585" t="s">
        <v>74</v>
      </c>
      <c r="AY585" t="s">
        <v>74</v>
      </c>
      <c r="AZ585" t="s">
        <v>74</v>
      </c>
      <c r="BA585" t="s">
        <v>74</v>
      </c>
      <c r="BB585" t="s">
        <v>74</v>
      </c>
      <c r="BC585" t="s">
        <v>74</v>
      </c>
      <c r="BD585" t="s">
        <v>74</v>
      </c>
      <c r="BE585" t="s">
        <v>11880</v>
      </c>
      <c r="BF585" t="str">
        <f>HYPERLINK("http://dx.doi.org/10.1109/IJCNN55064.2022.9892404","http://dx.doi.org/10.1109/IJCNN55064.2022.9892404")</f>
        <v>http://dx.doi.org/10.1109/IJCNN55064.2022.9892404</v>
      </c>
      <c r="BG585" t="s">
        <v>74</v>
      </c>
      <c r="BH585" t="s">
        <v>74</v>
      </c>
      <c r="BI585">
        <v>8</v>
      </c>
      <c r="BJ585" t="s">
        <v>11881</v>
      </c>
      <c r="BK585" t="s">
        <v>203</v>
      </c>
      <c r="BL585" t="s">
        <v>11882</v>
      </c>
      <c r="BM585" t="s">
        <v>11883</v>
      </c>
      <c r="BN585" t="s">
        <v>74</v>
      </c>
      <c r="BO585" t="s">
        <v>74</v>
      </c>
      <c r="BP585" t="s">
        <v>74</v>
      </c>
      <c r="BQ585" t="s">
        <v>74</v>
      </c>
      <c r="BR585" t="s">
        <v>106</v>
      </c>
      <c r="BS585" t="s">
        <v>11884</v>
      </c>
      <c r="BT585" t="str">
        <f>HYPERLINK("https%3A%2F%2Fwww.webofscience.com%2Fwos%2Fwoscc%2Ffull-record%2FWOS:000867070904038","View Full Record in Web of Science")</f>
        <v>View Full Record in Web of Science</v>
      </c>
    </row>
    <row r="586" spans="1:72" x14ac:dyDescent="0.25">
      <c r="A586" t="s">
        <v>72</v>
      </c>
      <c r="B586" t="s">
        <v>11885</v>
      </c>
      <c r="C586" t="s">
        <v>74</v>
      </c>
      <c r="D586" t="s">
        <v>74</v>
      </c>
      <c r="E586" t="s">
        <v>74</v>
      </c>
      <c r="F586" t="s">
        <v>11886</v>
      </c>
      <c r="G586" t="s">
        <v>74</v>
      </c>
      <c r="H586" t="s">
        <v>74</v>
      </c>
      <c r="I586" t="s">
        <v>11887</v>
      </c>
      <c r="J586" t="s">
        <v>11888</v>
      </c>
      <c r="K586" t="s">
        <v>74</v>
      </c>
      <c r="L586" t="s">
        <v>74</v>
      </c>
      <c r="M586" t="s">
        <v>78</v>
      </c>
      <c r="N586" t="s">
        <v>79</v>
      </c>
      <c r="O586" t="s">
        <v>74</v>
      </c>
      <c r="P586" t="s">
        <v>74</v>
      </c>
      <c r="Q586" t="s">
        <v>74</v>
      </c>
      <c r="R586" t="s">
        <v>74</v>
      </c>
      <c r="S586" t="s">
        <v>74</v>
      </c>
      <c r="T586" t="s">
        <v>11889</v>
      </c>
      <c r="U586" t="s">
        <v>11890</v>
      </c>
      <c r="V586" t="s">
        <v>11891</v>
      </c>
      <c r="W586" t="s">
        <v>11892</v>
      </c>
      <c r="X586" t="s">
        <v>11893</v>
      </c>
      <c r="Y586" t="s">
        <v>11894</v>
      </c>
      <c r="Z586" t="s">
        <v>11895</v>
      </c>
      <c r="AA586" t="s">
        <v>11896</v>
      </c>
      <c r="AB586" t="s">
        <v>74</v>
      </c>
      <c r="AC586" t="s">
        <v>11897</v>
      </c>
      <c r="AD586" t="s">
        <v>11898</v>
      </c>
      <c r="AE586" t="s">
        <v>11899</v>
      </c>
      <c r="AF586" t="s">
        <v>74</v>
      </c>
      <c r="AG586">
        <v>43</v>
      </c>
      <c r="AH586">
        <v>1</v>
      </c>
      <c r="AI586">
        <v>1</v>
      </c>
      <c r="AJ586">
        <v>4</v>
      </c>
      <c r="AK586">
        <v>20</v>
      </c>
      <c r="AL586" t="s">
        <v>1272</v>
      </c>
      <c r="AM586" t="s">
        <v>1273</v>
      </c>
      <c r="AN586" t="s">
        <v>1274</v>
      </c>
      <c r="AO586" t="s">
        <v>74</v>
      </c>
      <c r="AP586" t="s">
        <v>11900</v>
      </c>
      <c r="AQ586" t="s">
        <v>74</v>
      </c>
      <c r="AR586" t="s">
        <v>11888</v>
      </c>
      <c r="AS586" t="s">
        <v>11901</v>
      </c>
      <c r="AT586" t="s">
        <v>11902</v>
      </c>
      <c r="AU586">
        <v>2025</v>
      </c>
      <c r="AV586">
        <v>17</v>
      </c>
      <c r="AW586">
        <v>8</v>
      </c>
      <c r="AX586" t="s">
        <v>74</v>
      </c>
      <c r="AY586" t="s">
        <v>74</v>
      </c>
      <c r="AZ586" t="s">
        <v>74</v>
      </c>
      <c r="BA586" t="s">
        <v>74</v>
      </c>
      <c r="BB586" t="s">
        <v>74</v>
      </c>
      <c r="BC586" t="s">
        <v>74</v>
      </c>
      <c r="BD586">
        <v>1266</v>
      </c>
      <c r="BE586" t="s">
        <v>11903</v>
      </c>
      <c r="BF586" t="str">
        <f>HYPERLINK("http://dx.doi.org/10.3390/sym17081266","http://dx.doi.org/10.3390/sym17081266")</f>
        <v>http://dx.doi.org/10.3390/sym17081266</v>
      </c>
      <c r="BG586" t="s">
        <v>74</v>
      </c>
      <c r="BH586" t="s">
        <v>74</v>
      </c>
      <c r="BI586">
        <v>20</v>
      </c>
      <c r="BJ586" t="s">
        <v>5861</v>
      </c>
      <c r="BK586" t="s">
        <v>902</v>
      </c>
      <c r="BL586" t="s">
        <v>5862</v>
      </c>
      <c r="BM586" t="s">
        <v>11904</v>
      </c>
      <c r="BN586" t="s">
        <v>74</v>
      </c>
      <c r="BO586" t="s">
        <v>372</v>
      </c>
      <c r="BP586" t="s">
        <v>74</v>
      </c>
      <c r="BQ586" t="s">
        <v>74</v>
      </c>
      <c r="BR586" t="s">
        <v>106</v>
      </c>
      <c r="BS586" t="s">
        <v>11905</v>
      </c>
      <c r="BT586" t="str">
        <f>HYPERLINK("https%3A%2F%2Fwww.webofscience.com%2Fwos%2Fwoscc%2Ffull-record%2FWOS:001558364900001","View Full Record in Web of Science")</f>
        <v>View Full Record in Web of Science</v>
      </c>
    </row>
    <row r="587" spans="1:72" x14ac:dyDescent="0.25">
      <c r="A587" t="s">
        <v>72</v>
      </c>
      <c r="B587" t="s">
        <v>11906</v>
      </c>
      <c r="C587" t="s">
        <v>74</v>
      </c>
      <c r="D587" t="s">
        <v>74</v>
      </c>
      <c r="E587" t="s">
        <v>74</v>
      </c>
      <c r="F587" t="s">
        <v>11907</v>
      </c>
      <c r="G587" t="s">
        <v>74</v>
      </c>
      <c r="H587" t="s">
        <v>74</v>
      </c>
      <c r="I587" t="s">
        <v>11908</v>
      </c>
      <c r="J587" t="s">
        <v>11909</v>
      </c>
      <c r="K587" t="s">
        <v>74</v>
      </c>
      <c r="L587" t="s">
        <v>74</v>
      </c>
      <c r="M587" t="s">
        <v>78</v>
      </c>
      <c r="N587" t="s">
        <v>79</v>
      </c>
      <c r="O587" t="s">
        <v>74</v>
      </c>
      <c r="P587" t="s">
        <v>74</v>
      </c>
      <c r="Q587" t="s">
        <v>74</v>
      </c>
      <c r="R587" t="s">
        <v>74</v>
      </c>
      <c r="S587" t="s">
        <v>74</v>
      </c>
      <c r="T587" t="s">
        <v>11910</v>
      </c>
      <c r="U587" t="s">
        <v>11911</v>
      </c>
      <c r="V587" t="s">
        <v>11912</v>
      </c>
      <c r="W587" t="s">
        <v>11913</v>
      </c>
      <c r="X587" t="s">
        <v>11914</v>
      </c>
      <c r="Y587" t="s">
        <v>11915</v>
      </c>
      <c r="Z587" t="s">
        <v>11916</v>
      </c>
      <c r="AA587" t="s">
        <v>11917</v>
      </c>
      <c r="AB587" t="s">
        <v>11918</v>
      </c>
      <c r="AC587" t="s">
        <v>74</v>
      </c>
      <c r="AD587" t="s">
        <v>74</v>
      </c>
      <c r="AE587" t="s">
        <v>74</v>
      </c>
      <c r="AF587" t="s">
        <v>74</v>
      </c>
      <c r="AG587">
        <v>28</v>
      </c>
      <c r="AH587">
        <v>27</v>
      </c>
      <c r="AI587">
        <v>33</v>
      </c>
      <c r="AJ587">
        <v>4</v>
      </c>
      <c r="AK587">
        <v>67</v>
      </c>
      <c r="AL587" t="s">
        <v>362</v>
      </c>
      <c r="AM587" t="s">
        <v>363</v>
      </c>
      <c r="AN587" t="s">
        <v>364</v>
      </c>
      <c r="AO587" t="s">
        <v>11919</v>
      </c>
      <c r="AP587" t="s">
        <v>11920</v>
      </c>
      <c r="AQ587" t="s">
        <v>74</v>
      </c>
      <c r="AR587" t="s">
        <v>11921</v>
      </c>
      <c r="AS587" t="s">
        <v>11922</v>
      </c>
      <c r="AT587" t="s">
        <v>1166</v>
      </c>
      <c r="AU587">
        <v>2020</v>
      </c>
      <c r="AV587">
        <v>35</v>
      </c>
      <c r="AW587" t="s">
        <v>74</v>
      </c>
      <c r="AX587" t="s">
        <v>74</v>
      </c>
      <c r="AY587" t="s">
        <v>74</v>
      </c>
      <c r="AZ587" t="s">
        <v>74</v>
      </c>
      <c r="BA587" t="s">
        <v>74</v>
      </c>
      <c r="BB587" t="s">
        <v>74</v>
      </c>
      <c r="BC587" t="s">
        <v>74</v>
      </c>
      <c r="BD587">
        <v>100710</v>
      </c>
      <c r="BE587" t="s">
        <v>11923</v>
      </c>
      <c r="BF587" t="str">
        <f>HYPERLINK("http://dx.doi.org/10.1016/j.tmp.2020.100710","http://dx.doi.org/10.1016/j.tmp.2020.100710")</f>
        <v>http://dx.doi.org/10.1016/j.tmp.2020.100710</v>
      </c>
      <c r="BG587" t="s">
        <v>74</v>
      </c>
      <c r="BH587" t="s">
        <v>74</v>
      </c>
      <c r="BI587">
        <v>12</v>
      </c>
      <c r="BJ587" t="s">
        <v>11924</v>
      </c>
      <c r="BK587" t="s">
        <v>250</v>
      </c>
      <c r="BL587" t="s">
        <v>11925</v>
      </c>
      <c r="BM587" t="s">
        <v>11926</v>
      </c>
      <c r="BN587" t="s">
        <v>74</v>
      </c>
      <c r="BO587" t="s">
        <v>74</v>
      </c>
      <c r="BP587" t="s">
        <v>74</v>
      </c>
      <c r="BQ587" t="s">
        <v>74</v>
      </c>
      <c r="BR587" t="s">
        <v>106</v>
      </c>
      <c r="BS587" t="s">
        <v>11927</v>
      </c>
      <c r="BT587" t="str">
        <f>HYPERLINK("https%3A%2F%2Fwww.webofscience.com%2Fwos%2Fwoscc%2Ffull-record%2FWOS:000554917500011","View Full Record in Web of Science")</f>
        <v>View Full Record in Web of Science</v>
      </c>
    </row>
    <row r="588" spans="1:72" x14ac:dyDescent="0.25">
      <c r="A588" t="s">
        <v>72</v>
      </c>
      <c r="B588" t="s">
        <v>11928</v>
      </c>
      <c r="C588" t="s">
        <v>74</v>
      </c>
      <c r="D588" t="s">
        <v>74</v>
      </c>
      <c r="E588" t="s">
        <v>74</v>
      </c>
      <c r="F588" t="s">
        <v>11929</v>
      </c>
      <c r="G588" t="s">
        <v>74</v>
      </c>
      <c r="H588" t="s">
        <v>74</v>
      </c>
      <c r="I588" t="s">
        <v>11930</v>
      </c>
      <c r="J588" t="s">
        <v>11931</v>
      </c>
      <c r="K588" t="s">
        <v>74</v>
      </c>
      <c r="L588" t="s">
        <v>74</v>
      </c>
      <c r="M588" t="s">
        <v>78</v>
      </c>
      <c r="N588" t="s">
        <v>79</v>
      </c>
      <c r="O588" t="s">
        <v>74</v>
      </c>
      <c r="P588" t="s">
        <v>74</v>
      </c>
      <c r="Q588" t="s">
        <v>74</v>
      </c>
      <c r="R588" t="s">
        <v>74</v>
      </c>
      <c r="S588" t="s">
        <v>74</v>
      </c>
      <c r="T588" t="s">
        <v>11932</v>
      </c>
      <c r="U588" t="s">
        <v>11933</v>
      </c>
      <c r="V588" t="s">
        <v>11934</v>
      </c>
      <c r="W588" t="s">
        <v>11935</v>
      </c>
      <c r="X588" t="s">
        <v>11936</v>
      </c>
      <c r="Y588" t="s">
        <v>11937</v>
      </c>
      <c r="Z588" t="s">
        <v>11938</v>
      </c>
      <c r="AA588" t="s">
        <v>11939</v>
      </c>
      <c r="AB588" t="s">
        <v>11940</v>
      </c>
      <c r="AC588" t="s">
        <v>74</v>
      </c>
      <c r="AD588" t="s">
        <v>74</v>
      </c>
      <c r="AE588" t="s">
        <v>74</v>
      </c>
      <c r="AF588" t="s">
        <v>74</v>
      </c>
      <c r="AG588">
        <v>284</v>
      </c>
      <c r="AH588">
        <v>8</v>
      </c>
      <c r="AI588">
        <v>8</v>
      </c>
      <c r="AJ588">
        <v>0</v>
      </c>
      <c r="AK588">
        <v>4</v>
      </c>
      <c r="AL588" t="s">
        <v>8027</v>
      </c>
      <c r="AM588" t="s">
        <v>8028</v>
      </c>
      <c r="AN588" t="s">
        <v>8029</v>
      </c>
      <c r="AO588" t="s">
        <v>11941</v>
      </c>
      <c r="AP588" t="s">
        <v>11942</v>
      </c>
      <c r="AQ588" t="s">
        <v>74</v>
      </c>
      <c r="AR588" t="s">
        <v>11943</v>
      </c>
      <c r="AS588" t="s">
        <v>11944</v>
      </c>
      <c r="AT588" t="s">
        <v>98</v>
      </c>
      <c r="AU588">
        <v>2023</v>
      </c>
      <c r="AV588">
        <v>9</v>
      </c>
      <c r="AW588">
        <v>6</v>
      </c>
      <c r="AX588" t="s">
        <v>74</v>
      </c>
      <c r="AY588" t="s">
        <v>74</v>
      </c>
      <c r="AZ588" t="s">
        <v>74</v>
      </c>
      <c r="BA588" t="s">
        <v>74</v>
      </c>
      <c r="BB588">
        <v>1363</v>
      </c>
      <c r="BC588">
        <v>1398</v>
      </c>
      <c r="BD588" t="s">
        <v>74</v>
      </c>
      <c r="BE588" t="s">
        <v>11945</v>
      </c>
      <c r="BF588" t="str">
        <f>HYPERLINK("http://dx.doi.org/10.1016/j.dcan.2022.07.002","http://dx.doi.org/10.1016/j.dcan.2022.07.002")</f>
        <v>http://dx.doi.org/10.1016/j.dcan.2022.07.002</v>
      </c>
      <c r="BG588" t="s">
        <v>74</v>
      </c>
      <c r="BH588" t="s">
        <v>7028</v>
      </c>
      <c r="BI588">
        <v>36</v>
      </c>
      <c r="BJ588" t="s">
        <v>4177</v>
      </c>
      <c r="BK588" t="s">
        <v>902</v>
      </c>
      <c r="BL588" t="s">
        <v>4177</v>
      </c>
      <c r="BM588" t="s">
        <v>11946</v>
      </c>
      <c r="BN588" t="s">
        <v>74</v>
      </c>
      <c r="BO588" t="s">
        <v>398</v>
      </c>
      <c r="BP588" t="s">
        <v>74</v>
      </c>
      <c r="BQ588" t="s">
        <v>74</v>
      </c>
      <c r="BR588" t="s">
        <v>106</v>
      </c>
      <c r="BS588" t="s">
        <v>11947</v>
      </c>
      <c r="BT588" t="str">
        <f>HYPERLINK("https%3A%2F%2Fwww.webofscience.com%2Fwos%2Fwoscc%2Ffull-record%2FWOS:001150339300001","View Full Record in Web of Science")</f>
        <v>View Full Record in Web of Science</v>
      </c>
    </row>
    <row r="589" spans="1:72" x14ac:dyDescent="0.25">
      <c r="A589" t="s">
        <v>108</v>
      </c>
      <c r="B589" t="s">
        <v>11948</v>
      </c>
      <c r="C589" t="s">
        <v>74</v>
      </c>
      <c r="D589" t="s">
        <v>11949</v>
      </c>
      <c r="E589" t="s">
        <v>74</v>
      </c>
      <c r="F589" t="s">
        <v>11950</v>
      </c>
      <c r="G589" t="s">
        <v>74</v>
      </c>
      <c r="H589" t="s">
        <v>74</v>
      </c>
      <c r="I589" t="s">
        <v>11951</v>
      </c>
      <c r="J589" t="s">
        <v>11952</v>
      </c>
      <c r="K589" t="s">
        <v>74</v>
      </c>
      <c r="L589" t="s">
        <v>74</v>
      </c>
      <c r="M589" t="s">
        <v>78</v>
      </c>
      <c r="N589" t="s">
        <v>115</v>
      </c>
      <c r="O589" t="s">
        <v>11953</v>
      </c>
      <c r="P589" t="s">
        <v>11954</v>
      </c>
      <c r="Q589" t="s">
        <v>11955</v>
      </c>
      <c r="R589" t="s">
        <v>11956</v>
      </c>
      <c r="S589" t="s">
        <v>74</v>
      </c>
      <c r="T589" t="s">
        <v>74</v>
      </c>
      <c r="U589" t="s">
        <v>74</v>
      </c>
      <c r="V589" t="s">
        <v>11957</v>
      </c>
      <c r="W589" t="s">
        <v>74</v>
      </c>
      <c r="X589" t="s">
        <v>74</v>
      </c>
      <c r="Y589" t="s">
        <v>74</v>
      </c>
      <c r="Z589" t="s">
        <v>74</v>
      </c>
      <c r="AA589" t="s">
        <v>74</v>
      </c>
      <c r="AB589" t="s">
        <v>74</v>
      </c>
      <c r="AC589" t="s">
        <v>74</v>
      </c>
      <c r="AD589" t="s">
        <v>74</v>
      </c>
      <c r="AE589" t="s">
        <v>74</v>
      </c>
      <c r="AF589" t="s">
        <v>74</v>
      </c>
      <c r="AG589">
        <v>4</v>
      </c>
      <c r="AH589">
        <v>0</v>
      </c>
      <c r="AI589">
        <v>1</v>
      </c>
      <c r="AJ589">
        <v>0</v>
      </c>
      <c r="AK589">
        <v>1</v>
      </c>
      <c r="AL589" t="s">
        <v>947</v>
      </c>
      <c r="AM589" t="s">
        <v>948</v>
      </c>
      <c r="AN589" t="s">
        <v>949</v>
      </c>
      <c r="AO589" t="s">
        <v>74</v>
      </c>
      <c r="AP589" t="s">
        <v>74</v>
      </c>
      <c r="AQ589" t="s">
        <v>11958</v>
      </c>
      <c r="AR589" t="s">
        <v>74</v>
      </c>
      <c r="AS589" t="s">
        <v>74</v>
      </c>
      <c r="AT589" t="s">
        <v>74</v>
      </c>
      <c r="AU589">
        <v>2007</v>
      </c>
      <c r="AV589" t="s">
        <v>74</v>
      </c>
      <c r="AW589" t="s">
        <v>74</v>
      </c>
      <c r="AX589" t="s">
        <v>74</v>
      </c>
      <c r="AY589" t="s">
        <v>74</v>
      </c>
      <c r="AZ589" t="s">
        <v>74</v>
      </c>
      <c r="BA589" t="s">
        <v>74</v>
      </c>
      <c r="BB589">
        <v>522</v>
      </c>
      <c r="BC589">
        <v>524</v>
      </c>
      <c r="BD589" t="s">
        <v>74</v>
      </c>
      <c r="BE589" t="s">
        <v>11959</v>
      </c>
      <c r="BF589" t="str">
        <f>HYPERLINK("http://dx.doi.org/10.1109/ICALT.2007.170","http://dx.doi.org/10.1109/ICALT.2007.170")</f>
        <v>http://dx.doi.org/10.1109/ICALT.2007.170</v>
      </c>
      <c r="BG589" t="s">
        <v>74</v>
      </c>
      <c r="BH589" t="s">
        <v>74</v>
      </c>
      <c r="BI589">
        <v>3</v>
      </c>
      <c r="BJ589" t="s">
        <v>344</v>
      </c>
      <c r="BK589" t="s">
        <v>138</v>
      </c>
      <c r="BL589" t="s">
        <v>139</v>
      </c>
      <c r="BM589" t="s">
        <v>11960</v>
      </c>
      <c r="BN589" t="s">
        <v>74</v>
      </c>
      <c r="BO589" t="s">
        <v>74</v>
      </c>
      <c r="BP589" t="s">
        <v>74</v>
      </c>
      <c r="BQ589" t="s">
        <v>74</v>
      </c>
      <c r="BR589" t="s">
        <v>106</v>
      </c>
      <c r="BS589" t="s">
        <v>11961</v>
      </c>
      <c r="BT589" t="str">
        <f>HYPERLINK("https%3A%2F%2Fwww.webofscience.com%2Fwos%2Fwoscc%2Ffull-record%2FWOS:000249886800149","View Full Record in Web of Science")</f>
        <v>View Full Record in Web of Science</v>
      </c>
    </row>
    <row r="590" spans="1:72" x14ac:dyDescent="0.25">
      <c r="A590" t="s">
        <v>108</v>
      </c>
      <c r="B590" t="s">
        <v>11962</v>
      </c>
      <c r="C590" t="s">
        <v>74</v>
      </c>
      <c r="D590" t="s">
        <v>74</v>
      </c>
      <c r="E590" t="s">
        <v>465</v>
      </c>
      <c r="F590" t="s">
        <v>11963</v>
      </c>
      <c r="G590" t="s">
        <v>74</v>
      </c>
      <c r="H590" t="s">
        <v>74</v>
      </c>
      <c r="I590" t="s">
        <v>11964</v>
      </c>
      <c r="J590" t="s">
        <v>11965</v>
      </c>
      <c r="K590" t="s">
        <v>74</v>
      </c>
      <c r="L590" t="s">
        <v>74</v>
      </c>
      <c r="M590" t="s">
        <v>78</v>
      </c>
      <c r="N590" t="s">
        <v>115</v>
      </c>
      <c r="O590" t="s">
        <v>11966</v>
      </c>
      <c r="P590" t="s">
        <v>11967</v>
      </c>
      <c r="Q590" t="s">
        <v>11968</v>
      </c>
      <c r="R590" t="s">
        <v>11969</v>
      </c>
      <c r="S590" t="s">
        <v>11970</v>
      </c>
      <c r="T590" t="s">
        <v>11971</v>
      </c>
      <c r="U590" t="s">
        <v>74</v>
      </c>
      <c r="V590" t="s">
        <v>11972</v>
      </c>
      <c r="W590" t="s">
        <v>11973</v>
      </c>
      <c r="X590" t="s">
        <v>11974</v>
      </c>
      <c r="Y590" t="s">
        <v>11975</v>
      </c>
      <c r="Z590" t="s">
        <v>11976</v>
      </c>
      <c r="AA590" t="s">
        <v>11977</v>
      </c>
      <c r="AB590" t="s">
        <v>11978</v>
      </c>
      <c r="AC590" t="s">
        <v>74</v>
      </c>
      <c r="AD590" t="s">
        <v>74</v>
      </c>
      <c r="AE590" t="s">
        <v>74</v>
      </c>
      <c r="AF590" t="s">
        <v>74</v>
      </c>
      <c r="AG590">
        <v>18</v>
      </c>
      <c r="AH590">
        <v>5</v>
      </c>
      <c r="AI590">
        <v>6</v>
      </c>
      <c r="AJ590">
        <v>0</v>
      </c>
      <c r="AK590">
        <v>5</v>
      </c>
      <c r="AL590" t="s">
        <v>465</v>
      </c>
      <c r="AM590" t="s">
        <v>92</v>
      </c>
      <c r="AN590" t="s">
        <v>480</v>
      </c>
      <c r="AO590" t="s">
        <v>74</v>
      </c>
      <c r="AP590" t="s">
        <v>74</v>
      </c>
      <c r="AQ590" t="s">
        <v>11979</v>
      </c>
      <c r="AR590" t="s">
        <v>74</v>
      </c>
      <c r="AS590" t="s">
        <v>74</v>
      </c>
      <c r="AT590" t="s">
        <v>74</v>
      </c>
      <c r="AU590">
        <v>2016</v>
      </c>
      <c r="AV590" t="s">
        <v>74</v>
      </c>
      <c r="AW590" t="s">
        <v>74</v>
      </c>
      <c r="AX590" t="s">
        <v>74</v>
      </c>
      <c r="AY590" t="s">
        <v>74</v>
      </c>
      <c r="AZ590" t="s">
        <v>74</v>
      </c>
      <c r="BA590" t="s">
        <v>74</v>
      </c>
      <c r="BB590">
        <v>96</v>
      </c>
      <c r="BC590">
        <v>99</v>
      </c>
      <c r="BD590" t="s">
        <v>74</v>
      </c>
      <c r="BE590" t="s">
        <v>11980</v>
      </c>
      <c r="BF590" t="str">
        <f>HYPERLINK("http://dx.doi.org/10.1109/CCC.2016.27","http://dx.doi.org/10.1109/CCC.2016.27")</f>
        <v>http://dx.doi.org/10.1109/CCC.2016.27</v>
      </c>
      <c r="BG590" t="s">
        <v>74</v>
      </c>
      <c r="BH590" t="s">
        <v>74</v>
      </c>
      <c r="BI590">
        <v>4</v>
      </c>
      <c r="BJ590" t="s">
        <v>972</v>
      </c>
      <c r="BK590" t="s">
        <v>203</v>
      </c>
      <c r="BL590" t="s">
        <v>953</v>
      </c>
      <c r="BM590" t="s">
        <v>11981</v>
      </c>
      <c r="BN590" t="s">
        <v>74</v>
      </c>
      <c r="BO590" t="s">
        <v>74</v>
      </c>
      <c r="BP590" t="s">
        <v>74</v>
      </c>
      <c r="BQ590" t="s">
        <v>74</v>
      </c>
      <c r="BR590" t="s">
        <v>106</v>
      </c>
      <c r="BS590" t="s">
        <v>11982</v>
      </c>
      <c r="BT590" t="str">
        <f>HYPERLINK("https%3A%2F%2Fwww.webofscience.com%2Fwos%2Fwoscc%2Ffull-record%2FWOS:000386911700016","View Full Record in Web of Science")</f>
        <v>View Full Record in Web of Science</v>
      </c>
    </row>
    <row r="591" spans="1:72" x14ac:dyDescent="0.25">
      <c r="A591" t="s">
        <v>108</v>
      </c>
      <c r="B591" t="s">
        <v>11983</v>
      </c>
      <c r="C591" t="s">
        <v>74</v>
      </c>
      <c r="D591" t="s">
        <v>74</v>
      </c>
      <c r="E591" t="s">
        <v>322</v>
      </c>
      <c r="F591" t="s">
        <v>11984</v>
      </c>
      <c r="G591" t="s">
        <v>74</v>
      </c>
      <c r="H591" t="s">
        <v>74</v>
      </c>
      <c r="I591" t="s">
        <v>11985</v>
      </c>
      <c r="J591" t="s">
        <v>11986</v>
      </c>
      <c r="K591" t="s">
        <v>74</v>
      </c>
      <c r="L591" t="s">
        <v>74</v>
      </c>
      <c r="M591" t="s">
        <v>78</v>
      </c>
      <c r="N591" t="s">
        <v>115</v>
      </c>
      <c r="O591" t="s">
        <v>11987</v>
      </c>
      <c r="P591" t="s">
        <v>11988</v>
      </c>
      <c r="Q591" t="s">
        <v>1051</v>
      </c>
      <c r="R591" t="s">
        <v>11989</v>
      </c>
      <c r="S591" t="s">
        <v>74</v>
      </c>
      <c r="T591" t="s">
        <v>11990</v>
      </c>
      <c r="U591" t="s">
        <v>11991</v>
      </c>
      <c r="V591" t="s">
        <v>11992</v>
      </c>
      <c r="W591" t="s">
        <v>11993</v>
      </c>
      <c r="X591" t="s">
        <v>11994</v>
      </c>
      <c r="Y591" t="s">
        <v>11995</v>
      </c>
      <c r="Z591" t="s">
        <v>11996</v>
      </c>
      <c r="AA591" t="s">
        <v>11997</v>
      </c>
      <c r="AB591" t="s">
        <v>11998</v>
      </c>
      <c r="AC591" t="s">
        <v>74</v>
      </c>
      <c r="AD591" t="s">
        <v>74</v>
      </c>
      <c r="AE591" t="s">
        <v>74</v>
      </c>
      <c r="AF591" t="s">
        <v>74</v>
      </c>
      <c r="AG591">
        <v>47</v>
      </c>
      <c r="AH591">
        <v>1</v>
      </c>
      <c r="AI591">
        <v>1</v>
      </c>
      <c r="AJ591">
        <v>0</v>
      </c>
      <c r="AK591">
        <v>1</v>
      </c>
      <c r="AL591" t="s">
        <v>291</v>
      </c>
      <c r="AM591" t="s">
        <v>92</v>
      </c>
      <c r="AN591" t="s">
        <v>341</v>
      </c>
      <c r="AO591" t="s">
        <v>74</v>
      </c>
      <c r="AP591" t="s">
        <v>74</v>
      </c>
      <c r="AQ591" t="s">
        <v>11999</v>
      </c>
      <c r="AR591" t="s">
        <v>74</v>
      </c>
      <c r="AS591" t="s">
        <v>74</v>
      </c>
      <c r="AT591" t="s">
        <v>74</v>
      </c>
      <c r="AU591">
        <v>2022</v>
      </c>
      <c r="AV591" t="s">
        <v>74</v>
      </c>
      <c r="AW591" t="s">
        <v>74</v>
      </c>
      <c r="AX591" t="s">
        <v>74</v>
      </c>
      <c r="AY591" t="s">
        <v>74</v>
      </c>
      <c r="AZ591" t="s">
        <v>74</v>
      </c>
      <c r="BA591" t="s">
        <v>74</v>
      </c>
      <c r="BB591">
        <v>22</v>
      </c>
      <c r="BC591">
        <v>33</v>
      </c>
      <c r="BD591" t="s">
        <v>74</v>
      </c>
      <c r="BE591" t="s">
        <v>12000</v>
      </c>
      <c r="BF591" t="str">
        <f>HYPERLINK("http://dx.doi.org/10.1145/3501247.3531592","http://dx.doi.org/10.1145/3501247.3531592")</f>
        <v>http://dx.doi.org/10.1145/3501247.3531592</v>
      </c>
      <c r="BG591" t="s">
        <v>74</v>
      </c>
      <c r="BH591" t="s">
        <v>74</v>
      </c>
      <c r="BI591">
        <v>12</v>
      </c>
      <c r="BJ591" t="s">
        <v>12001</v>
      </c>
      <c r="BK591" t="s">
        <v>138</v>
      </c>
      <c r="BL591" t="s">
        <v>12002</v>
      </c>
      <c r="BM591" t="s">
        <v>12003</v>
      </c>
      <c r="BN591" t="s">
        <v>74</v>
      </c>
      <c r="BO591" t="s">
        <v>74</v>
      </c>
      <c r="BP591" t="s">
        <v>74</v>
      </c>
      <c r="BQ591" t="s">
        <v>74</v>
      </c>
      <c r="BR591" t="s">
        <v>106</v>
      </c>
      <c r="BS591" t="s">
        <v>12004</v>
      </c>
      <c r="BT591" t="str">
        <f>HYPERLINK("https%3A%2F%2Fwww.webofscience.com%2Fwos%2Fwoscc%2Ffull-record%2FWOS:001118952600003","View Full Record in Web of Science")</f>
        <v>View Full Record in Web of Science</v>
      </c>
    </row>
    <row r="592" spans="1:72" x14ac:dyDescent="0.25">
      <c r="A592" t="s">
        <v>108</v>
      </c>
      <c r="B592" t="s">
        <v>12005</v>
      </c>
      <c r="C592" t="s">
        <v>74</v>
      </c>
      <c r="D592" t="s">
        <v>74</v>
      </c>
      <c r="E592" t="s">
        <v>465</v>
      </c>
      <c r="F592" t="s">
        <v>12006</v>
      </c>
      <c r="G592" t="s">
        <v>74</v>
      </c>
      <c r="H592" t="s">
        <v>74</v>
      </c>
      <c r="I592" t="s">
        <v>12007</v>
      </c>
      <c r="J592" t="s">
        <v>2191</v>
      </c>
      <c r="K592" t="s">
        <v>74</v>
      </c>
      <c r="L592" t="s">
        <v>74</v>
      </c>
      <c r="M592" t="s">
        <v>78</v>
      </c>
      <c r="N592" t="s">
        <v>115</v>
      </c>
      <c r="O592" t="s">
        <v>2192</v>
      </c>
      <c r="P592" t="s">
        <v>2193</v>
      </c>
      <c r="Q592" t="s">
        <v>2194</v>
      </c>
      <c r="R592" t="s">
        <v>2195</v>
      </c>
      <c r="S592" t="s">
        <v>74</v>
      </c>
      <c r="T592" t="s">
        <v>12008</v>
      </c>
      <c r="U592" t="s">
        <v>74</v>
      </c>
      <c r="V592" t="s">
        <v>12009</v>
      </c>
      <c r="W592" t="s">
        <v>12010</v>
      </c>
      <c r="X592" t="s">
        <v>74</v>
      </c>
      <c r="Y592" t="s">
        <v>12011</v>
      </c>
      <c r="Z592" t="s">
        <v>12012</v>
      </c>
      <c r="AA592" t="s">
        <v>74</v>
      </c>
      <c r="AB592" t="s">
        <v>74</v>
      </c>
      <c r="AC592" t="s">
        <v>74</v>
      </c>
      <c r="AD592" t="s">
        <v>74</v>
      </c>
      <c r="AE592" t="s">
        <v>74</v>
      </c>
      <c r="AF592" t="s">
        <v>74</v>
      </c>
      <c r="AG592">
        <v>12</v>
      </c>
      <c r="AH592">
        <v>0</v>
      </c>
      <c r="AI592">
        <v>0</v>
      </c>
      <c r="AJ592">
        <v>0</v>
      </c>
      <c r="AK592">
        <v>0</v>
      </c>
      <c r="AL592" t="s">
        <v>465</v>
      </c>
      <c r="AM592" t="s">
        <v>92</v>
      </c>
      <c r="AN592" t="s">
        <v>480</v>
      </c>
      <c r="AO592" t="s">
        <v>74</v>
      </c>
      <c r="AP592" t="s">
        <v>74</v>
      </c>
      <c r="AQ592" t="s">
        <v>2204</v>
      </c>
      <c r="AR592" t="s">
        <v>74</v>
      </c>
      <c r="AS592" t="s">
        <v>74</v>
      </c>
      <c r="AT592" t="s">
        <v>74</v>
      </c>
      <c r="AU592">
        <v>2018</v>
      </c>
      <c r="AV592" t="s">
        <v>74</v>
      </c>
      <c r="AW592" t="s">
        <v>74</v>
      </c>
      <c r="AX592" t="s">
        <v>74</v>
      </c>
      <c r="AY592" t="s">
        <v>74</v>
      </c>
      <c r="AZ592" t="s">
        <v>74</v>
      </c>
      <c r="BA592" t="s">
        <v>74</v>
      </c>
      <c r="BB592">
        <v>471</v>
      </c>
      <c r="BC592">
        <v>476</v>
      </c>
      <c r="BD592" t="s">
        <v>74</v>
      </c>
      <c r="BE592" t="s">
        <v>74</v>
      </c>
      <c r="BF592" t="s">
        <v>74</v>
      </c>
      <c r="BG592" t="s">
        <v>74</v>
      </c>
      <c r="BH592" t="s">
        <v>74</v>
      </c>
      <c r="BI592">
        <v>6</v>
      </c>
      <c r="BJ592" t="s">
        <v>2205</v>
      </c>
      <c r="BK592" t="s">
        <v>203</v>
      </c>
      <c r="BL592" t="s">
        <v>903</v>
      </c>
      <c r="BM592" t="s">
        <v>2206</v>
      </c>
      <c r="BN592" t="s">
        <v>74</v>
      </c>
      <c r="BO592" t="s">
        <v>74</v>
      </c>
      <c r="BP592" t="s">
        <v>74</v>
      </c>
      <c r="BQ592" t="s">
        <v>74</v>
      </c>
      <c r="BR592" t="s">
        <v>106</v>
      </c>
      <c r="BS592" t="s">
        <v>12013</v>
      </c>
      <c r="BT592" t="str">
        <f>HYPERLINK("https%3A%2F%2Fwww.webofscience.com%2Fwos%2Fwoscc%2Ffull-record%2FWOS:000455682100077","View Full Record in Web of Science")</f>
        <v>View Full Record in Web of Science</v>
      </c>
    </row>
    <row r="593" spans="1:72" x14ac:dyDescent="0.25">
      <c r="A593" t="s">
        <v>72</v>
      </c>
      <c r="B593" t="s">
        <v>5533</v>
      </c>
      <c r="C593" t="s">
        <v>74</v>
      </c>
      <c r="D593" t="s">
        <v>74</v>
      </c>
      <c r="E593" t="s">
        <v>74</v>
      </c>
      <c r="F593" t="s">
        <v>5534</v>
      </c>
      <c r="G593" t="s">
        <v>74</v>
      </c>
      <c r="H593" t="s">
        <v>74</v>
      </c>
      <c r="I593" t="s">
        <v>12014</v>
      </c>
      <c r="J593" t="s">
        <v>6807</v>
      </c>
      <c r="K593" t="s">
        <v>74</v>
      </c>
      <c r="L593" t="s">
        <v>74</v>
      </c>
      <c r="M593" t="s">
        <v>78</v>
      </c>
      <c r="N593" t="s">
        <v>79</v>
      </c>
      <c r="O593" t="s">
        <v>74</v>
      </c>
      <c r="P593" t="s">
        <v>74</v>
      </c>
      <c r="Q593" t="s">
        <v>74</v>
      </c>
      <c r="R593" t="s">
        <v>74</v>
      </c>
      <c r="S593" t="s">
        <v>74</v>
      </c>
      <c r="T593" t="s">
        <v>12015</v>
      </c>
      <c r="U593" t="s">
        <v>12016</v>
      </c>
      <c r="V593" t="s">
        <v>12017</v>
      </c>
      <c r="W593" t="s">
        <v>12018</v>
      </c>
      <c r="X593" t="s">
        <v>5539</v>
      </c>
      <c r="Y593" t="s">
        <v>12019</v>
      </c>
      <c r="Z593" t="s">
        <v>12020</v>
      </c>
      <c r="AA593" t="s">
        <v>5542</v>
      </c>
      <c r="AB593" t="s">
        <v>5543</v>
      </c>
      <c r="AC593" t="s">
        <v>12021</v>
      </c>
      <c r="AD593" t="s">
        <v>12022</v>
      </c>
      <c r="AE593" t="s">
        <v>12023</v>
      </c>
      <c r="AF593" t="s">
        <v>74</v>
      </c>
      <c r="AG593">
        <v>33</v>
      </c>
      <c r="AH593">
        <v>7</v>
      </c>
      <c r="AI593">
        <v>11</v>
      </c>
      <c r="AJ593">
        <v>0</v>
      </c>
      <c r="AK593">
        <v>18</v>
      </c>
      <c r="AL593" t="s">
        <v>91</v>
      </c>
      <c r="AM593" t="s">
        <v>92</v>
      </c>
      <c r="AN593" t="s">
        <v>2307</v>
      </c>
      <c r="AO593" t="s">
        <v>6819</v>
      </c>
      <c r="AP593" t="s">
        <v>6820</v>
      </c>
      <c r="AQ593" t="s">
        <v>74</v>
      </c>
      <c r="AR593" t="s">
        <v>6821</v>
      </c>
      <c r="AS593" t="s">
        <v>6822</v>
      </c>
      <c r="AT593" t="s">
        <v>12024</v>
      </c>
      <c r="AU593">
        <v>2016</v>
      </c>
      <c r="AV593">
        <v>358</v>
      </c>
      <c r="AW593" t="s">
        <v>74</v>
      </c>
      <c r="AX593" t="s">
        <v>74</v>
      </c>
      <c r="AY593" t="s">
        <v>74</v>
      </c>
      <c r="AZ593" t="s">
        <v>74</v>
      </c>
      <c r="BA593" t="s">
        <v>74</v>
      </c>
      <c r="BB593">
        <v>112</v>
      </c>
      <c r="BC593">
        <v>128</v>
      </c>
      <c r="BD593" t="s">
        <v>74</v>
      </c>
      <c r="BE593" t="s">
        <v>12025</v>
      </c>
      <c r="BF593" t="str">
        <f>HYPERLINK("http://dx.doi.org/10.1016/j.ins.2016.04.020","http://dx.doi.org/10.1016/j.ins.2016.04.020")</f>
        <v>http://dx.doi.org/10.1016/j.ins.2016.04.020</v>
      </c>
      <c r="BG593" t="s">
        <v>74</v>
      </c>
      <c r="BH593" t="s">
        <v>74</v>
      </c>
      <c r="BI593">
        <v>17</v>
      </c>
      <c r="BJ593" t="s">
        <v>852</v>
      </c>
      <c r="BK593" t="s">
        <v>902</v>
      </c>
      <c r="BL593" t="s">
        <v>103</v>
      </c>
      <c r="BM593" t="s">
        <v>12026</v>
      </c>
      <c r="BN593" t="s">
        <v>74</v>
      </c>
      <c r="BO593" t="s">
        <v>74</v>
      </c>
      <c r="BP593" t="s">
        <v>74</v>
      </c>
      <c r="BQ593" t="s">
        <v>74</v>
      </c>
      <c r="BR593" t="s">
        <v>106</v>
      </c>
      <c r="BS593" t="s">
        <v>12027</v>
      </c>
      <c r="BT593" t="str">
        <f>HYPERLINK("https%3A%2F%2Fwww.webofscience.com%2Fwos%2Fwoscc%2Ffull-record%2FWOS:000377322500008","View Full Record in Web of Science")</f>
        <v>View Full Record in Web of Science</v>
      </c>
    </row>
    <row r="594" spans="1:72" x14ac:dyDescent="0.25">
      <c r="A594" t="s">
        <v>72</v>
      </c>
      <c r="B594" t="s">
        <v>12028</v>
      </c>
      <c r="C594" t="s">
        <v>74</v>
      </c>
      <c r="D594" t="s">
        <v>74</v>
      </c>
      <c r="E594" t="s">
        <v>74</v>
      </c>
      <c r="F594" t="s">
        <v>12029</v>
      </c>
      <c r="G594" t="s">
        <v>74</v>
      </c>
      <c r="H594" t="s">
        <v>74</v>
      </c>
      <c r="I594" t="s">
        <v>12030</v>
      </c>
      <c r="J594" t="s">
        <v>12031</v>
      </c>
      <c r="K594" t="s">
        <v>74</v>
      </c>
      <c r="L594" t="s">
        <v>74</v>
      </c>
      <c r="M594" t="s">
        <v>78</v>
      </c>
      <c r="N594" t="s">
        <v>79</v>
      </c>
      <c r="O594" t="s">
        <v>74</v>
      </c>
      <c r="P594" t="s">
        <v>74</v>
      </c>
      <c r="Q594" t="s">
        <v>74</v>
      </c>
      <c r="R594" t="s">
        <v>74</v>
      </c>
      <c r="S594" t="s">
        <v>74</v>
      </c>
      <c r="T594" t="s">
        <v>12032</v>
      </c>
      <c r="U594" t="s">
        <v>12033</v>
      </c>
      <c r="V594" t="s">
        <v>12034</v>
      </c>
      <c r="W594" t="s">
        <v>12035</v>
      </c>
      <c r="X594" t="s">
        <v>12036</v>
      </c>
      <c r="Y594" t="s">
        <v>12037</v>
      </c>
      <c r="Z594" t="s">
        <v>12038</v>
      </c>
      <c r="AA594" t="s">
        <v>74</v>
      </c>
      <c r="AB594" t="s">
        <v>12039</v>
      </c>
      <c r="AC594" t="s">
        <v>12040</v>
      </c>
      <c r="AD594" t="s">
        <v>12041</v>
      </c>
      <c r="AE594" t="s">
        <v>12042</v>
      </c>
      <c r="AF594" t="s">
        <v>74</v>
      </c>
      <c r="AG594">
        <v>68</v>
      </c>
      <c r="AH594">
        <v>11</v>
      </c>
      <c r="AI594">
        <v>13</v>
      </c>
      <c r="AJ594">
        <v>4</v>
      </c>
      <c r="AK594">
        <v>21</v>
      </c>
      <c r="AL594" t="s">
        <v>310</v>
      </c>
      <c r="AM594" t="s">
        <v>311</v>
      </c>
      <c r="AN594" t="s">
        <v>312</v>
      </c>
      <c r="AO594" t="s">
        <v>12043</v>
      </c>
      <c r="AP594" t="s">
        <v>12044</v>
      </c>
      <c r="AQ594" t="s">
        <v>74</v>
      </c>
      <c r="AR594" t="s">
        <v>12045</v>
      </c>
      <c r="AS594" t="s">
        <v>12046</v>
      </c>
      <c r="AT594" t="s">
        <v>12047</v>
      </c>
      <c r="AU594">
        <v>2023</v>
      </c>
      <c r="AV594">
        <v>13</v>
      </c>
      <c r="AW594">
        <v>4</v>
      </c>
      <c r="AX594" t="s">
        <v>74</v>
      </c>
      <c r="AY594" t="s">
        <v>74</v>
      </c>
      <c r="AZ594" t="s">
        <v>74</v>
      </c>
      <c r="BA594" t="s">
        <v>74</v>
      </c>
      <c r="BB594">
        <v>381</v>
      </c>
      <c r="BC594">
        <v>399</v>
      </c>
      <c r="BD594" t="s">
        <v>74</v>
      </c>
      <c r="BE594" t="s">
        <v>12048</v>
      </c>
      <c r="BF594" t="str">
        <f>HYPERLINK("http://dx.doi.org/10.1080/21548455.2023.2180333","http://dx.doi.org/10.1080/21548455.2023.2180333")</f>
        <v>http://dx.doi.org/10.1080/21548455.2023.2180333</v>
      </c>
      <c r="BG594" t="s">
        <v>74</v>
      </c>
      <c r="BH594" t="s">
        <v>12049</v>
      </c>
      <c r="BI594">
        <v>19</v>
      </c>
      <c r="BJ594" t="s">
        <v>318</v>
      </c>
      <c r="BK594" t="s">
        <v>102</v>
      </c>
      <c r="BL594" t="s">
        <v>318</v>
      </c>
      <c r="BM594" t="s">
        <v>12050</v>
      </c>
      <c r="BN594" t="s">
        <v>74</v>
      </c>
      <c r="BO594" t="s">
        <v>74</v>
      </c>
      <c r="BP594" t="s">
        <v>74</v>
      </c>
      <c r="BQ594" t="s">
        <v>74</v>
      </c>
      <c r="BR594" t="s">
        <v>106</v>
      </c>
      <c r="BS594" t="s">
        <v>12051</v>
      </c>
      <c r="BT594" t="str">
        <f>HYPERLINK("https%3A%2F%2Fwww.webofscience.com%2Fwos%2Fwoscc%2Ffull-record%2FWOS:000937622300001","View Full Record in Web of Science")</f>
        <v>View Full Record in Web of Science</v>
      </c>
    </row>
    <row r="595" spans="1:72" x14ac:dyDescent="0.25">
      <c r="A595" t="s">
        <v>108</v>
      </c>
      <c r="B595" t="s">
        <v>12052</v>
      </c>
      <c r="C595" t="s">
        <v>74</v>
      </c>
      <c r="D595" t="s">
        <v>74</v>
      </c>
      <c r="E595" t="s">
        <v>465</v>
      </c>
      <c r="F595" t="s">
        <v>12053</v>
      </c>
      <c r="G595" t="s">
        <v>74</v>
      </c>
      <c r="H595" t="s">
        <v>74</v>
      </c>
      <c r="I595" t="s">
        <v>12054</v>
      </c>
      <c r="J595" t="s">
        <v>12055</v>
      </c>
      <c r="K595" t="s">
        <v>12056</v>
      </c>
      <c r="L595" t="s">
        <v>74</v>
      </c>
      <c r="M595" t="s">
        <v>78</v>
      </c>
      <c r="N595" t="s">
        <v>115</v>
      </c>
      <c r="O595" t="s">
        <v>12057</v>
      </c>
      <c r="P595" t="s">
        <v>12058</v>
      </c>
      <c r="Q595" t="s">
        <v>424</v>
      </c>
      <c r="R595" t="s">
        <v>74</v>
      </c>
      <c r="S595" t="s">
        <v>74</v>
      </c>
      <c r="T595" t="s">
        <v>12059</v>
      </c>
      <c r="U595" t="s">
        <v>74</v>
      </c>
      <c r="V595" t="s">
        <v>12060</v>
      </c>
      <c r="W595" t="s">
        <v>12061</v>
      </c>
      <c r="X595" t="s">
        <v>12062</v>
      </c>
      <c r="Y595" t="s">
        <v>12063</v>
      </c>
      <c r="Z595" t="s">
        <v>12064</v>
      </c>
      <c r="AA595" t="s">
        <v>12065</v>
      </c>
      <c r="AB595" t="s">
        <v>74</v>
      </c>
      <c r="AC595" t="s">
        <v>74</v>
      </c>
      <c r="AD595" t="s">
        <v>74</v>
      </c>
      <c r="AE595" t="s">
        <v>74</v>
      </c>
      <c r="AF595" t="s">
        <v>74</v>
      </c>
      <c r="AG595">
        <v>9</v>
      </c>
      <c r="AH595">
        <v>1</v>
      </c>
      <c r="AI595">
        <v>1</v>
      </c>
      <c r="AJ595">
        <v>0</v>
      </c>
      <c r="AK595">
        <v>2</v>
      </c>
      <c r="AL595" t="s">
        <v>465</v>
      </c>
      <c r="AM595" t="s">
        <v>92</v>
      </c>
      <c r="AN595" t="s">
        <v>480</v>
      </c>
      <c r="AO595" t="s">
        <v>12066</v>
      </c>
      <c r="AP595" t="s">
        <v>74</v>
      </c>
      <c r="AQ595" t="s">
        <v>12067</v>
      </c>
      <c r="AR595" t="s">
        <v>12068</v>
      </c>
      <c r="AS595" t="s">
        <v>74</v>
      </c>
      <c r="AT595" t="s">
        <v>74</v>
      </c>
      <c r="AU595">
        <v>2012</v>
      </c>
      <c r="AV595" t="s">
        <v>74</v>
      </c>
      <c r="AW595" t="s">
        <v>74</v>
      </c>
      <c r="AX595" t="s">
        <v>74</v>
      </c>
      <c r="AY595" t="s">
        <v>74</v>
      </c>
      <c r="AZ595" t="s">
        <v>74</v>
      </c>
      <c r="BA595" t="s">
        <v>74</v>
      </c>
      <c r="BB595">
        <v>59</v>
      </c>
      <c r="BC595">
        <v>63</v>
      </c>
      <c r="BD595" t="s">
        <v>74</v>
      </c>
      <c r="BE595" t="s">
        <v>74</v>
      </c>
      <c r="BF595" t="s">
        <v>74</v>
      </c>
      <c r="BG595" t="s">
        <v>74</v>
      </c>
      <c r="BH595" t="s">
        <v>74</v>
      </c>
      <c r="BI595">
        <v>5</v>
      </c>
      <c r="BJ595" t="s">
        <v>10930</v>
      </c>
      <c r="BK595" t="s">
        <v>203</v>
      </c>
      <c r="BL595" t="s">
        <v>139</v>
      </c>
      <c r="BM595" t="s">
        <v>12069</v>
      </c>
      <c r="BN595" t="s">
        <v>74</v>
      </c>
      <c r="BO595" t="s">
        <v>74</v>
      </c>
      <c r="BP595" t="s">
        <v>74</v>
      </c>
      <c r="BQ595" t="s">
        <v>74</v>
      </c>
      <c r="BR595" t="s">
        <v>106</v>
      </c>
      <c r="BS595" t="s">
        <v>12070</v>
      </c>
      <c r="BT595" t="str">
        <f>HYPERLINK("https%3A%2F%2Fwww.webofscience.com%2Fwos%2Fwoscc%2Ffull-record%2FWOS:000398865900013","View Full Record in Web of Science")</f>
        <v>View Full Record in Web of Science</v>
      </c>
    </row>
    <row r="596" spans="1:72" x14ac:dyDescent="0.25">
      <c r="A596" t="s">
        <v>72</v>
      </c>
      <c r="B596" t="s">
        <v>12071</v>
      </c>
      <c r="C596" t="s">
        <v>74</v>
      </c>
      <c r="D596" t="s">
        <v>74</v>
      </c>
      <c r="E596" t="s">
        <v>74</v>
      </c>
      <c r="F596" t="s">
        <v>12072</v>
      </c>
      <c r="G596" t="s">
        <v>74</v>
      </c>
      <c r="H596" t="s">
        <v>74</v>
      </c>
      <c r="I596" t="s">
        <v>12073</v>
      </c>
      <c r="J596" t="s">
        <v>7278</v>
      </c>
      <c r="K596" t="s">
        <v>74</v>
      </c>
      <c r="L596" t="s">
        <v>74</v>
      </c>
      <c r="M596" t="s">
        <v>78</v>
      </c>
      <c r="N596" t="s">
        <v>79</v>
      </c>
      <c r="O596" t="s">
        <v>74</v>
      </c>
      <c r="P596" t="s">
        <v>74</v>
      </c>
      <c r="Q596" t="s">
        <v>74</v>
      </c>
      <c r="R596" t="s">
        <v>74</v>
      </c>
      <c r="S596" t="s">
        <v>74</v>
      </c>
      <c r="T596" t="s">
        <v>12074</v>
      </c>
      <c r="U596" t="s">
        <v>74</v>
      </c>
      <c r="V596" t="s">
        <v>12075</v>
      </c>
      <c r="W596" t="s">
        <v>12076</v>
      </c>
      <c r="X596" t="s">
        <v>7948</v>
      </c>
      <c r="Y596" t="s">
        <v>12077</v>
      </c>
      <c r="Z596" t="s">
        <v>12078</v>
      </c>
      <c r="AA596" t="s">
        <v>12079</v>
      </c>
      <c r="AB596" t="s">
        <v>12080</v>
      </c>
      <c r="AC596" t="s">
        <v>12081</v>
      </c>
      <c r="AD596" t="s">
        <v>12082</v>
      </c>
      <c r="AE596" t="s">
        <v>12083</v>
      </c>
      <c r="AF596" t="s">
        <v>74</v>
      </c>
      <c r="AG596">
        <v>47</v>
      </c>
      <c r="AH596">
        <v>43</v>
      </c>
      <c r="AI596">
        <v>48</v>
      </c>
      <c r="AJ596">
        <v>1</v>
      </c>
      <c r="AK596">
        <v>47</v>
      </c>
      <c r="AL596" t="s">
        <v>895</v>
      </c>
      <c r="AM596" t="s">
        <v>896</v>
      </c>
      <c r="AN596" t="s">
        <v>897</v>
      </c>
      <c r="AO596" t="s">
        <v>7291</v>
      </c>
      <c r="AP596" t="s">
        <v>7292</v>
      </c>
      <c r="AQ596" t="s">
        <v>74</v>
      </c>
      <c r="AR596" t="s">
        <v>7293</v>
      </c>
      <c r="AS596" t="s">
        <v>7294</v>
      </c>
      <c r="AT596" t="s">
        <v>74</v>
      </c>
      <c r="AU596">
        <v>2021</v>
      </c>
      <c r="AV596">
        <v>23</v>
      </c>
      <c r="AW596" t="s">
        <v>74</v>
      </c>
      <c r="AX596" t="s">
        <v>74</v>
      </c>
      <c r="AY596" t="s">
        <v>74</v>
      </c>
      <c r="AZ596" t="s">
        <v>74</v>
      </c>
      <c r="BA596" t="s">
        <v>74</v>
      </c>
      <c r="BB596">
        <v>484</v>
      </c>
      <c r="BC596">
        <v>496</v>
      </c>
      <c r="BD596" t="s">
        <v>74</v>
      </c>
      <c r="BE596" t="s">
        <v>12084</v>
      </c>
      <c r="BF596" t="str">
        <f>HYPERLINK("http://dx.doi.org/10.1109/TMM.2020.2978618","http://dx.doi.org/10.1109/TMM.2020.2978618")</f>
        <v>http://dx.doi.org/10.1109/TMM.2020.2978618</v>
      </c>
      <c r="BG596" t="s">
        <v>74</v>
      </c>
      <c r="BH596" t="s">
        <v>74</v>
      </c>
      <c r="BI596">
        <v>13</v>
      </c>
      <c r="BJ596" t="s">
        <v>7296</v>
      </c>
      <c r="BK596" t="s">
        <v>902</v>
      </c>
      <c r="BL596" t="s">
        <v>2422</v>
      </c>
      <c r="BM596" t="s">
        <v>12085</v>
      </c>
      <c r="BN596" t="s">
        <v>74</v>
      </c>
      <c r="BO596" t="s">
        <v>74</v>
      </c>
      <c r="BP596" t="s">
        <v>74</v>
      </c>
      <c r="BQ596" t="s">
        <v>74</v>
      </c>
      <c r="BR596" t="s">
        <v>106</v>
      </c>
      <c r="BS596" t="s">
        <v>12086</v>
      </c>
      <c r="BT596" t="str">
        <f>HYPERLINK("https%3A%2F%2Fwww.webofscience.com%2Fwos%2Fwoscc%2Ffull-record%2FWOS:000601877600038","View Full Record in Web of Science")</f>
        <v>View Full Record in Web of Science</v>
      </c>
    </row>
    <row r="597" spans="1:72" x14ac:dyDescent="0.25">
      <c r="A597" t="s">
        <v>108</v>
      </c>
      <c r="B597" t="s">
        <v>12087</v>
      </c>
      <c r="C597" t="s">
        <v>74</v>
      </c>
      <c r="D597" t="s">
        <v>74</v>
      </c>
      <c r="E597" t="s">
        <v>465</v>
      </c>
      <c r="F597" t="s">
        <v>12088</v>
      </c>
      <c r="G597" t="s">
        <v>74</v>
      </c>
      <c r="H597" t="s">
        <v>74</v>
      </c>
      <c r="I597" t="s">
        <v>12089</v>
      </c>
      <c r="J597" t="s">
        <v>3922</v>
      </c>
      <c r="K597" t="s">
        <v>3923</v>
      </c>
      <c r="L597" t="s">
        <v>74</v>
      </c>
      <c r="M597" t="s">
        <v>78</v>
      </c>
      <c r="N597" t="s">
        <v>115</v>
      </c>
      <c r="O597" t="s">
        <v>3924</v>
      </c>
      <c r="P597" t="s">
        <v>3925</v>
      </c>
      <c r="Q597" t="s">
        <v>3926</v>
      </c>
      <c r="R597" t="s">
        <v>3927</v>
      </c>
      <c r="S597" t="s">
        <v>74</v>
      </c>
      <c r="T597" t="s">
        <v>12090</v>
      </c>
      <c r="U597" t="s">
        <v>12091</v>
      </c>
      <c r="V597" t="s">
        <v>12092</v>
      </c>
      <c r="W597" t="s">
        <v>12093</v>
      </c>
      <c r="X597" t="s">
        <v>5979</v>
      </c>
      <c r="Y597" t="s">
        <v>12094</v>
      </c>
      <c r="Z597" t="s">
        <v>12095</v>
      </c>
      <c r="AA597" t="s">
        <v>12096</v>
      </c>
      <c r="AB597" t="s">
        <v>12097</v>
      </c>
      <c r="AC597" t="s">
        <v>74</v>
      </c>
      <c r="AD597" t="s">
        <v>74</v>
      </c>
      <c r="AE597" t="s">
        <v>74</v>
      </c>
      <c r="AF597" t="s">
        <v>74</v>
      </c>
      <c r="AG597">
        <v>17</v>
      </c>
      <c r="AH597">
        <v>5</v>
      </c>
      <c r="AI597">
        <v>5</v>
      </c>
      <c r="AJ597">
        <v>0</v>
      </c>
      <c r="AK597">
        <v>2</v>
      </c>
      <c r="AL597" t="s">
        <v>465</v>
      </c>
      <c r="AM597" t="s">
        <v>92</v>
      </c>
      <c r="AN597" t="s">
        <v>480</v>
      </c>
      <c r="AO597" t="s">
        <v>3933</v>
      </c>
      <c r="AP597" t="s">
        <v>74</v>
      </c>
      <c r="AQ597" t="s">
        <v>3934</v>
      </c>
      <c r="AR597" t="s">
        <v>3935</v>
      </c>
      <c r="AS597" t="s">
        <v>74</v>
      </c>
      <c r="AT597" t="s">
        <v>74</v>
      </c>
      <c r="AU597">
        <v>2017</v>
      </c>
      <c r="AV597" t="s">
        <v>74</v>
      </c>
      <c r="AW597" t="s">
        <v>74</v>
      </c>
      <c r="AX597" t="s">
        <v>74</v>
      </c>
      <c r="AY597" t="s">
        <v>74</v>
      </c>
      <c r="AZ597" t="s">
        <v>74</v>
      </c>
      <c r="BA597" t="s">
        <v>74</v>
      </c>
      <c r="BB597">
        <v>482</v>
      </c>
      <c r="BC597">
        <v>488</v>
      </c>
      <c r="BD597" t="s">
        <v>74</v>
      </c>
      <c r="BE597" t="s">
        <v>12098</v>
      </c>
      <c r="BF597" t="str">
        <f>HYPERLINK("http://dx.doi.org/10.1109/AICCSA.2017.13","http://dx.doi.org/10.1109/AICCSA.2017.13")</f>
        <v>http://dx.doi.org/10.1109/AICCSA.2017.13</v>
      </c>
      <c r="BG597" t="s">
        <v>74</v>
      </c>
      <c r="BH597" t="s">
        <v>74</v>
      </c>
      <c r="BI597">
        <v>7</v>
      </c>
      <c r="BJ597" t="s">
        <v>3937</v>
      </c>
      <c r="BK597" t="s">
        <v>203</v>
      </c>
      <c r="BL597" t="s">
        <v>2756</v>
      </c>
      <c r="BM597" t="s">
        <v>3938</v>
      </c>
      <c r="BN597" t="s">
        <v>74</v>
      </c>
      <c r="BO597" t="s">
        <v>74</v>
      </c>
      <c r="BP597" t="s">
        <v>74</v>
      </c>
      <c r="BQ597" t="s">
        <v>74</v>
      </c>
      <c r="BR597" t="s">
        <v>106</v>
      </c>
      <c r="BS597" t="s">
        <v>12099</v>
      </c>
      <c r="BT597" t="str">
        <f>HYPERLINK("https%3A%2F%2Fwww.webofscience.com%2Fwos%2Fwoscc%2Ffull-record%2FWOS:000428311600075","View Full Record in Web of Science")</f>
        <v>View Full Record in Web of Science</v>
      </c>
    </row>
    <row r="598" spans="1:72" x14ac:dyDescent="0.25">
      <c r="A598" t="s">
        <v>108</v>
      </c>
      <c r="B598" t="s">
        <v>12100</v>
      </c>
      <c r="C598" t="s">
        <v>74</v>
      </c>
      <c r="D598" t="s">
        <v>74</v>
      </c>
      <c r="E598" t="s">
        <v>465</v>
      </c>
      <c r="F598" t="s">
        <v>12101</v>
      </c>
      <c r="G598" t="s">
        <v>74</v>
      </c>
      <c r="H598" t="s">
        <v>74</v>
      </c>
      <c r="I598" t="s">
        <v>12102</v>
      </c>
      <c r="J598" t="s">
        <v>12103</v>
      </c>
      <c r="K598" t="s">
        <v>74</v>
      </c>
      <c r="L598" t="s">
        <v>74</v>
      </c>
      <c r="M598" t="s">
        <v>78</v>
      </c>
      <c r="N598" t="s">
        <v>115</v>
      </c>
      <c r="O598" t="s">
        <v>12104</v>
      </c>
      <c r="P598" t="s">
        <v>12105</v>
      </c>
      <c r="Q598" t="s">
        <v>11695</v>
      </c>
      <c r="R598" t="s">
        <v>12106</v>
      </c>
      <c r="S598" t="s">
        <v>74</v>
      </c>
      <c r="T598" t="s">
        <v>74</v>
      </c>
      <c r="U598" t="s">
        <v>74</v>
      </c>
      <c r="V598" t="s">
        <v>12107</v>
      </c>
      <c r="W598" t="s">
        <v>12108</v>
      </c>
      <c r="X598" t="s">
        <v>12109</v>
      </c>
      <c r="Y598" t="s">
        <v>12110</v>
      </c>
      <c r="Z598" t="s">
        <v>12111</v>
      </c>
      <c r="AA598" t="s">
        <v>12112</v>
      </c>
      <c r="AB598" t="s">
        <v>74</v>
      </c>
      <c r="AC598" t="s">
        <v>74</v>
      </c>
      <c r="AD598" t="s">
        <v>74</v>
      </c>
      <c r="AE598" t="s">
        <v>74</v>
      </c>
      <c r="AF598" t="s">
        <v>74</v>
      </c>
      <c r="AG598">
        <v>18</v>
      </c>
      <c r="AH598">
        <v>0</v>
      </c>
      <c r="AI598">
        <v>0</v>
      </c>
      <c r="AJ598">
        <v>0</v>
      </c>
      <c r="AK598">
        <v>3</v>
      </c>
      <c r="AL598" t="s">
        <v>465</v>
      </c>
      <c r="AM598" t="s">
        <v>92</v>
      </c>
      <c r="AN598" t="s">
        <v>480</v>
      </c>
      <c r="AO598" t="s">
        <v>74</v>
      </c>
      <c r="AP598" t="s">
        <v>74</v>
      </c>
      <c r="AQ598" t="s">
        <v>12113</v>
      </c>
      <c r="AR598" t="s">
        <v>74</v>
      </c>
      <c r="AS598" t="s">
        <v>74</v>
      </c>
      <c r="AT598" t="s">
        <v>74</v>
      </c>
      <c r="AU598">
        <v>2013</v>
      </c>
      <c r="AV598" t="s">
        <v>74</v>
      </c>
      <c r="AW598" t="s">
        <v>74</v>
      </c>
      <c r="AX598" t="s">
        <v>74</v>
      </c>
      <c r="AY598" t="s">
        <v>74</v>
      </c>
      <c r="AZ598" t="s">
        <v>74</v>
      </c>
      <c r="BA598" t="s">
        <v>74</v>
      </c>
      <c r="BB598">
        <v>2362</v>
      </c>
      <c r="BC598">
        <v>2367</v>
      </c>
      <c r="BD598" t="s">
        <v>74</v>
      </c>
      <c r="BE598" t="s">
        <v>12114</v>
      </c>
      <c r="BF598" t="str">
        <f>HYPERLINK("http://dx.doi.org/10.1109/HPCC.and.EUC.2013.340","http://dx.doi.org/10.1109/HPCC.and.EUC.2013.340")</f>
        <v>http://dx.doi.org/10.1109/HPCC.and.EUC.2013.340</v>
      </c>
      <c r="BG598" t="s">
        <v>74</v>
      </c>
      <c r="BH598" t="s">
        <v>74</v>
      </c>
      <c r="BI598">
        <v>6</v>
      </c>
      <c r="BJ598" t="s">
        <v>6862</v>
      </c>
      <c r="BK598" t="s">
        <v>203</v>
      </c>
      <c r="BL598" t="s">
        <v>953</v>
      </c>
      <c r="BM598" t="s">
        <v>12115</v>
      </c>
      <c r="BN598" t="s">
        <v>74</v>
      </c>
      <c r="BO598" t="s">
        <v>74</v>
      </c>
      <c r="BP598" t="s">
        <v>74</v>
      </c>
      <c r="BQ598" t="s">
        <v>74</v>
      </c>
      <c r="BR598" t="s">
        <v>106</v>
      </c>
      <c r="BS598" t="s">
        <v>12116</v>
      </c>
      <c r="BT598" t="str">
        <f>HYPERLINK("https%3A%2F%2Fwww.webofscience.com%2Fwos%2Fwoscc%2Ffull-record%2FWOS:000356716900331","View Full Record in Web of Science")</f>
        <v>View Full Record in Web of Science</v>
      </c>
    </row>
    <row r="599" spans="1:72" x14ac:dyDescent="0.25">
      <c r="A599" t="s">
        <v>108</v>
      </c>
      <c r="B599" t="s">
        <v>12117</v>
      </c>
      <c r="C599" t="s">
        <v>74</v>
      </c>
      <c r="D599" t="s">
        <v>74</v>
      </c>
      <c r="E599" t="s">
        <v>322</v>
      </c>
      <c r="F599" t="s">
        <v>12118</v>
      </c>
      <c r="G599" t="s">
        <v>74</v>
      </c>
      <c r="H599" t="s">
        <v>74</v>
      </c>
      <c r="I599" t="s">
        <v>12119</v>
      </c>
      <c r="J599" t="s">
        <v>12120</v>
      </c>
      <c r="K599" t="s">
        <v>74</v>
      </c>
      <c r="L599" t="s">
        <v>74</v>
      </c>
      <c r="M599" t="s">
        <v>78</v>
      </c>
      <c r="N599" t="s">
        <v>115</v>
      </c>
      <c r="O599" t="s">
        <v>12121</v>
      </c>
      <c r="P599" t="s">
        <v>12122</v>
      </c>
      <c r="Q599" t="s">
        <v>12123</v>
      </c>
      <c r="R599" t="s">
        <v>12124</v>
      </c>
      <c r="S599" t="s">
        <v>74</v>
      </c>
      <c r="T599" t="s">
        <v>74</v>
      </c>
      <c r="U599" t="s">
        <v>74</v>
      </c>
      <c r="V599" t="s">
        <v>12125</v>
      </c>
      <c r="W599" t="s">
        <v>12126</v>
      </c>
      <c r="X599" t="s">
        <v>12127</v>
      </c>
      <c r="Y599" t="s">
        <v>12128</v>
      </c>
      <c r="Z599" t="s">
        <v>12129</v>
      </c>
      <c r="AA599" t="s">
        <v>12130</v>
      </c>
      <c r="AB599" t="s">
        <v>12131</v>
      </c>
      <c r="AC599" t="s">
        <v>74</v>
      </c>
      <c r="AD599" t="s">
        <v>74</v>
      </c>
      <c r="AE599" t="s">
        <v>74</v>
      </c>
      <c r="AF599" t="s">
        <v>74</v>
      </c>
      <c r="AG599">
        <v>60</v>
      </c>
      <c r="AH599">
        <v>2</v>
      </c>
      <c r="AI599">
        <v>5</v>
      </c>
      <c r="AJ599">
        <v>0</v>
      </c>
      <c r="AK599">
        <v>3</v>
      </c>
      <c r="AL599" t="s">
        <v>291</v>
      </c>
      <c r="AM599" t="s">
        <v>92</v>
      </c>
      <c r="AN599" t="s">
        <v>292</v>
      </c>
      <c r="AO599" t="s">
        <v>74</v>
      </c>
      <c r="AP599" t="s">
        <v>74</v>
      </c>
      <c r="AQ599" t="s">
        <v>12132</v>
      </c>
      <c r="AR599" t="s">
        <v>74</v>
      </c>
      <c r="AS599" t="s">
        <v>74</v>
      </c>
      <c r="AT599" t="s">
        <v>74</v>
      </c>
      <c r="AU599">
        <v>2018</v>
      </c>
      <c r="AV599" t="s">
        <v>74</v>
      </c>
      <c r="AW599" t="s">
        <v>74</v>
      </c>
      <c r="AX599" t="s">
        <v>74</v>
      </c>
      <c r="AY599" t="s">
        <v>74</v>
      </c>
      <c r="AZ599" t="s">
        <v>74</v>
      </c>
      <c r="BA599" t="s">
        <v>74</v>
      </c>
      <c r="BB599">
        <v>1</v>
      </c>
      <c r="BC599">
        <v>13</v>
      </c>
      <c r="BD599" t="s">
        <v>74</v>
      </c>
      <c r="BE599" t="s">
        <v>12133</v>
      </c>
      <c r="BF599" t="str">
        <f>HYPERLINK("http://dx.doi.org/10.1145/3267323.3268955","http://dx.doi.org/10.1145/3267323.3268955")</f>
        <v>http://dx.doi.org/10.1145/3267323.3268955</v>
      </c>
      <c r="BG599" t="s">
        <v>74</v>
      </c>
      <c r="BH599" t="s">
        <v>74</v>
      </c>
      <c r="BI599">
        <v>13</v>
      </c>
      <c r="BJ599" t="s">
        <v>972</v>
      </c>
      <c r="BK599" t="s">
        <v>203</v>
      </c>
      <c r="BL599" t="s">
        <v>953</v>
      </c>
      <c r="BM599" t="s">
        <v>12134</v>
      </c>
      <c r="BN599" t="s">
        <v>74</v>
      </c>
      <c r="BO599" t="s">
        <v>74</v>
      </c>
      <c r="BP599" t="s">
        <v>74</v>
      </c>
      <c r="BQ599" t="s">
        <v>74</v>
      </c>
      <c r="BR599" t="s">
        <v>106</v>
      </c>
      <c r="BS599" t="s">
        <v>12135</v>
      </c>
      <c r="BT599" t="str">
        <f>HYPERLINK("https%3A%2F%2Fwww.webofscience.com%2Fwos%2Fwoscc%2Ffull-record%2FWOS:000458177600001","View Full Record in Web of Science")</f>
        <v>View Full Record in Web of Science</v>
      </c>
    </row>
    <row r="600" spans="1:72" x14ac:dyDescent="0.25">
      <c r="A600" t="s">
        <v>108</v>
      </c>
      <c r="B600" t="s">
        <v>12136</v>
      </c>
      <c r="C600" t="s">
        <v>74</v>
      </c>
      <c r="D600" t="s">
        <v>74</v>
      </c>
      <c r="E600" t="s">
        <v>291</v>
      </c>
      <c r="F600" t="s">
        <v>12137</v>
      </c>
      <c r="G600" t="s">
        <v>74</v>
      </c>
      <c r="H600" t="s">
        <v>74</v>
      </c>
      <c r="I600" t="s">
        <v>12138</v>
      </c>
      <c r="J600" t="s">
        <v>12139</v>
      </c>
      <c r="K600" t="s">
        <v>74</v>
      </c>
      <c r="L600" t="s">
        <v>74</v>
      </c>
      <c r="M600" t="s">
        <v>78</v>
      </c>
      <c r="N600" t="s">
        <v>115</v>
      </c>
      <c r="O600" t="s">
        <v>12140</v>
      </c>
      <c r="P600" t="s">
        <v>12141</v>
      </c>
      <c r="Q600" t="s">
        <v>817</v>
      </c>
      <c r="R600" t="s">
        <v>74</v>
      </c>
      <c r="S600" t="s">
        <v>74</v>
      </c>
      <c r="T600" t="s">
        <v>12142</v>
      </c>
      <c r="U600" t="s">
        <v>74</v>
      </c>
      <c r="V600" t="s">
        <v>12143</v>
      </c>
      <c r="W600" t="s">
        <v>12144</v>
      </c>
      <c r="X600" t="s">
        <v>12145</v>
      </c>
      <c r="Y600" t="s">
        <v>12146</v>
      </c>
      <c r="Z600" t="s">
        <v>12147</v>
      </c>
      <c r="AA600" t="s">
        <v>74</v>
      </c>
      <c r="AB600" t="s">
        <v>12148</v>
      </c>
      <c r="AC600" t="s">
        <v>12149</v>
      </c>
      <c r="AD600" t="s">
        <v>12150</v>
      </c>
      <c r="AE600" t="s">
        <v>12151</v>
      </c>
      <c r="AF600" t="s">
        <v>74</v>
      </c>
      <c r="AG600">
        <v>25</v>
      </c>
      <c r="AH600">
        <v>2</v>
      </c>
      <c r="AI600">
        <v>2</v>
      </c>
      <c r="AJ600">
        <v>0</v>
      </c>
      <c r="AK600">
        <v>1</v>
      </c>
      <c r="AL600" t="s">
        <v>291</v>
      </c>
      <c r="AM600" t="s">
        <v>92</v>
      </c>
      <c r="AN600" t="s">
        <v>341</v>
      </c>
      <c r="AO600" t="s">
        <v>74</v>
      </c>
      <c r="AP600" t="s">
        <v>74</v>
      </c>
      <c r="AQ600" t="s">
        <v>12152</v>
      </c>
      <c r="AR600" t="s">
        <v>74</v>
      </c>
      <c r="AS600" t="s">
        <v>74</v>
      </c>
      <c r="AT600" t="s">
        <v>74</v>
      </c>
      <c r="AU600">
        <v>2024</v>
      </c>
      <c r="AV600" t="s">
        <v>74</v>
      </c>
      <c r="AW600" t="s">
        <v>74</v>
      </c>
      <c r="AX600" t="s">
        <v>74</v>
      </c>
      <c r="AY600" t="s">
        <v>74</v>
      </c>
      <c r="AZ600" t="s">
        <v>74</v>
      </c>
      <c r="BA600" t="s">
        <v>74</v>
      </c>
      <c r="BB600">
        <v>49</v>
      </c>
      <c r="BC600">
        <v>55</v>
      </c>
      <c r="BD600" t="s">
        <v>74</v>
      </c>
      <c r="BE600" t="s">
        <v>12153</v>
      </c>
      <c r="BF600" t="str">
        <f>HYPERLINK("http://dx.doi.org/10.1145/3695719.3695727","http://dx.doi.org/10.1145/3695719.3695727")</f>
        <v>http://dx.doi.org/10.1145/3695719.3695727</v>
      </c>
      <c r="BG600" t="s">
        <v>74</v>
      </c>
      <c r="BH600" t="s">
        <v>74</v>
      </c>
      <c r="BI600">
        <v>7</v>
      </c>
      <c r="BJ600" t="s">
        <v>74</v>
      </c>
      <c r="BK600" t="s">
        <v>203</v>
      </c>
      <c r="BL600" t="s">
        <v>74</v>
      </c>
      <c r="BM600" t="s">
        <v>12154</v>
      </c>
      <c r="BN600" t="s">
        <v>74</v>
      </c>
      <c r="BO600" t="s">
        <v>74</v>
      </c>
      <c r="BP600" t="s">
        <v>74</v>
      </c>
      <c r="BQ600" t="s">
        <v>74</v>
      </c>
      <c r="BR600" t="s">
        <v>106</v>
      </c>
      <c r="BS600" t="s">
        <v>12155</v>
      </c>
      <c r="BT600" t="str">
        <f>HYPERLINK("https%3A%2F%2Fwww.webofscience.com%2Fwos%2Fwoscc%2Ffull-record%2FWOS:001416150200008","View Full Record in Web of Science")</f>
        <v>View Full Record in Web of Science</v>
      </c>
    </row>
    <row r="601" spans="1:72" x14ac:dyDescent="0.25">
      <c r="A601" t="s">
        <v>72</v>
      </c>
      <c r="B601" t="s">
        <v>12156</v>
      </c>
      <c r="C601" t="s">
        <v>74</v>
      </c>
      <c r="D601" t="s">
        <v>74</v>
      </c>
      <c r="E601" t="s">
        <v>74</v>
      </c>
      <c r="F601" t="s">
        <v>12157</v>
      </c>
      <c r="G601" t="s">
        <v>74</v>
      </c>
      <c r="H601" t="s">
        <v>74</v>
      </c>
      <c r="I601" t="s">
        <v>12158</v>
      </c>
      <c r="J601" t="s">
        <v>12159</v>
      </c>
      <c r="K601" t="s">
        <v>74</v>
      </c>
      <c r="L601" t="s">
        <v>74</v>
      </c>
      <c r="M601" t="s">
        <v>78</v>
      </c>
      <c r="N601" t="s">
        <v>10845</v>
      </c>
      <c r="O601" t="s">
        <v>74</v>
      </c>
      <c r="P601" t="s">
        <v>74</v>
      </c>
      <c r="Q601" t="s">
        <v>74</v>
      </c>
      <c r="R601" t="s">
        <v>74</v>
      </c>
      <c r="S601" t="s">
        <v>74</v>
      </c>
      <c r="T601" t="s">
        <v>12160</v>
      </c>
      <c r="U601" t="s">
        <v>74</v>
      </c>
      <c r="V601" t="s">
        <v>12161</v>
      </c>
      <c r="W601" t="s">
        <v>12162</v>
      </c>
      <c r="X601" t="s">
        <v>11590</v>
      </c>
      <c r="Y601" t="s">
        <v>12163</v>
      </c>
      <c r="Z601" t="s">
        <v>12164</v>
      </c>
      <c r="AA601" t="s">
        <v>12165</v>
      </c>
      <c r="AB601" t="s">
        <v>74</v>
      </c>
      <c r="AC601" t="s">
        <v>12166</v>
      </c>
      <c r="AD601" t="s">
        <v>12167</v>
      </c>
      <c r="AE601" t="s">
        <v>12168</v>
      </c>
      <c r="AF601" t="s">
        <v>74</v>
      </c>
      <c r="AG601">
        <v>40</v>
      </c>
      <c r="AH601">
        <v>1</v>
      </c>
      <c r="AI601">
        <v>1</v>
      </c>
      <c r="AJ601">
        <v>2</v>
      </c>
      <c r="AK601">
        <v>2</v>
      </c>
      <c r="AL601" t="s">
        <v>2946</v>
      </c>
      <c r="AM601" t="s">
        <v>2947</v>
      </c>
      <c r="AN601" t="s">
        <v>2948</v>
      </c>
      <c r="AO601" t="s">
        <v>12169</v>
      </c>
      <c r="AP601" t="s">
        <v>12170</v>
      </c>
      <c r="AQ601" t="s">
        <v>74</v>
      </c>
      <c r="AR601" t="s">
        <v>12171</v>
      </c>
      <c r="AS601" t="s">
        <v>12172</v>
      </c>
      <c r="AT601" t="s">
        <v>12173</v>
      </c>
      <c r="AU601">
        <v>2026</v>
      </c>
      <c r="AV601" t="s">
        <v>74</v>
      </c>
      <c r="AW601" t="s">
        <v>74</v>
      </c>
      <c r="AX601" t="s">
        <v>74</v>
      </c>
      <c r="AY601" t="s">
        <v>74</v>
      </c>
      <c r="AZ601" t="s">
        <v>74</v>
      </c>
      <c r="BA601" t="s">
        <v>74</v>
      </c>
      <c r="BB601" t="s">
        <v>74</v>
      </c>
      <c r="BC601" t="s">
        <v>74</v>
      </c>
      <c r="BD601" t="s">
        <v>74</v>
      </c>
      <c r="BE601" t="s">
        <v>12174</v>
      </c>
      <c r="BF601" t="str">
        <f>HYPERLINK("http://dx.doi.org/10.1108/ECAM-11-2025-1833","http://dx.doi.org/10.1108/ECAM-11-2025-1833")</f>
        <v>http://dx.doi.org/10.1108/ECAM-11-2025-1833</v>
      </c>
      <c r="BG601" t="s">
        <v>74</v>
      </c>
      <c r="BH601" t="s">
        <v>12175</v>
      </c>
      <c r="BI601">
        <v>23</v>
      </c>
      <c r="BJ601" t="s">
        <v>12176</v>
      </c>
      <c r="BK601" t="s">
        <v>745</v>
      </c>
      <c r="BL601" t="s">
        <v>12177</v>
      </c>
      <c r="BM601" t="s">
        <v>12178</v>
      </c>
      <c r="BN601" t="s">
        <v>74</v>
      </c>
      <c r="BO601" t="s">
        <v>74</v>
      </c>
      <c r="BP601" t="s">
        <v>74</v>
      </c>
      <c r="BQ601" t="s">
        <v>74</v>
      </c>
      <c r="BR601" t="s">
        <v>106</v>
      </c>
      <c r="BS601" t="s">
        <v>12179</v>
      </c>
      <c r="BT601" t="str">
        <f>HYPERLINK("https%3A%2F%2Fwww.webofscience.com%2Fwos%2Fwoscc%2Ffull-record%2FWOS:001721706100001","View Full Record in Web of Science")</f>
        <v>View Full Record in Web of Science</v>
      </c>
    </row>
    <row r="602" spans="1:72" x14ac:dyDescent="0.25">
      <c r="A602" t="s">
        <v>108</v>
      </c>
      <c r="B602" t="s">
        <v>12180</v>
      </c>
      <c r="C602" t="s">
        <v>74</v>
      </c>
      <c r="D602" t="s">
        <v>12181</v>
      </c>
      <c r="E602" t="s">
        <v>74</v>
      </c>
      <c r="F602" t="s">
        <v>12182</v>
      </c>
      <c r="G602" t="s">
        <v>74</v>
      </c>
      <c r="H602" t="s">
        <v>74</v>
      </c>
      <c r="I602" t="s">
        <v>12183</v>
      </c>
      <c r="J602" t="s">
        <v>12184</v>
      </c>
      <c r="K602" t="s">
        <v>12185</v>
      </c>
      <c r="L602" t="s">
        <v>74</v>
      </c>
      <c r="M602" t="s">
        <v>78</v>
      </c>
      <c r="N602" t="s">
        <v>115</v>
      </c>
      <c r="O602" t="s">
        <v>12186</v>
      </c>
      <c r="P602" t="s">
        <v>12187</v>
      </c>
      <c r="Q602" t="s">
        <v>11586</v>
      </c>
      <c r="R602" t="s">
        <v>12188</v>
      </c>
      <c r="S602" t="s">
        <v>74</v>
      </c>
      <c r="T602" t="s">
        <v>12189</v>
      </c>
      <c r="U602" t="s">
        <v>74</v>
      </c>
      <c r="V602" t="s">
        <v>12190</v>
      </c>
      <c r="W602" t="s">
        <v>12191</v>
      </c>
      <c r="X602" t="s">
        <v>74</v>
      </c>
      <c r="Y602" t="s">
        <v>12192</v>
      </c>
      <c r="Z602" t="s">
        <v>12193</v>
      </c>
      <c r="AA602" t="s">
        <v>12194</v>
      </c>
      <c r="AB602" t="s">
        <v>74</v>
      </c>
      <c r="AC602" t="s">
        <v>74</v>
      </c>
      <c r="AD602" t="s">
        <v>74</v>
      </c>
      <c r="AE602" t="s">
        <v>74</v>
      </c>
      <c r="AF602" t="s">
        <v>74</v>
      </c>
      <c r="AG602">
        <v>5</v>
      </c>
      <c r="AH602">
        <v>7</v>
      </c>
      <c r="AI602">
        <v>7</v>
      </c>
      <c r="AJ602">
        <v>0</v>
      </c>
      <c r="AK602">
        <v>4</v>
      </c>
      <c r="AL602" t="s">
        <v>2695</v>
      </c>
      <c r="AM602" t="s">
        <v>363</v>
      </c>
      <c r="AN602" t="s">
        <v>2696</v>
      </c>
      <c r="AO602" t="s">
        <v>12195</v>
      </c>
      <c r="AP602" t="s">
        <v>74</v>
      </c>
      <c r="AQ602" t="s">
        <v>74</v>
      </c>
      <c r="AR602" t="s">
        <v>12196</v>
      </c>
      <c r="AS602" t="s">
        <v>74</v>
      </c>
      <c r="AT602" t="s">
        <v>74</v>
      </c>
      <c r="AU602">
        <v>2012</v>
      </c>
      <c r="AV602">
        <v>29</v>
      </c>
      <c r="AW602" t="s">
        <v>74</v>
      </c>
      <c r="AX602" t="s">
        <v>74</v>
      </c>
      <c r="AY602" t="s">
        <v>74</v>
      </c>
      <c r="AZ602" t="s">
        <v>74</v>
      </c>
      <c r="BA602" t="s">
        <v>74</v>
      </c>
      <c r="BB602">
        <v>721</v>
      </c>
      <c r="BC602">
        <v>725</v>
      </c>
      <c r="BD602" t="s">
        <v>74</v>
      </c>
      <c r="BE602" t="s">
        <v>12197</v>
      </c>
      <c r="BF602" t="str">
        <f>HYPERLINK("http://dx.doi.org/10.1016/j.proeng.2012.01.030","http://dx.doi.org/10.1016/j.proeng.2012.01.030")</f>
        <v>http://dx.doi.org/10.1016/j.proeng.2012.01.030</v>
      </c>
      <c r="BG602" t="s">
        <v>74</v>
      </c>
      <c r="BH602" t="s">
        <v>74</v>
      </c>
      <c r="BI602">
        <v>5</v>
      </c>
      <c r="BJ602" t="s">
        <v>12198</v>
      </c>
      <c r="BK602" t="s">
        <v>203</v>
      </c>
      <c r="BL602" t="s">
        <v>1737</v>
      </c>
      <c r="BM602" t="s">
        <v>12199</v>
      </c>
      <c r="BN602" t="s">
        <v>74</v>
      </c>
      <c r="BO602" t="s">
        <v>372</v>
      </c>
      <c r="BP602" t="s">
        <v>74</v>
      </c>
      <c r="BQ602" t="s">
        <v>74</v>
      </c>
      <c r="BR602" t="s">
        <v>106</v>
      </c>
      <c r="BS602" t="s">
        <v>12200</v>
      </c>
      <c r="BT602" t="str">
        <f>HYPERLINK("https%3A%2F%2Fwww.webofscience.com%2Fwos%2Fwoscc%2Ffull-record%2FWOS:000314346400131","View Full Record in Web of Science")</f>
        <v>View Full Record in Web of Science</v>
      </c>
    </row>
    <row r="603" spans="1:72" x14ac:dyDescent="0.25">
      <c r="A603" t="s">
        <v>72</v>
      </c>
      <c r="B603" t="s">
        <v>12201</v>
      </c>
      <c r="C603" t="s">
        <v>74</v>
      </c>
      <c r="D603" t="s">
        <v>74</v>
      </c>
      <c r="E603" t="s">
        <v>74</v>
      </c>
      <c r="F603" t="s">
        <v>12202</v>
      </c>
      <c r="G603" t="s">
        <v>74</v>
      </c>
      <c r="H603" t="s">
        <v>74</v>
      </c>
      <c r="I603" t="s">
        <v>12203</v>
      </c>
      <c r="J603" t="s">
        <v>3418</v>
      </c>
      <c r="K603" t="s">
        <v>74</v>
      </c>
      <c r="L603" t="s">
        <v>74</v>
      </c>
      <c r="M603" t="s">
        <v>78</v>
      </c>
      <c r="N603" t="s">
        <v>79</v>
      </c>
      <c r="O603" t="s">
        <v>74</v>
      </c>
      <c r="P603" t="s">
        <v>74</v>
      </c>
      <c r="Q603" t="s">
        <v>74</v>
      </c>
      <c r="R603" t="s">
        <v>74</v>
      </c>
      <c r="S603" t="s">
        <v>74</v>
      </c>
      <c r="T603" t="s">
        <v>12204</v>
      </c>
      <c r="U603" t="s">
        <v>74</v>
      </c>
      <c r="V603" t="s">
        <v>12205</v>
      </c>
      <c r="W603" t="s">
        <v>12206</v>
      </c>
      <c r="X603" t="s">
        <v>12207</v>
      </c>
      <c r="Y603" t="s">
        <v>12208</v>
      </c>
      <c r="Z603" t="s">
        <v>12209</v>
      </c>
      <c r="AA603" t="s">
        <v>12210</v>
      </c>
      <c r="AB603" t="s">
        <v>12211</v>
      </c>
      <c r="AC603" t="s">
        <v>74</v>
      </c>
      <c r="AD603" t="s">
        <v>74</v>
      </c>
      <c r="AE603" t="s">
        <v>74</v>
      </c>
      <c r="AF603" t="s">
        <v>74</v>
      </c>
      <c r="AG603">
        <v>49</v>
      </c>
      <c r="AH603">
        <v>8</v>
      </c>
      <c r="AI603">
        <v>10</v>
      </c>
      <c r="AJ603">
        <v>0</v>
      </c>
      <c r="AK603">
        <v>3</v>
      </c>
      <c r="AL603" t="s">
        <v>3427</v>
      </c>
      <c r="AM603" t="s">
        <v>3769</v>
      </c>
      <c r="AN603" t="s">
        <v>3770</v>
      </c>
      <c r="AO603" t="s">
        <v>3430</v>
      </c>
      <c r="AP603" t="s">
        <v>3431</v>
      </c>
      <c r="AQ603" t="s">
        <v>74</v>
      </c>
      <c r="AR603" t="s">
        <v>3432</v>
      </c>
      <c r="AS603" t="s">
        <v>3433</v>
      </c>
      <c r="AT603" t="s">
        <v>12212</v>
      </c>
      <c r="AU603">
        <v>2020</v>
      </c>
      <c r="AV603">
        <v>10</v>
      </c>
      <c r="AW603">
        <v>1</v>
      </c>
      <c r="AX603" t="s">
        <v>74</v>
      </c>
      <c r="AY603" t="s">
        <v>74</v>
      </c>
      <c r="AZ603" t="s">
        <v>74</v>
      </c>
      <c r="BA603" t="s">
        <v>74</v>
      </c>
      <c r="BB603" t="s">
        <v>74</v>
      </c>
      <c r="BC603" t="s">
        <v>74</v>
      </c>
      <c r="BD603">
        <v>16</v>
      </c>
      <c r="BE603" t="s">
        <v>12213</v>
      </c>
      <c r="BF603" t="str">
        <f>HYPERLINK("http://dx.doi.org/10.1007/s13278-020-0628-0","http://dx.doi.org/10.1007/s13278-020-0628-0")</f>
        <v>http://dx.doi.org/10.1007/s13278-020-0628-0</v>
      </c>
      <c r="BG603" t="s">
        <v>74</v>
      </c>
      <c r="BH603" t="s">
        <v>74</v>
      </c>
      <c r="BI603">
        <v>15</v>
      </c>
      <c r="BJ603" t="s">
        <v>852</v>
      </c>
      <c r="BK603" t="s">
        <v>102</v>
      </c>
      <c r="BL603" t="s">
        <v>103</v>
      </c>
      <c r="BM603" t="s">
        <v>12214</v>
      </c>
      <c r="BN603" t="s">
        <v>74</v>
      </c>
      <c r="BO603" t="s">
        <v>74</v>
      </c>
      <c r="BP603" t="s">
        <v>74</v>
      </c>
      <c r="BQ603" t="s">
        <v>74</v>
      </c>
      <c r="BR603" t="s">
        <v>106</v>
      </c>
      <c r="BS603" t="s">
        <v>12215</v>
      </c>
      <c r="BT603" t="str">
        <f>HYPERLINK("https%3A%2F%2Fwww.webofscience.com%2Fwos%2Fwoscc%2Ffull-record%2FWOS:000520938200002","View Full Record in Web of Science")</f>
        <v>View Full Record in Web of Science</v>
      </c>
    </row>
    <row r="604" spans="1:72" x14ac:dyDescent="0.25">
      <c r="A604" t="s">
        <v>2400</v>
      </c>
      <c r="B604" t="s">
        <v>12216</v>
      </c>
      <c r="C604" t="s">
        <v>74</v>
      </c>
      <c r="D604" t="s">
        <v>12217</v>
      </c>
      <c r="E604" t="s">
        <v>74</v>
      </c>
      <c r="F604" t="s">
        <v>12216</v>
      </c>
      <c r="G604" t="s">
        <v>74</v>
      </c>
      <c r="H604" t="s">
        <v>74</v>
      </c>
      <c r="I604" t="s">
        <v>12218</v>
      </c>
      <c r="J604" t="s">
        <v>12219</v>
      </c>
      <c r="K604" t="s">
        <v>147</v>
      </c>
      <c r="L604" t="s">
        <v>74</v>
      </c>
      <c r="M604" t="s">
        <v>78</v>
      </c>
      <c r="N604" t="s">
        <v>7584</v>
      </c>
      <c r="O604" t="s">
        <v>12220</v>
      </c>
      <c r="P604" t="s">
        <v>12221</v>
      </c>
      <c r="Q604" t="s">
        <v>12222</v>
      </c>
      <c r="R604" t="s">
        <v>74</v>
      </c>
      <c r="S604" t="s">
        <v>74</v>
      </c>
      <c r="T604" t="s">
        <v>74</v>
      </c>
      <c r="U604" t="s">
        <v>74</v>
      </c>
      <c r="V604" t="s">
        <v>12223</v>
      </c>
      <c r="W604" t="s">
        <v>12224</v>
      </c>
      <c r="X604" t="s">
        <v>5473</v>
      </c>
      <c r="Y604" t="s">
        <v>12225</v>
      </c>
      <c r="Z604" t="s">
        <v>12226</v>
      </c>
      <c r="AA604" t="s">
        <v>74</v>
      </c>
      <c r="AB604" t="s">
        <v>74</v>
      </c>
      <c r="AC604" t="s">
        <v>74</v>
      </c>
      <c r="AD604" t="s">
        <v>74</v>
      </c>
      <c r="AE604" t="s">
        <v>74</v>
      </c>
      <c r="AF604" t="s">
        <v>74</v>
      </c>
      <c r="AG604">
        <v>9</v>
      </c>
      <c r="AH604">
        <v>0</v>
      </c>
      <c r="AI604">
        <v>1</v>
      </c>
      <c r="AJ604">
        <v>0</v>
      </c>
      <c r="AK604">
        <v>0</v>
      </c>
      <c r="AL604" t="s">
        <v>197</v>
      </c>
      <c r="AM604" t="s">
        <v>198</v>
      </c>
      <c r="AN604" t="s">
        <v>199</v>
      </c>
      <c r="AO604" t="s">
        <v>159</v>
      </c>
      <c r="AP604" t="s">
        <v>133</v>
      </c>
      <c r="AQ604" t="s">
        <v>12227</v>
      </c>
      <c r="AR604" t="s">
        <v>161</v>
      </c>
      <c r="AS604" t="s">
        <v>74</v>
      </c>
      <c r="AT604" t="s">
        <v>74</v>
      </c>
      <c r="AU604">
        <v>2005</v>
      </c>
      <c r="AV604">
        <v>3686</v>
      </c>
      <c r="AW604" t="s">
        <v>74</v>
      </c>
      <c r="AX604" t="s">
        <v>74</v>
      </c>
      <c r="AY604" t="s">
        <v>74</v>
      </c>
      <c r="AZ604" t="s">
        <v>74</v>
      </c>
      <c r="BA604" t="s">
        <v>74</v>
      </c>
      <c r="BB604">
        <v>363</v>
      </c>
      <c r="BC604">
        <v>370</v>
      </c>
      <c r="BD604" t="s">
        <v>74</v>
      </c>
      <c r="BE604" t="s">
        <v>74</v>
      </c>
      <c r="BF604" t="s">
        <v>74</v>
      </c>
      <c r="BG604" t="s">
        <v>74</v>
      </c>
      <c r="BH604" t="s">
        <v>74</v>
      </c>
      <c r="BI604">
        <v>8</v>
      </c>
      <c r="BJ604" t="s">
        <v>1399</v>
      </c>
      <c r="BK604" t="s">
        <v>12228</v>
      </c>
      <c r="BL604" t="s">
        <v>103</v>
      </c>
      <c r="BM604" t="s">
        <v>12229</v>
      </c>
      <c r="BN604" t="s">
        <v>74</v>
      </c>
      <c r="BO604" t="s">
        <v>74</v>
      </c>
      <c r="BP604" t="s">
        <v>74</v>
      </c>
      <c r="BQ604" t="s">
        <v>74</v>
      </c>
      <c r="BR604" t="s">
        <v>106</v>
      </c>
      <c r="BS604" t="s">
        <v>12230</v>
      </c>
      <c r="BT604" t="str">
        <f>HYPERLINK("https%3A%2F%2Fwww.webofscience.com%2Fwos%2Fwoscc%2Ffull-record%2FWOS:000232247900039","View Full Record in Web of Science")</f>
        <v>View Full Record in Web of Science</v>
      </c>
    </row>
    <row r="605" spans="1:72" x14ac:dyDescent="0.25">
      <c r="A605" t="s">
        <v>72</v>
      </c>
      <c r="B605" t="s">
        <v>12231</v>
      </c>
      <c r="C605" t="s">
        <v>74</v>
      </c>
      <c r="D605" t="s">
        <v>74</v>
      </c>
      <c r="E605" t="s">
        <v>74</v>
      </c>
      <c r="F605" t="s">
        <v>12232</v>
      </c>
      <c r="G605" t="s">
        <v>74</v>
      </c>
      <c r="H605" t="s">
        <v>74</v>
      </c>
      <c r="I605" t="s">
        <v>12233</v>
      </c>
      <c r="J605" t="s">
        <v>12234</v>
      </c>
      <c r="K605" t="s">
        <v>74</v>
      </c>
      <c r="L605" t="s">
        <v>74</v>
      </c>
      <c r="M605" t="s">
        <v>78</v>
      </c>
      <c r="N605" t="s">
        <v>79</v>
      </c>
      <c r="O605" t="s">
        <v>74</v>
      </c>
      <c r="P605" t="s">
        <v>74</v>
      </c>
      <c r="Q605" t="s">
        <v>74</v>
      </c>
      <c r="R605" t="s">
        <v>74</v>
      </c>
      <c r="S605" t="s">
        <v>74</v>
      </c>
      <c r="T605" t="s">
        <v>12235</v>
      </c>
      <c r="U605" t="s">
        <v>12236</v>
      </c>
      <c r="V605" t="s">
        <v>12237</v>
      </c>
      <c r="W605" t="s">
        <v>12238</v>
      </c>
      <c r="X605" t="s">
        <v>12239</v>
      </c>
      <c r="Y605" t="s">
        <v>12240</v>
      </c>
      <c r="Z605" t="s">
        <v>12241</v>
      </c>
      <c r="AA605" t="s">
        <v>12242</v>
      </c>
      <c r="AB605" t="s">
        <v>12243</v>
      </c>
      <c r="AC605" t="s">
        <v>12244</v>
      </c>
      <c r="AD605" t="s">
        <v>12245</v>
      </c>
      <c r="AE605" t="s">
        <v>12246</v>
      </c>
      <c r="AF605" t="s">
        <v>74</v>
      </c>
      <c r="AG605">
        <v>79</v>
      </c>
      <c r="AH605">
        <v>3</v>
      </c>
      <c r="AI605">
        <v>6</v>
      </c>
      <c r="AJ605">
        <v>8</v>
      </c>
      <c r="AK605">
        <v>23</v>
      </c>
      <c r="AL605" t="s">
        <v>1272</v>
      </c>
      <c r="AM605" t="s">
        <v>1273</v>
      </c>
      <c r="AN605" t="s">
        <v>1274</v>
      </c>
      <c r="AO605" t="s">
        <v>74</v>
      </c>
      <c r="AP605" t="s">
        <v>12247</v>
      </c>
      <c r="AQ605" t="s">
        <v>74</v>
      </c>
      <c r="AR605" t="s">
        <v>12248</v>
      </c>
      <c r="AS605" t="s">
        <v>12249</v>
      </c>
      <c r="AT605" t="s">
        <v>12250</v>
      </c>
      <c r="AU605">
        <v>2025</v>
      </c>
      <c r="AV605">
        <v>17</v>
      </c>
      <c r="AW605">
        <v>14</v>
      </c>
      <c r="AX605" t="s">
        <v>74</v>
      </c>
      <c r="AY605" t="s">
        <v>74</v>
      </c>
      <c r="AZ605" t="s">
        <v>74</v>
      </c>
      <c r="BA605" t="s">
        <v>74</v>
      </c>
      <c r="BB605" t="s">
        <v>74</v>
      </c>
      <c r="BC605" t="s">
        <v>74</v>
      </c>
      <c r="BD605">
        <v>6257</v>
      </c>
      <c r="BE605" t="s">
        <v>12251</v>
      </c>
      <c r="BF605" t="str">
        <f>HYPERLINK("http://dx.doi.org/10.3390/su17146257","http://dx.doi.org/10.3390/su17146257")</f>
        <v>http://dx.doi.org/10.3390/su17146257</v>
      </c>
      <c r="BG605" t="s">
        <v>74</v>
      </c>
      <c r="BH605" t="s">
        <v>74</v>
      </c>
      <c r="BI605">
        <v>18</v>
      </c>
      <c r="BJ605" t="s">
        <v>12252</v>
      </c>
      <c r="BK605" t="s">
        <v>745</v>
      </c>
      <c r="BL605" t="s">
        <v>10608</v>
      </c>
      <c r="BM605" t="s">
        <v>12253</v>
      </c>
      <c r="BN605" t="s">
        <v>74</v>
      </c>
      <c r="BO605" t="s">
        <v>372</v>
      </c>
      <c r="BP605" t="s">
        <v>74</v>
      </c>
      <c r="BQ605" t="s">
        <v>74</v>
      </c>
      <c r="BR605" t="s">
        <v>106</v>
      </c>
      <c r="BS605" t="s">
        <v>12254</v>
      </c>
      <c r="BT605" t="str">
        <f>HYPERLINK("https%3A%2F%2Fwww.webofscience.com%2Fwos%2Fwoscc%2Ffull-record%2FWOS:001536845500001","View Full Record in Web of Science")</f>
        <v>View Full Record in Web of Science</v>
      </c>
    </row>
    <row r="606" spans="1:72" x14ac:dyDescent="0.25">
      <c r="A606" t="s">
        <v>108</v>
      </c>
      <c r="B606" t="s">
        <v>12255</v>
      </c>
      <c r="C606" t="s">
        <v>74</v>
      </c>
      <c r="D606" t="s">
        <v>74</v>
      </c>
      <c r="E606" t="s">
        <v>322</v>
      </c>
      <c r="F606" t="s">
        <v>12256</v>
      </c>
      <c r="G606" t="s">
        <v>74</v>
      </c>
      <c r="H606" t="s">
        <v>74</v>
      </c>
      <c r="I606" t="s">
        <v>12257</v>
      </c>
      <c r="J606" t="s">
        <v>12258</v>
      </c>
      <c r="K606" t="s">
        <v>74</v>
      </c>
      <c r="L606" t="s">
        <v>74</v>
      </c>
      <c r="M606" t="s">
        <v>78</v>
      </c>
      <c r="N606" t="s">
        <v>115</v>
      </c>
      <c r="O606" t="s">
        <v>12259</v>
      </c>
      <c r="P606" t="s">
        <v>12260</v>
      </c>
      <c r="Q606" t="s">
        <v>12261</v>
      </c>
      <c r="R606" t="s">
        <v>2846</v>
      </c>
      <c r="S606" t="s">
        <v>12262</v>
      </c>
      <c r="T606" t="s">
        <v>12263</v>
      </c>
      <c r="U606" t="s">
        <v>7263</v>
      </c>
      <c r="V606" t="s">
        <v>12264</v>
      </c>
      <c r="W606" t="s">
        <v>12265</v>
      </c>
      <c r="X606" t="s">
        <v>12266</v>
      </c>
      <c r="Y606" t="s">
        <v>12267</v>
      </c>
      <c r="Z606" t="s">
        <v>12268</v>
      </c>
      <c r="AA606" t="s">
        <v>12269</v>
      </c>
      <c r="AB606" t="s">
        <v>12270</v>
      </c>
      <c r="AC606" t="s">
        <v>8739</v>
      </c>
      <c r="AD606" t="s">
        <v>8740</v>
      </c>
      <c r="AE606" t="s">
        <v>12271</v>
      </c>
      <c r="AF606" t="s">
        <v>74</v>
      </c>
      <c r="AG606">
        <v>21</v>
      </c>
      <c r="AH606">
        <v>9</v>
      </c>
      <c r="AI606">
        <v>9</v>
      </c>
      <c r="AJ606">
        <v>0</v>
      </c>
      <c r="AK606">
        <v>2</v>
      </c>
      <c r="AL606" t="s">
        <v>291</v>
      </c>
      <c r="AM606" t="s">
        <v>92</v>
      </c>
      <c r="AN606" t="s">
        <v>341</v>
      </c>
      <c r="AO606" t="s">
        <v>74</v>
      </c>
      <c r="AP606" t="s">
        <v>74</v>
      </c>
      <c r="AQ606" t="s">
        <v>12272</v>
      </c>
      <c r="AR606" t="s">
        <v>74</v>
      </c>
      <c r="AS606" t="s">
        <v>74</v>
      </c>
      <c r="AT606" t="s">
        <v>74</v>
      </c>
      <c r="AU606">
        <v>2021</v>
      </c>
      <c r="AV606" t="s">
        <v>74</v>
      </c>
      <c r="AW606" t="s">
        <v>74</v>
      </c>
      <c r="AX606" t="s">
        <v>74</v>
      </c>
      <c r="AY606" t="s">
        <v>74</v>
      </c>
      <c r="AZ606" t="s">
        <v>74</v>
      </c>
      <c r="BA606" t="s">
        <v>74</v>
      </c>
      <c r="BB606">
        <v>3413</v>
      </c>
      <c r="BC606">
        <v>3417</v>
      </c>
      <c r="BD606" t="s">
        <v>74</v>
      </c>
      <c r="BE606" t="s">
        <v>12273</v>
      </c>
      <c r="BF606" t="str">
        <f>HYPERLINK("http://dx.doi.org/10.1145/3459637.3482134","http://dx.doi.org/10.1145/3459637.3482134")</f>
        <v>http://dx.doi.org/10.1145/3459637.3482134</v>
      </c>
      <c r="BG606" t="s">
        <v>74</v>
      </c>
      <c r="BH606" t="s">
        <v>74</v>
      </c>
      <c r="BI606">
        <v>5</v>
      </c>
      <c r="BJ606" t="s">
        <v>852</v>
      </c>
      <c r="BK606" t="s">
        <v>203</v>
      </c>
      <c r="BL606" t="s">
        <v>103</v>
      </c>
      <c r="BM606" t="s">
        <v>12274</v>
      </c>
      <c r="BN606" t="s">
        <v>74</v>
      </c>
      <c r="BO606" t="s">
        <v>74</v>
      </c>
      <c r="BP606" t="s">
        <v>74</v>
      </c>
      <c r="BQ606" t="s">
        <v>74</v>
      </c>
      <c r="BR606" t="s">
        <v>106</v>
      </c>
      <c r="BS606" t="s">
        <v>12275</v>
      </c>
      <c r="BT606" t="str">
        <f>HYPERLINK("https%3A%2F%2Fwww.webofscience.com%2Fwos%2Fwoscc%2Ffull-record%2FWOS:001054156203090","View Full Record in Web of Science")</f>
        <v>View Full Record in Web of Science</v>
      </c>
    </row>
    <row r="607" spans="1:72" x14ac:dyDescent="0.25">
      <c r="A607" t="s">
        <v>108</v>
      </c>
      <c r="B607" t="s">
        <v>12276</v>
      </c>
      <c r="C607" t="s">
        <v>74</v>
      </c>
      <c r="D607" t="s">
        <v>12277</v>
      </c>
      <c r="E607" t="s">
        <v>74</v>
      </c>
      <c r="F607" t="s">
        <v>12278</v>
      </c>
      <c r="G607" t="s">
        <v>74</v>
      </c>
      <c r="H607" t="s">
        <v>74</v>
      </c>
      <c r="I607" t="s">
        <v>12279</v>
      </c>
      <c r="J607" t="s">
        <v>12280</v>
      </c>
      <c r="K607" t="s">
        <v>114</v>
      </c>
      <c r="L607" t="s">
        <v>74</v>
      </c>
      <c r="M607" t="s">
        <v>78</v>
      </c>
      <c r="N607" t="s">
        <v>115</v>
      </c>
      <c r="O607" t="s">
        <v>12281</v>
      </c>
      <c r="P607" t="s">
        <v>12282</v>
      </c>
      <c r="Q607" t="s">
        <v>12283</v>
      </c>
      <c r="R607" t="s">
        <v>12284</v>
      </c>
      <c r="S607" t="s">
        <v>12285</v>
      </c>
      <c r="T607" t="s">
        <v>12286</v>
      </c>
      <c r="U607" t="s">
        <v>12287</v>
      </c>
      <c r="V607" t="s">
        <v>12288</v>
      </c>
      <c r="W607" t="s">
        <v>12289</v>
      </c>
      <c r="X607" t="s">
        <v>12290</v>
      </c>
      <c r="Y607" t="s">
        <v>12291</v>
      </c>
      <c r="Z607" t="s">
        <v>12292</v>
      </c>
      <c r="AA607" t="s">
        <v>12293</v>
      </c>
      <c r="AB607" t="s">
        <v>12294</v>
      </c>
      <c r="AC607" t="s">
        <v>74</v>
      </c>
      <c r="AD607" t="s">
        <v>74</v>
      </c>
      <c r="AE607" t="s">
        <v>74</v>
      </c>
      <c r="AF607" t="s">
        <v>74</v>
      </c>
      <c r="AG607">
        <v>18</v>
      </c>
      <c r="AH607">
        <v>6</v>
      </c>
      <c r="AI607">
        <v>7</v>
      </c>
      <c r="AJ607">
        <v>0</v>
      </c>
      <c r="AK607">
        <v>1</v>
      </c>
      <c r="AL607" t="s">
        <v>197</v>
      </c>
      <c r="AM607" t="s">
        <v>198</v>
      </c>
      <c r="AN607" t="s">
        <v>199</v>
      </c>
      <c r="AO607" t="s">
        <v>159</v>
      </c>
      <c r="AP607" t="s">
        <v>74</v>
      </c>
      <c r="AQ607" t="s">
        <v>12295</v>
      </c>
      <c r="AR607" t="s">
        <v>135</v>
      </c>
      <c r="AS607" t="s">
        <v>74</v>
      </c>
      <c r="AT607" t="s">
        <v>74</v>
      </c>
      <c r="AU607">
        <v>2011</v>
      </c>
      <c r="AV607">
        <v>6934</v>
      </c>
      <c r="AW607" t="s">
        <v>74</v>
      </c>
      <c r="AX607" t="s">
        <v>74</v>
      </c>
      <c r="AY607" t="s">
        <v>74</v>
      </c>
      <c r="AZ607" t="s">
        <v>74</v>
      </c>
      <c r="BA607" t="s">
        <v>74</v>
      </c>
      <c r="BB607">
        <v>299</v>
      </c>
      <c r="BC607">
        <v>311</v>
      </c>
      <c r="BD607" t="s">
        <v>74</v>
      </c>
      <c r="BE607" t="s">
        <v>74</v>
      </c>
      <c r="BF607" t="s">
        <v>74</v>
      </c>
      <c r="BG607" t="s">
        <v>74</v>
      </c>
      <c r="BH607" t="s">
        <v>74</v>
      </c>
      <c r="BI607">
        <v>13</v>
      </c>
      <c r="BJ607" t="s">
        <v>461</v>
      </c>
      <c r="BK607" t="s">
        <v>203</v>
      </c>
      <c r="BL607" t="s">
        <v>103</v>
      </c>
      <c r="BM607" t="s">
        <v>12296</v>
      </c>
      <c r="BN607" t="s">
        <v>74</v>
      </c>
      <c r="BO607" t="s">
        <v>346</v>
      </c>
      <c r="BP607" t="s">
        <v>74</v>
      </c>
      <c r="BQ607" t="s">
        <v>74</v>
      </c>
      <c r="BR607" t="s">
        <v>106</v>
      </c>
      <c r="BS607" t="s">
        <v>12297</v>
      </c>
      <c r="BT607" t="str">
        <f>HYPERLINK("https%3A%2F%2Fwww.webofscience.com%2Fwos%2Fwoscc%2Ffull-record%2FWOS:000306943600028","View Full Record in Web of Science")</f>
        <v>View Full Record in Web of Science</v>
      </c>
    </row>
    <row r="608" spans="1:72" x14ac:dyDescent="0.25">
      <c r="A608" t="s">
        <v>108</v>
      </c>
      <c r="B608" t="s">
        <v>12298</v>
      </c>
      <c r="C608" t="s">
        <v>74</v>
      </c>
      <c r="D608" t="s">
        <v>12299</v>
      </c>
      <c r="E608" t="s">
        <v>74</v>
      </c>
      <c r="F608" t="s">
        <v>12300</v>
      </c>
      <c r="G608" t="s">
        <v>74</v>
      </c>
      <c r="H608" t="s">
        <v>74</v>
      </c>
      <c r="I608" t="s">
        <v>12301</v>
      </c>
      <c r="J608" t="s">
        <v>12302</v>
      </c>
      <c r="K608" t="s">
        <v>74</v>
      </c>
      <c r="L608" t="s">
        <v>74</v>
      </c>
      <c r="M608" t="s">
        <v>78</v>
      </c>
      <c r="N608" t="s">
        <v>115</v>
      </c>
      <c r="O608" t="s">
        <v>12303</v>
      </c>
      <c r="P608" t="s">
        <v>12304</v>
      </c>
      <c r="Q608" t="s">
        <v>12305</v>
      </c>
      <c r="R608" t="s">
        <v>12306</v>
      </c>
      <c r="S608" t="s">
        <v>12307</v>
      </c>
      <c r="T608" t="s">
        <v>12308</v>
      </c>
      <c r="U608" t="s">
        <v>74</v>
      </c>
      <c r="V608" t="s">
        <v>12309</v>
      </c>
      <c r="W608" t="s">
        <v>12310</v>
      </c>
      <c r="X608" t="s">
        <v>9246</v>
      </c>
      <c r="Y608" t="s">
        <v>12311</v>
      </c>
      <c r="Z608" t="s">
        <v>12312</v>
      </c>
      <c r="AA608" t="s">
        <v>12313</v>
      </c>
      <c r="AB608" t="s">
        <v>12314</v>
      </c>
      <c r="AC608" t="s">
        <v>74</v>
      </c>
      <c r="AD608" t="s">
        <v>74</v>
      </c>
      <c r="AE608" t="s">
        <v>74</v>
      </c>
      <c r="AF608" t="s">
        <v>74</v>
      </c>
      <c r="AG608">
        <v>13</v>
      </c>
      <c r="AH608">
        <v>7</v>
      </c>
      <c r="AI608">
        <v>7</v>
      </c>
      <c r="AJ608">
        <v>0</v>
      </c>
      <c r="AK608">
        <v>2</v>
      </c>
      <c r="AL608" t="s">
        <v>465</v>
      </c>
      <c r="AM608" t="s">
        <v>92</v>
      </c>
      <c r="AN608" t="s">
        <v>480</v>
      </c>
      <c r="AO608" t="s">
        <v>74</v>
      </c>
      <c r="AP608" t="s">
        <v>74</v>
      </c>
      <c r="AQ608" t="s">
        <v>12315</v>
      </c>
      <c r="AR608" t="s">
        <v>74</v>
      </c>
      <c r="AS608" t="s">
        <v>74</v>
      </c>
      <c r="AT608" t="s">
        <v>74</v>
      </c>
      <c r="AU608">
        <v>2018</v>
      </c>
      <c r="AV608" t="s">
        <v>74</v>
      </c>
      <c r="AW608" t="s">
        <v>74</v>
      </c>
      <c r="AX608" t="s">
        <v>74</v>
      </c>
      <c r="AY608" t="s">
        <v>74</v>
      </c>
      <c r="AZ608" t="s">
        <v>74</v>
      </c>
      <c r="BA608" t="s">
        <v>74</v>
      </c>
      <c r="BB608">
        <v>223</v>
      </c>
      <c r="BC608">
        <v>226</v>
      </c>
      <c r="BD608" t="s">
        <v>74</v>
      </c>
      <c r="BE608" t="s">
        <v>74</v>
      </c>
      <c r="BF608" t="s">
        <v>74</v>
      </c>
      <c r="BG608" t="s">
        <v>74</v>
      </c>
      <c r="BH608" t="s">
        <v>74</v>
      </c>
      <c r="BI608">
        <v>4</v>
      </c>
      <c r="BJ608" t="s">
        <v>2268</v>
      </c>
      <c r="BK608" t="s">
        <v>203</v>
      </c>
      <c r="BL608" t="s">
        <v>2269</v>
      </c>
      <c r="BM608" t="s">
        <v>12316</v>
      </c>
      <c r="BN608" t="s">
        <v>74</v>
      </c>
      <c r="BO608" t="s">
        <v>74</v>
      </c>
      <c r="BP608" t="s">
        <v>74</v>
      </c>
      <c r="BQ608" t="s">
        <v>74</v>
      </c>
      <c r="BR608" t="s">
        <v>106</v>
      </c>
      <c r="BS608" t="s">
        <v>12317</v>
      </c>
      <c r="BT608" t="str">
        <f>HYPERLINK("https%3A%2F%2Fwww.webofscience.com%2Fwos%2Fwoscc%2Ffull-record%2FWOS:000461314200037","View Full Record in Web of Science")</f>
        <v>View Full Record in Web of Science</v>
      </c>
    </row>
    <row r="609" spans="1:72" x14ac:dyDescent="0.25">
      <c r="A609" t="s">
        <v>72</v>
      </c>
      <c r="B609" t="s">
        <v>12318</v>
      </c>
      <c r="C609" t="s">
        <v>74</v>
      </c>
      <c r="D609" t="s">
        <v>74</v>
      </c>
      <c r="E609" t="s">
        <v>74</v>
      </c>
      <c r="F609" t="s">
        <v>12319</v>
      </c>
      <c r="G609" t="s">
        <v>74</v>
      </c>
      <c r="H609" t="s">
        <v>74</v>
      </c>
      <c r="I609" t="s">
        <v>12320</v>
      </c>
      <c r="J609" t="s">
        <v>3418</v>
      </c>
      <c r="K609" t="s">
        <v>74</v>
      </c>
      <c r="L609" t="s">
        <v>74</v>
      </c>
      <c r="M609" t="s">
        <v>78</v>
      </c>
      <c r="N609" t="s">
        <v>726</v>
      </c>
      <c r="O609" t="s">
        <v>74</v>
      </c>
      <c r="P609" t="s">
        <v>74</v>
      </c>
      <c r="Q609" t="s">
        <v>74</v>
      </c>
      <c r="R609" t="s">
        <v>74</v>
      </c>
      <c r="S609" t="s">
        <v>74</v>
      </c>
      <c r="T609" t="s">
        <v>12321</v>
      </c>
      <c r="U609" t="s">
        <v>12322</v>
      </c>
      <c r="V609" t="s">
        <v>12323</v>
      </c>
      <c r="W609" t="s">
        <v>12324</v>
      </c>
      <c r="X609" t="s">
        <v>12325</v>
      </c>
      <c r="Y609" t="s">
        <v>2992</v>
      </c>
      <c r="Z609" t="s">
        <v>12326</v>
      </c>
      <c r="AA609" t="s">
        <v>12327</v>
      </c>
      <c r="AB609" t="s">
        <v>12328</v>
      </c>
      <c r="AC609" t="s">
        <v>74</v>
      </c>
      <c r="AD609" t="s">
        <v>74</v>
      </c>
      <c r="AE609" t="s">
        <v>74</v>
      </c>
      <c r="AF609" t="s">
        <v>74</v>
      </c>
      <c r="AG609">
        <v>107</v>
      </c>
      <c r="AH609">
        <v>12</v>
      </c>
      <c r="AI609">
        <v>17</v>
      </c>
      <c r="AJ609">
        <v>3</v>
      </c>
      <c r="AK609">
        <v>118</v>
      </c>
      <c r="AL609" t="s">
        <v>3427</v>
      </c>
      <c r="AM609" t="s">
        <v>3428</v>
      </c>
      <c r="AN609" t="s">
        <v>3429</v>
      </c>
      <c r="AO609" t="s">
        <v>3430</v>
      </c>
      <c r="AP609" t="s">
        <v>3431</v>
      </c>
      <c r="AQ609" t="s">
        <v>74</v>
      </c>
      <c r="AR609" t="s">
        <v>3432</v>
      </c>
      <c r="AS609" t="s">
        <v>3433</v>
      </c>
      <c r="AT609" t="s">
        <v>98</v>
      </c>
      <c r="AU609">
        <v>2022</v>
      </c>
      <c r="AV609">
        <v>12</v>
      </c>
      <c r="AW609">
        <v>1</v>
      </c>
      <c r="AX609" t="s">
        <v>74</v>
      </c>
      <c r="AY609" t="s">
        <v>74</v>
      </c>
      <c r="AZ609" t="s">
        <v>74</v>
      </c>
      <c r="BA609" t="s">
        <v>74</v>
      </c>
      <c r="BB609" t="s">
        <v>74</v>
      </c>
      <c r="BC609" t="s">
        <v>74</v>
      </c>
      <c r="BD609">
        <v>145</v>
      </c>
      <c r="BE609" t="s">
        <v>12329</v>
      </c>
      <c r="BF609" t="str">
        <f>HYPERLINK("http://dx.doi.org/10.1007/s13278-022-00972-y","http://dx.doi.org/10.1007/s13278-022-00972-y")</f>
        <v>http://dx.doi.org/10.1007/s13278-022-00972-y</v>
      </c>
      <c r="BG609" t="s">
        <v>74</v>
      </c>
      <c r="BH609" t="s">
        <v>74</v>
      </c>
      <c r="BI609">
        <v>19</v>
      </c>
      <c r="BJ609" t="s">
        <v>852</v>
      </c>
      <c r="BK609" t="s">
        <v>102</v>
      </c>
      <c r="BL609" t="s">
        <v>103</v>
      </c>
      <c r="BM609" t="s">
        <v>12330</v>
      </c>
      <c r="BN609" t="s">
        <v>74</v>
      </c>
      <c r="BO609" t="s">
        <v>12331</v>
      </c>
      <c r="BP609" t="s">
        <v>74</v>
      </c>
      <c r="BQ609" t="s">
        <v>74</v>
      </c>
      <c r="BR609" t="s">
        <v>106</v>
      </c>
      <c r="BS609" t="s">
        <v>12332</v>
      </c>
      <c r="BT609" t="str">
        <f>HYPERLINK("https%3A%2F%2Fwww.webofscience.com%2Fwos%2Fwoscc%2Ffull-record%2FWOS:000865242800001","View Full Record in Web of Science")</f>
        <v>View Full Record in Web of Science</v>
      </c>
    </row>
    <row r="610" spans="1:72" x14ac:dyDescent="0.25">
      <c r="A610" t="s">
        <v>108</v>
      </c>
      <c r="B610" t="s">
        <v>12333</v>
      </c>
      <c r="C610" t="s">
        <v>74</v>
      </c>
      <c r="D610" t="s">
        <v>74</v>
      </c>
      <c r="E610" t="s">
        <v>322</v>
      </c>
      <c r="F610" t="s">
        <v>12334</v>
      </c>
      <c r="G610" t="s">
        <v>74</v>
      </c>
      <c r="H610" t="s">
        <v>74</v>
      </c>
      <c r="I610" t="s">
        <v>12335</v>
      </c>
      <c r="J610" t="s">
        <v>12336</v>
      </c>
      <c r="K610" t="s">
        <v>74</v>
      </c>
      <c r="L610" t="s">
        <v>74</v>
      </c>
      <c r="M610" t="s">
        <v>78</v>
      </c>
      <c r="N610" t="s">
        <v>115</v>
      </c>
      <c r="O610" t="s">
        <v>12337</v>
      </c>
      <c r="P610" t="s">
        <v>12338</v>
      </c>
      <c r="Q610" t="s">
        <v>2765</v>
      </c>
      <c r="R610" t="s">
        <v>12339</v>
      </c>
      <c r="S610" t="s">
        <v>74</v>
      </c>
      <c r="T610" t="s">
        <v>12340</v>
      </c>
      <c r="U610" t="s">
        <v>74</v>
      </c>
      <c r="V610" t="s">
        <v>12341</v>
      </c>
      <c r="W610" t="s">
        <v>12342</v>
      </c>
      <c r="X610" t="s">
        <v>7948</v>
      </c>
      <c r="Y610" t="s">
        <v>12343</v>
      </c>
      <c r="Z610" t="s">
        <v>12344</v>
      </c>
      <c r="AA610" t="s">
        <v>12345</v>
      </c>
      <c r="AB610" t="s">
        <v>12346</v>
      </c>
      <c r="AC610" t="s">
        <v>12347</v>
      </c>
      <c r="AD610" t="s">
        <v>12348</v>
      </c>
      <c r="AE610" t="s">
        <v>12349</v>
      </c>
      <c r="AF610" t="s">
        <v>74</v>
      </c>
      <c r="AG610">
        <v>37</v>
      </c>
      <c r="AH610">
        <v>52</v>
      </c>
      <c r="AI610">
        <v>56</v>
      </c>
      <c r="AJ610">
        <v>0</v>
      </c>
      <c r="AK610">
        <v>12</v>
      </c>
      <c r="AL610" t="s">
        <v>291</v>
      </c>
      <c r="AM610" t="s">
        <v>92</v>
      </c>
      <c r="AN610" t="s">
        <v>341</v>
      </c>
      <c r="AO610" t="s">
        <v>74</v>
      </c>
      <c r="AP610" t="s">
        <v>74</v>
      </c>
      <c r="AQ610" t="s">
        <v>12350</v>
      </c>
      <c r="AR610" t="s">
        <v>74</v>
      </c>
      <c r="AS610" t="s">
        <v>74</v>
      </c>
      <c r="AT610" t="s">
        <v>74</v>
      </c>
      <c r="AU610">
        <v>2018</v>
      </c>
      <c r="AV610" t="s">
        <v>74</v>
      </c>
      <c r="AW610" t="s">
        <v>74</v>
      </c>
      <c r="AX610" t="s">
        <v>74</v>
      </c>
      <c r="AY610" t="s">
        <v>74</v>
      </c>
      <c r="AZ610" t="s">
        <v>74</v>
      </c>
      <c r="BA610" t="s">
        <v>74</v>
      </c>
      <c r="BB610">
        <v>1146</v>
      </c>
      <c r="BC610">
        <v>1153</v>
      </c>
      <c r="BD610" t="s">
        <v>74</v>
      </c>
      <c r="BE610" t="s">
        <v>12351</v>
      </c>
      <c r="BF610" t="str">
        <f>HYPERLINK("http://dx.doi.org/10.1145/3240508.3240617","http://dx.doi.org/10.1145/3240508.3240617")</f>
        <v>http://dx.doi.org/10.1145/3240508.3240617</v>
      </c>
      <c r="BG610" t="s">
        <v>74</v>
      </c>
      <c r="BH610" t="s">
        <v>74</v>
      </c>
      <c r="BI610">
        <v>8</v>
      </c>
      <c r="BJ610" t="s">
        <v>972</v>
      </c>
      <c r="BK610" t="s">
        <v>203</v>
      </c>
      <c r="BL610" t="s">
        <v>953</v>
      </c>
      <c r="BM610" t="s">
        <v>12352</v>
      </c>
      <c r="BN610" t="s">
        <v>74</v>
      </c>
      <c r="BO610" t="s">
        <v>74</v>
      </c>
      <c r="BP610" t="s">
        <v>74</v>
      </c>
      <c r="BQ610" t="s">
        <v>74</v>
      </c>
      <c r="BR610" t="s">
        <v>106</v>
      </c>
      <c r="BS610" t="s">
        <v>12353</v>
      </c>
      <c r="BT610" t="str">
        <f>HYPERLINK("https%3A%2F%2Fwww.webofscience.com%2Fwos%2Fwoscc%2Ffull-record%2FWOS:000509665700131","View Full Record in Web of Science")</f>
        <v>View Full Record in Web of Science</v>
      </c>
    </row>
    <row r="611" spans="1:72" x14ac:dyDescent="0.25">
      <c r="A611" t="s">
        <v>108</v>
      </c>
      <c r="B611" t="s">
        <v>12354</v>
      </c>
      <c r="C611" t="s">
        <v>74</v>
      </c>
      <c r="D611" t="s">
        <v>12355</v>
      </c>
      <c r="E611" t="s">
        <v>74</v>
      </c>
      <c r="F611" t="s">
        <v>12356</v>
      </c>
      <c r="G611" t="s">
        <v>74</v>
      </c>
      <c r="H611" t="s">
        <v>74</v>
      </c>
      <c r="I611" t="s">
        <v>12357</v>
      </c>
      <c r="J611" t="s">
        <v>12358</v>
      </c>
      <c r="K611" t="s">
        <v>2406</v>
      </c>
      <c r="L611" t="s">
        <v>74</v>
      </c>
      <c r="M611" t="s">
        <v>78</v>
      </c>
      <c r="N611" t="s">
        <v>115</v>
      </c>
      <c r="O611" t="s">
        <v>12359</v>
      </c>
      <c r="P611" t="s">
        <v>12360</v>
      </c>
      <c r="Q611" t="s">
        <v>12361</v>
      </c>
      <c r="R611" t="s">
        <v>74</v>
      </c>
      <c r="S611" t="s">
        <v>74</v>
      </c>
      <c r="T611" t="s">
        <v>74</v>
      </c>
      <c r="U611" t="s">
        <v>74</v>
      </c>
      <c r="V611" t="s">
        <v>12362</v>
      </c>
      <c r="W611" t="s">
        <v>12363</v>
      </c>
      <c r="X611" t="s">
        <v>74</v>
      </c>
      <c r="Y611" t="s">
        <v>12364</v>
      </c>
      <c r="Z611" t="s">
        <v>12365</v>
      </c>
      <c r="AA611" t="s">
        <v>12366</v>
      </c>
      <c r="AB611" t="s">
        <v>12367</v>
      </c>
      <c r="AC611" t="s">
        <v>74</v>
      </c>
      <c r="AD611" t="s">
        <v>74</v>
      </c>
      <c r="AE611" t="s">
        <v>74</v>
      </c>
      <c r="AF611" t="s">
        <v>74</v>
      </c>
      <c r="AG611">
        <v>13</v>
      </c>
      <c r="AH611">
        <v>0</v>
      </c>
      <c r="AI611">
        <v>1</v>
      </c>
      <c r="AJ611">
        <v>0</v>
      </c>
      <c r="AK611">
        <v>0</v>
      </c>
      <c r="AL611" t="s">
        <v>197</v>
      </c>
      <c r="AM611" t="s">
        <v>198</v>
      </c>
      <c r="AN611" t="s">
        <v>199</v>
      </c>
      <c r="AO611" t="s">
        <v>2415</v>
      </c>
      <c r="AP611" t="s">
        <v>74</v>
      </c>
      <c r="AQ611" t="s">
        <v>12368</v>
      </c>
      <c r="AR611" t="s">
        <v>2418</v>
      </c>
      <c r="AS611" t="s">
        <v>74</v>
      </c>
      <c r="AT611" t="s">
        <v>74</v>
      </c>
      <c r="AU611">
        <v>2011</v>
      </c>
      <c r="AV611">
        <v>361</v>
      </c>
      <c r="AW611" t="s">
        <v>74</v>
      </c>
      <c r="AX611" t="s">
        <v>74</v>
      </c>
      <c r="AY611" t="s">
        <v>74</v>
      </c>
      <c r="AZ611" t="s">
        <v>74</v>
      </c>
      <c r="BA611" t="s">
        <v>74</v>
      </c>
      <c r="BB611">
        <v>1</v>
      </c>
      <c r="BC611">
        <v>12</v>
      </c>
      <c r="BD611" t="s">
        <v>74</v>
      </c>
      <c r="BE611" t="s">
        <v>74</v>
      </c>
      <c r="BF611" t="s">
        <v>74</v>
      </c>
      <c r="BG611" t="s">
        <v>74</v>
      </c>
      <c r="BH611" t="s">
        <v>74</v>
      </c>
      <c r="BI611">
        <v>12</v>
      </c>
      <c r="BJ611" t="s">
        <v>1399</v>
      </c>
      <c r="BK611" t="s">
        <v>203</v>
      </c>
      <c r="BL611" t="s">
        <v>103</v>
      </c>
      <c r="BM611" t="s">
        <v>12369</v>
      </c>
      <c r="BN611" t="s">
        <v>74</v>
      </c>
      <c r="BO611" t="s">
        <v>74</v>
      </c>
      <c r="BP611" t="s">
        <v>74</v>
      </c>
      <c r="BQ611" t="s">
        <v>74</v>
      </c>
      <c r="BR611" t="s">
        <v>106</v>
      </c>
      <c r="BS611" t="s">
        <v>12370</v>
      </c>
      <c r="BT611" t="str">
        <f>HYPERLINK("https%3A%2F%2Fwww.webofscience.com%2Fwos%2Fwoscc%2Ffull-record%2FWOS:000302383100001","View Full Record in Web of Science")</f>
        <v>View Full Record in Web of Science</v>
      </c>
    </row>
    <row r="612" spans="1:72" x14ac:dyDescent="0.25">
      <c r="A612" t="s">
        <v>108</v>
      </c>
      <c r="B612" t="s">
        <v>12371</v>
      </c>
      <c r="C612" t="s">
        <v>74</v>
      </c>
      <c r="D612" t="s">
        <v>12372</v>
      </c>
      <c r="E612" t="s">
        <v>74</v>
      </c>
      <c r="F612" t="s">
        <v>12373</v>
      </c>
      <c r="G612" t="s">
        <v>74</v>
      </c>
      <c r="H612" t="s">
        <v>74</v>
      </c>
      <c r="I612" t="s">
        <v>12374</v>
      </c>
      <c r="J612" t="s">
        <v>12375</v>
      </c>
      <c r="K612" t="s">
        <v>147</v>
      </c>
      <c r="L612" t="s">
        <v>74</v>
      </c>
      <c r="M612" t="s">
        <v>78</v>
      </c>
      <c r="N612" t="s">
        <v>115</v>
      </c>
      <c r="O612" t="s">
        <v>12376</v>
      </c>
      <c r="P612" t="s">
        <v>12377</v>
      </c>
      <c r="Q612" t="s">
        <v>12378</v>
      </c>
      <c r="R612" t="s">
        <v>74</v>
      </c>
      <c r="S612" t="s">
        <v>12379</v>
      </c>
      <c r="T612" t="s">
        <v>12380</v>
      </c>
      <c r="U612" t="s">
        <v>74</v>
      </c>
      <c r="V612" t="s">
        <v>12381</v>
      </c>
      <c r="W612" t="s">
        <v>12382</v>
      </c>
      <c r="X612" t="s">
        <v>12383</v>
      </c>
      <c r="Y612" t="s">
        <v>12384</v>
      </c>
      <c r="Z612" t="s">
        <v>12385</v>
      </c>
      <c r="AA612" t="s">
        <v>12386</v>
      </c>
      <c r="AB612" t="s">
        <v>74</v>
      </c>
      <c r="AC612" t="s">
        <v>12387</v>
      </c>
      <c r="AD612" t="s">
        <v>12388</v>
      </c>
      <c r="AE612" t="s">
        <v>12389</v>
      </c>
      <c r="AF612" t="s">
        <v>74</v>
      </c>
      <c r="AG612">
        <v>31</v>
      </c>
      <c r="AH612">
        <v>0</v>
      </c>
      <c r="AI612">
        <v>0</v>
      </c>
      <c r="AJ612">
        <v>0</v>
      </c>
      <c r="AK612">
        <v>4</v>
      </c>
      <c r="AL612" t="s">
        <v>129</v>
      </c>
      <c r="AM612" t="s">
        <v>130</v>
      </c>
      <c r="AN612" t="s">
        <v>131</v>
      </c>
      <c r="AO612" t="s">
        <v>159</v>
      </c>
      <c r="AP612" t="s">
        <v>133</v>
      </c>
      <c r="AQ612" t="s">
        <v>12390</v>
      </c>
      <c r="AR612" t="s">
        <v>161</v>
      </c>
      <c r="AS612" t="s">
        <v>74</v>
      </c>
      <c r="AT612" t="s">
        <v>74</v>
      </c>
      <c r="AU612">
        <v>2017</v>
      </c>
      <c r="AV612">
        <v>10538</v>
      </c>
      <c r="AW612" t="s">
        <v>74</v>
      </c>
      <c r="AX612" t="s">
        <v>74</v>
      </c>
      <c r="AY612" t="s">
        <v>74</v>
      </c>
      <c r="AZ612" t="s">
        <v>74</v>
      </c>
      <c r="BA612" t="s">
        <v>74</v>
      </c>
      <c r="BB612">
        <v>217</v>
      </c>
      <c r="BC612">
        <v>230</v>
      </c>
      <c r="BD612" t="s">
        <v>74</v>
      </c>
      <c r="BE612" t="s">
        <v>12391</v>
      </c>
      <c r="BF612" t="str">
        <f>HYPERLINK("http://dx.doi.org/10.1007/978-3-319-68155-9_17","http://dx.doi.org/10.1007/978-3-319-68155-9_17")</f>
        <v>http://dx.doi.org/10.1007/978-3-319-68155-9_17</v>
      </c>
      <c r="BG612" t="s">
        <v>74</v>
      </c>
      <c r="BH612" t="s">
        <v>74</v>
      </c>
      <c r="BI612">
        <v>14</v>
      </c>
      <c r="BJ612" t="s">
        <v>696</v>
      </c>
      <c r="BK612" t="s">
        <v>203</v>
      </c>
      <c r="BL612" t="s">
        <v>103</v>
      </c>
      <c r="BM612" t="s">
        <v>12392</v>
      </c>
      <c r="BN612" t="s">
        <v>74</v>
      </c>
      <c r="BO612" t="s">
        <v>74</v>
      </c>
      <c r="BP612" t="s">
        <v>74</v>
      </c>
      <c r="BQ612" t="s">
        <v>74</v>
      </c>
      <c r="BR612" t="s">
        <v>106</v>
      </c>
      <c r="BS612" t="s">
        <v>12393</v>
      </c>
      <c r="BT612" t="str">
        <f>HYPERLINK("https%3A%2F%2Fwww.webofscience.com%2Fwos%2Fwoscc%2Ffull-record%2FWOS:000439775500017","View Full Record in Web of Science")</f>
        <v>View Full Record in Web of Science</v>
      </c>
    </row>
    <row r="613" spans="1:72" x14ac:dyDescent="0.25">
      <c r="A613" t="s">
        <v>108</v>
      </c>
      <c r="B613" t="s">
        <v>12394</v>
      </c>
      <c r="C613" t="s">
        <v>74</v>
      </c>
      <c r="D613" t="s">
        <v>74</v>
      </c>
      <c r="E613" t="s">
        <v>12395</v>
      </c>
      <c r="F613" t="s">
        <v>12396</v>
      </c>
      <c r="G613" t="s">
        <v>74</v>
      </c>
      <c r="H613" t="s">
        <v>74</v>
      </c>
      <c r="I613" t="s">
        <v>12397</v>
      </c>
      <c r="J613" t="s">
        <v>12398</v>
      </c>
      <c r="K613" t="s">
        <v>74</v>
      </c>
      <c r="L613" t="s">
        <v>74</v>
      </c>
      <c r="M613" t="s">
        <v>78</v>
      </c>
      <c r="N613" t="s">
        <v>115</v>
      </c>
      <c r="O613" t="s">
        <v>12399</v>
      </c>
      <c r="P613" t="s">
        <v>12400</v>
      </c>
      <c r="Q613" t="s">
        <v>12401</v>
      </c>
      <c r="R613" t="s">
        <v>74</v>
      </c>
      <c r="S613" t="s">
        <v>74</v>
      </c>
      <c r="T613" t="s">
        <v>74</v>
      </c>
      <c r="U613" t="s">
        <v>74</v>
      </c>
      <c r="V613" t="s">
        <v>12402</v>
      </c>
      <c r="W613" t="s">
        <v>12403</v>
      </c>
      <c r="X613" t="s">
        <v>12404</v>
      </c>
      <c r="Y613" t="s">
        <v>12405</v>
      </c>
      <c r="Z613" t="s">
        <v>12406</v>
      </c>
      <c r="AA613" t="s">
        <v>12407</v>
      </c>
      <c r="AB613" t="s">
        <v>12408</v>
      </c>
      <c r="AC613" t="s">
        <v>12409</v>
      </c>
      <c r="AD613" t="s">
        <v>3581</v>
      </c>
      <c r="AE613" t="s">
        <v>12410</v>
      </c>
      <c r="AF613" t="s">
        <v>74</v>
      </c>
      <c r="AG613">
        <v>89</v>
      </c>
      <c r="AH613">
        <v>11</v>
      </c>
      <c r="AI613">
        <v>16</v>
      </c>
      <c r="AJ613">
        <v>0</v>
      </c>
      <c r="AK613">
        <v>0</v>
      </c>
      <c r="AL613" t="s">
        <v>12411</v>
      </c>
      <c r="AM613" t="s">
        <v>3030</v>
      </c>
      <c r="AN613" t="s">
        <v>12412</v>
      </c>
      <c r="AO613" t="s">
        <v>74</v>
      </c>
      <c r="AP613" t="s">
        <v>74</v>
      </c>
      <c r="AQ613" t="s">
        <v>12413</v>
      </c>
      <c r="AR613" t="s">
        <v>74</v>
      </c>
      <c r="AS613" t="s">
        <v>74</v>
      </c>
      <c r="AT613" t="s">
        <v>74</v>
      </c>
      <c r="AU613">
        <v>2019</v>
      </c>
      <c r="AV613" t="s">
        <v>74</v>
      </c>
      <c r="AW613" t="s">
        <v>74</v>
      </c>
      <c r="AX613" t="s">
        <v>74</v>
      </c>
      <c r="AY613" t="s">
        <v>74</v>
      </c>
      <c r="AZ613" t="s">
        <v>74</v>
      </c>
      <c r="BA613" t="s">
        <v>74</v>
      </c>
      <c r="BB613" t="s">
        <v>74</v>
      </c>
      <c r="BC613" t="s">
        <v>74</v>
      </c>
      <c r="BD613" t="s">
        <v>74</v>
      </c>
      <c r="BE613" t="s">
        <v>12414</v>
      </c>
      <c r="BF613" t="str">
        <f>HYPERLINK("http://dx.doi.org/10.14722/ndss.2019.23392","http://dx.doi.org/10.14722/ndss.2019.23392")</f>
        <v>http://dx.doi.org/10.14722/ndss.2019.23392</v>
      </c>
      <c r="BG613" t="s">
        <v>74</v>
      </c>
      <c r="BH613" t="s">
        <v>74</v>
      </c>
      <c r="BI613">
        <v>15</v>
      </c>
      <c r="BJ613" t="s">
        <v>696</v>
      </c>
      <c r="BK613" t="s">
        <v>203</v>
      </c>
      <c r="BL613" t="s">
        <v>103</v>
      </c>
      <c r="BM613" t="s">
        <v>12415</v>
      </c>
      <c r="BN613" t="s">
        <v>74</v>
      </c>
      <c r="BO613" t="s">
        <v>372</v>
      </c>
      <c r="BP613" t="s">
        <v>74</v>
      </c>
      <c r="BQ613" t="s">
        <v>74</v>
      </c>
      <c r="BR613" t="s">
        <v>106</v>
      </c>
      <c r="BS613" t="s">
        <v>12416</v>
      </c>
      <c r="BT613" t="str">
        <f>HYPERLINK("https%3A%2F%2Fwww.webofscience.com%2Fwos%2Fwoscc%2Ffull-record%2FWOS:000680713300043","View Full Record in Web of Science")</f>
        <v>View Full Record in Web of Science</v>
      </c>
    </row>
    <row r="614" spans="1:72" x14ac:dyDescent="0.25">
      <c r="A614" t="s">
        <v>72</v>
      </c>
      <c r="B614" t="s">
        <v>12417</v>
      </c>
      <c r="C614" t="s">
        <v>74</v>
      </c>
      <c r="D614" t="s">
        <v>74</v>
      </c>
      <c r="E614" t="s">
        <v>74</v>
      </c>
      <c r="F614" t="s">
        <v>12418</v>
      </c>
      <c r="G614" t="s">
        <v>74</v>
      </c>
      <c r="H614" t="s">
        <v>74</v>
      </c>
      <c r="I614" t="s">
        <v>12419</v>
      </c>
      <c r="J614" t="s">
        <v>12420</v>
      </c>
      <c r="K614" t="s">
        <v>74</v>
      </c>
      <c r="L614" t="s">
        <v>74</v>
      </c>
      <c r="M614" t="s">
        <v>78</v>
      </c>
      <c r="N614" t="s">
        <v>79</v>
      </c>
      <c r="O614" t="s">
        <v>74</v>
      </c>
      <c r="P614" t="s">
        <v>74</v>
      </c>
      <c r="Q614" t="s">
        <v>74</v>
      </c>
      <c r="R614" t="s">
        <v>74</v>
      </c>
      <c r="S614" t="s">
        <v>74</v>
      </c>
      <c r="T614" t="s">
        <v>12421</v>
      </c>
      <c r="U614" t="s">
        <v>12422</v>
      </c>
      <c r="V614" t="s">
        <v>12423</v>
      </c>
      <c r="W614" t="s">
        <v>12424</v>
      </c>
      <c r="X614" t="s">
        <v>8753</v>
      </c>
      <c r="Y614" t="s">
        <v>12425</v>
      </c>
      <c r="Z614" t="s">
        <v>12426</v>
      </c>
      <c r="AA614" t="s">
        <v>74</v>
      </c>
      <c r="AB614" t="s">
        <v>12427</v>
      </c>
      <c r="AC614" t="s">
        <v>12428</v>
      </c>
      <c r="AD614" t="s">
        <v>12429</v>
      </c>
      <c r="AE614" t="s">
        <v>12430</v>
      </c>
      <c r="AF614" t="s">
        <v>74</v>
      </c>
      <c r="AG614">
        <v>55</v>
      </c>
      <c r="AH614">
        <v>11</v>
      </c>
      <c r="AI614">
        <v>11</v>
      </c>
      <c r="AJ614">
        <v>1</v>
      </c>
      <c r="AK614">
        <v>27</v>
      </c>
      <c r="AL614" t="s">
        <v>3427</v>
      </c>
      <c r="AM614" t="s">
        <v>3769</v>
      </c>
      <c r="AN614" t="s">
        <v>3770</v>
      </c>
      <c r="AO614" t="s">
        <v>12431</v>
      </c>
      <c r="AP614" t="s">
        <v>12432</v>
      </c>
      <c r="AQ614" t="s">
        <v>74</v>
      </c>
      <c r="AR614" t="s">
        <v>12420</v>
      </c>
      <c r="AS614" t="s">
        <v>12433</v>
      </c>
      <c r="AT614" t="s">
        <v>1251</v>
      </c>
      <c r="AU614">
        <v>2022</v>
      </c>
      <c r="AV614">
        <v>104</v>
      </c>
      <c r="AW614">
        <v>4</v>
      </c>
      <c r="AX614" t="s">
        <v>74</v>
      </c>
      <c r="AY614" t="s">
        <v>74</v>
      </c>
      <c r="AZ614" t="s">
        <v>247</v>
      </c>
      <c r="BA614" t="s">
        <v>74</v>
      </c>
      <c r="BB614">
        <v>717</v>
      </c>
      <c r="BC614">
        <v>739</v>
      </c>
      <c r="BD614" t="s">
        <v>74</v>
      </c>
      <c r="BE614" t="s">
        <v>12434</v>
      </c>
      <c r="BF614" t="str">
        <f>HYPERLINK("http://dx.doi.org/10.1007/s00607-021-01013-w","http://dx.doi.org/10.1007/s00607-021-01013-w")</f>
        <v>http://dx.doi.org/10.1007/s00607-021-01013-w</v>
      </c>
      <c r="BG614" t="s">
        <v>74</v>
      </c>
      <c r="BH614" t="s">
        <v>3081</v>
      </c>
      <c r="BI614">
        <v>23</v>
      </c>
      <c r="BJ614" t="s">
        <v>925</v>
      </c>
      <c r="BK614" t="s">
        <v>745</v>
      </c>
      <c r="BL614" t="s">
        <v>103</v>
      </c>
      <c r="BM614" t="s">
        <v>12435</v>
      </c>
      <c r="BN614" t="s">
        <v>74</v>
      </c>
      <c r="BO614" t="s">
        <v>1014</v>
      </c>
      <c r="BP614" t="s">
        <v>74</v>
      </c>
      <c r="BQ614" t="s">
        <v>74</v>
      </c>
      <c r="BR614" t="s">
        <v>106</v>
      </c>
      <c r="BS614" t="s">
        <v>12436</v>
      </c>
      <c r="BT614" t="str">
        <f>HYPERLINK("https%3A%2F%2Fwww.webofscience.com%2Fwos%2Fwoscc%2Ffull-record%2FWOS:000741563500002","View Full Record in Web of Science")</f>
        <v>View Full Record in Web of Science</v>
      </c>
    </row>
    <row r="615" spans="1:72" x14ac:dyDescent="0.25">
      <c r="A615" t="s">
        <v>72</v>
      </c>
      <c r="B615" t="s">
        <v>12437</v>
      </c>
      <c r="C615" t="s">
        <v>74</v>
      </c>
      <c r="D615" t="s">
        <v>74</v>
      </c>
      <c r="E615" t="s">
        <v>74</v>
      </c>
      <c r="F615" t="s">
        <v>12438</v>
      </c>
      <c r="G615" t="s">
        <v>74</v>
      </c>
      <c r="H615" t="s">
        <v>74</v>
      </c>
      <c r="I615" t="s">
        <v>12439</v>
      </c>
      <c r="J615" t="s">
        <v>12440</v>
      </c>
      <c r="K615" t="s">
        <v>74</v>
      </c>
      <c r="L615" t="s">
        <v>74</v>
      </c>
      <c r="M615" t="s">
        <v>78</v>
      </c>
      <c r="N615" t="s">
        <v>79</v>
      </c>
      <c r="O615" t="s">
        <v>74</v>
      </c>
      <c r="P615" t="s">
        <v>74</v>
      </c>
      <c r="Q615" t="s">
        <v>74</v>
      </c>
      <c r="R615" t="s">
        <v>74</v>
      </c>
      <c r="S615" t="s">
        <v>74</v>
      </c>
      <c r="T615" t="s">
        <v>12441</v>
      </c>
      <c r="U615" t="s">
        <v>12442</v>
      </c>
      <c r="V615" t="s">
        <v>12443</v>
      </c>
      <c r="W615" t="s">
        <v>12444</v>
      </c>
      <c r="X615" t="s">
        <v>12445</v>
      </c>
      <c r="Y615" t="s">
        <v>12446</v>
      </c>
      <c r="Z615" t="s">
        <v>12447</v>
      </c>
      <c r="AA615" t="s">
        <v>12448</v>
      </c>
      <c r="AB615" t="s">
        <v>12449</v>
      </c>
      <c r="AC615" t="s">
        <v>12450</v>
      </c>
      <c r="AD615" t="s">
        <v>12451</v>
      </c>
      <c r="AE615" t="s">
        <v>12452</v>
      </c>
      <c r="AF615" t="s">
        <v>74</v>
      </c>
      <c r="AG615">
        <v>97</v>
      </c>
      <c r="AH615">
        <v>7</v>
      </c>
      <c r="AI615">
        <v>7</v>
      </c>
      <c r="AJ615">
        <v>0</v>
      </c>
      <c r="AK615">
        <v>6</v>
      </c>
      <c r="AL615" t="s">
        <v>5214</v>
      </c>
      <c r="AM615" t="s">
        <v>1320</v>
      </c>
      <c r="AN615" t="s">
        <v>12453</v>
      </c>
      <c r="AO615" t="s">
        <v>74</v>
      </c>
      <c r="AP615" t="s">
        <v>12454</v>
      </c>
      <c r="AQ615" t="s">
        <v>74</v>
      </c>
      <c r="AR615" t="s">
        <v>12455</v>
      </c>
      <c r="AS615" t="s">
        <v>12456</v>
      </c>
      <c r="AT615" t="s">
        <v>12457</v>
      </c>
      <c r="AU615">
        <v>2024</v>
      </c>
      <c r="AV615">
        <v>11</v>
      </c>
      <c r="AW615">
        <v>1</v>
      </c>
      <c r="AX615" t="s">
        <v>74</v>
      </c>
      <c r="AY615" t="s">
        <v>74</v>
      </c>
      <c r="AZ615" t="s">
        <v>74</v>
      </c>
      <c r="BA615" t="s">
        <v>74</v>
      </c>
      <c r="BB615" t="s">
        <v>74</v>
      </c>
      <c r="BC615" t="s">
        <v>74</v>
      </c>
      <c r="BD615">
        <v>39</v>
      </c>
      <c r="BE615" t="s">
        <v>12458</v>
      </c>
      <c r="BF615" t="str">
        <f>HYPERLINK("http://dx.doi.org/10.1186/s40537-024-00888-8","http://dx.doi.org/10.1186/s40537-024-00888-8")</f>
        <v>http://dx.doi.org/10.1186/s40537-024-00888-8</v>
      </c>
      <c r="BG615" t="s">
        <v>74</v>
      </c>
      <c r="BH615" t="s">
        <v>74</v>
      </c>
      <c r="BI615">
        <v>31</v>
      </c>
      <c r="BJ615" t="s">
        <v>925</v>
      </c>
      <c r="BK615" t="s">
        <v>902</v>
      </c>
      <c r="BL615" t="s">
        <v>103</v>
      </c>
      <c r="BM615" t="s">
        <v>12459</v>
      </c>
      <c r="BN615" t="s">
        <v>74</v>
      </c>
      <c r="BO615" t="s">
        <v>398</v>
      </c>
      <c r="BP615" t="s">
        <v>74</v>
      </c>
      <c r="BQ615" t="s">
        <v>74</v>
      </c>
      <c r="BR615" t="s">
        <v>106</v>
      </c>
      <c r="BS615" t="s">
        <v>12460</v>
      </c>
      <c r="BT615" t="str">
        <f>HYPERLINK("https%3A%2F%2Fwww.webofscience.com%2Fwos%2Fwoscc%2Ffull-record%2FWOS:001181442700001","View Full Record in Web of Science")</f>
        <v>View Full Record in Web of Science</v>
      </c>
    </row>
    <row r="616" spans="1:72" x14ac:dyDescent="0.25">
      <c r="A616" t="s">
        <v>108</v>
      </c>
      <c r="B616" t="s">
        <v>12461</v>
      </c>
      <c r="C616" t="s">
        <v>74</v>
      </c>
      <c r="D616" t="s">
        <v>74</v>
      </c>
      <c r="E616" t="s">
        <v>322</v>
      </c>
      <c r="F616" t="s">
        <v>12462</v>
      </c>
      <c r="G616" t="s">
        <v>74</v>
      </c>
      <c r="H616" t="s">
        <v>74</v>
      </c>
      <c r="I616" t="s">
        <v>12463</v>
      </c>
      <c r="J616" t="s">
        <v>12464</v>
      </c>
      <c r="K616" t="s">
        <v>74</v>
      </c>
      <c r="L616" t="s">
        <v>74</v>
      </c>
      <c r="M616" t="s">
        <v>78</v>
      </c>
      <c r="N616" t="s">
        <v>115</v>
      </c>
      <c r="O616" t="s">
        <v>12465</v>
      </c>
      <c r="P616" t="s">
        <v>12466</v>
      </c>
      <c r="Q616" t="s">
        <v>8799</v>
      </c>
      <c r="R616" t="s">
        <v>12467</v>
      </c>
      <c r="S616" t="s">
        <v>74</v>
      </c>
      <c r="T616" t="s">
        <v>12468</v>
      </c>
      <c r="U616" t="s">
        <v>74</v>
      </c>
      <c r="V616" t="s">
        <v>12469</v>
      </c>
      <c r="W616" t="s">
        <v>12470</v>
      </c>
      <c r="X616" t="s">
        <v>12471</v>
      </c>
      <c r="Y616" t="s">
        <v>12472</v>
      </c>
      <c r="Z616" t="s">
        <v>12473</v>
      </c>
      <c r="AA616" t="s">
        <v>74</v>
      </c>
      <c r="AB616" t="s">
        <v>12474</v>
      </c>
      <c r="AC616" t="s">
        <v>12475</v>
      </c>
      <c r="AD616" t="s">
        <v>12475</v>
      </c>
      <c r="AE616" t="s">
        <v>12476</v>
      </c>
      <c r="AF616" t="s">
        <v>74</v>
      </c>
      <c r="AG616">
        <v>40</v>
      </c>
      <c r="AH616">
        <v>20</v>
      </c>
      <c r="AI616">
        <v>34</v>
      </c>
      <c r="AJ616">
        <v>0</v>
      </c>
      <c r="AK616">
        <v>1</v>
      </c>
      <c r="AL616" t="s">
        <v>291</v>
      </c>
      <c r="AM616" t="s">
        <v>92</v>
      </c>
      <c r="AN616" t="s">
        <v>292</v>
      </c>
      <c r="AO616" t="s">
        <v>74</v>
      </c>
      <c r="AP616" t="s">
        <v>74</v>
      </c>
      <c r="AQ616" t="s">
        <v>12477</v>
      </c>
      <c r="AR616" t="s">
        <v>74</v>
      </c>
      <c r="AS616" t="s">
        <v>74</v>
      </c>
      <c r="AT616" t="s">
        <v>74</v>
      </c>
      <c r="AU616">
        <v>2018</v>
      </c>
      <c r="AV616" t="s">
        <v>74</v>
      </c>
      <c r="AW616" t="s">
        <v>74</v>
      </c>
      <c r="AX616" t="s">
        <v>74</v>
      </c>
      <c r="AY616" t="s">
        <v>74</v>
      </c>
      <c r="AZ616" t="s">
        <v>74</v>
      </c>
      <c r="BA616" t="s">
        <v>74</v>
      </c>
      <c r="BB616" t="s">
        <v>74</v>
      </c>
      <c r="BC616" t="s">
        <v>74</v>
      </c>
      <c r="BD616" t="s">
        <v>74</v>
      </c>
      <c r="BE616" t="s">
        <v>12478</v>
      </c>
      <c r="BF616" t="str">
        <f>HYPERLINK("http://dx.doi.org/10.1145/3173574.3174067","http://dx.doi.org/10.1145/3173574.3174067")</f>
        <v>http://dx.doi.org/10.1145/3173574.3174067</v>
      </c>
      <c r="BG616" t="s">
        <v>74</v>
      </c>
      <c r="BH616" t="s">
        <v>74</v>
      </c>
      <c r="BI616">
        <v>12</v>
      </c>
      <c r="BJ616" t="s">
        <v>1546</v>
      </c>
      <c r="BK616" t="s">
        <v>203</v>
      </c>
      <c r="BL616" t="s">
        <v>103</v>
      </c>
      <c r="BM616" t="s">
        <v>12479</v>
      </c>
      <c r="BN616" t="s">
        <v>74</v>
      </c>
      <c r="BO616" t="s">
        <v>74</v>
      </c>
      <c r="BP616" t="s">
        <v>74</v>
      </c>
      <c r="BQ616" t="s">
        <v>74</v>
      </c>
      <c r="BR616" t="s">
        <v>106</v>
      </c>
      <c r="BS616" t="s">
        <v>12480</v>
      </c>
      <c r="BT616" t="str">
        <f>HYPERLINK("https%3A%2F%2Fwww.webofscience.com%2Fwos%2Fwoscc%2Ffull-record%2FWOS:000509673106011","View Full Record in Web of Science")</f>
        <v>View Full Record in Web of Science</v>
      </c>
    </row>
    <row r="617" spans="1:72" x14ac:dyDescent="0.25">
      <c r="A617" t="s">
        <v>72</v>
      </c>
      <c r="B617" t="s">
        <v>12481</v>
      </c>
      <c r="C617" t="s">
        <v>74</v>
      </c>
      <c r="D617" t="s">
        <v>74</v>
      </c>
      <c r="E617" t="s">
        <v>74</v>
      </c>
      <c r="F617" t="s">
        <v>12482</v>
      </c>
      <c r="G617" t="s">
        <v>74</v>
      </c>
      <c r="H617" t="s">
        <v>74</v>
      </c>
      <c r="I617" t="s">
        <v>12483</v>
      </c>
      <c r="J617" t="s">
        <v>12484</v>
      </c>
      <c r="K617" t="s">
        <v>74</v>
      </c>
      <c r="L617" t="s">
        <v>74</v>
      </c>
      <c r="M617" t="s">
        <v>78</v>
      </c>
      <c r="N617" t="s">
        <v>79</v>
      </c>
      <c r="O617" t="s">
        <v>74</v>
      </c>
      <c r="P617" t="s">
        <v>74</v>
      </c>
      <c r="Q617" t="s">
        <v>74</v>
      </c>
      <c r="R617" t="s">
        <v>74</v>
      </c>
      <c r="S617" t="s">
        <v>74</v>
      </c>
      <c r="T617" t="s">
        <v>12485</v>
      </c>
      <c r="U617" t="s">
        <v>12486</v>
      </c>
      <c r="V617" t="s">
        <v>12487</v>
      </c>
      <c r="W617" t="s">
        <v>12488</v>
      </c>
      <c r="X617" t="s">
        <v>12489</v>
      </c>
      <c r="Y617" t="s">
        <v>12490</v>
      </c>
      <c r="Z617" t="s">
        <v>12491</v>
      </c>
      <c r="AA617" t="s">
        <v>11159</v>
      </c>
      <c r="AB617" t="s">
        <v>74</v>
      </c>
      <c r="AC617" t="s">
        <v>74</v>
      </c>
      <c r="AD617" t="s">
        <v>74</v>
      </c>
      <c r="AE617" t="s">
        <v>74</v>
      </c>
      <c r="AF617" t="s">
        <v>74</v>
      </c>
      <c r="AG617">
        <v>32</v>
      </c>
      <c r="AH617">
        <v>22</v>
      </c>
      <c r="AI617">
        <v>26</v>
      </c>
      <c r="AJ617">
        <v>1</v>
      </c>
      <c r="AK617">
        <v>17</v>
      </c>
      <c r="AL617" t="s">
        <v>895</v>
      </c>
      <c r="AM617" t="s">
        <v>896</v>
      </c>
      <c r="AN617" t="s">
        <v>897</v>
      </c>
      <c r="AO617" t="s">
        <v>12492</v>
      </c>
      <c r="AP617" t="s">
        <v>12493</v>
      </c>
      <c r="AQ617" t="s">
        <v>74</v>
      </c>
      <c r="AR617" t="s">
        <v>12494</v>
      </c>
      <c r="AS617" t="s">
        <v>12495</v>
      </c>
      <c r="AT617" t="s">
        <v>98</v>
      </c>
      <c r="AU617">
        <v>2011</v>
      </c>
      <c r="AV617">
        <v>12</v>
      </c>
      <c r="AW617">
        <v>4</v>
      </c>
      <c r="AX617" t="s">
        <v>74</v>
      </c>
      <c r="AY617" t="s">
        <v>74</v>
      </c>
      <c r="AZ617" t="s">
        <v>74</v>
      </c>
      <c r="BA617" t="s">
        <v>74</v>
      </c>
      <c r="BB617">
        <v>1374</v>
      </c>
      <c r="BC617">
        <v>1384</v>
      </c>
      <c r="BD617" t="s">
        <v>74</v>
      </c>
      <c r="BE617" t="s">
        <v>12496</v>
      </c>
      <c r="BF617" t="str">
        <f>HYPERLINK("http://dx.doi.org/10.1109/TITS.2011.2158211","http://dx.doi.org/10.1109/TITS.2011.2158211")</f>
        <v>http://dx.doi.org/10.1109/TITS.2011.2158211</v>
      </c>
      <c r="BG617" t="s">
        <v>74</v>
      </c>
      <c r="BH617" t="s">
        <v>74</v>
      </c>
      <c r="BI617">
        <v>11</v>
      </c>
      <c r="BJ617" t="s">
        <v>12497</v>
      </c>
      <c r="BK617" t="s">
        <v>902</v>
      </c>
      <c r="BL617" t="s">
        <v>12498</v>
      </c>
      <c r="BM617" t="s">
        <v>12499</v>
      </c>
      <c r="BN617" t="s">
        <v>74</v>
      </c>
      <c r="BO617" t="s">
        <v>74</v>
      </c>
      <c r="BP617" t="s">
        <v>74</v>
      </c>
      <c r="BQ617" t="s">
        <v>74</v>
      </c>
      <c r="BR617" t="s">
        <v>106</v>
      </c>
      <c r="BS617" t="s">
        <v>12500</v>
      </c>
      <c r="BT617" t="str">
        <f>HYPERLINK("https%3A%2F%2Fwww.webofscience.com%2Fwos%2Fwoscc%2Ffull-record%2FWOS:000297588500040","View Full Record in Web of Science")</f>
        <v>View Full Record in Web of Science</v>
      </c>
    </row>
    <row r="618" spans="1:72" x14ac:dyDescent="0.25">
      <c r="A618" t="s">
        <v>72</v>
      </c>
      <c r="B618" t="s">
        <v>12501</v>
      </c>
      <c r="C618" t="s">
        <v>74</v>
      </c>
      <c r="D618" t="s">
        <v>74</v>
      </c>
      <c r="E618" t="s">
        <v>74</v>
      </c>
      <c r="F618" t="s">
        <v>12502</v>
      </c>
      <c r="G618" t="s">
        <v>74</v>
      </c>
      <c r="H618" t="s">
        <v>74</v>
      </c>
      <c r="I618" t="s">
        <v>12503</v>
      </c>
      <c r="J618" t="s">
        <v>5202</v>
      </c>
      <c r="K618" t="s">
        <v>74</v>
      </c>
      <c r="L618" t="s">
        <v>74</v>
      </c>
      <c r="M618" t="s">
        <v>78</v>
      </c>
      <c r="N618" t="s">
        <v>79</v>
      </c>
      <c r="O618" t="s">
        <v>74</v>
      </c>
      <c r="P618" t="s">
        <v>74</v>
      </c>
      <c r="Q618" t="s">
        <v>74</v>
      </c>
      <c r="R618" t="s">
        <v>74</v>
      </c>
      <c r="S618" t="s">
        <v>74</v>
      </c>
      <c r="T618" t="s">
        <v>12504</v>
      </c>
      <c r="U618" t="s">
        <v>9854</v>
      </c>
      <c r="V618" t="s">
        <v>12505</v>
      </c>
      <c r="W618" t="s">
        <v>12506</v>
      </c>
      <c r="X618" t="s">
        <v>12507</v>
      </c>
      <c r="Y618" t="s">
        <v>12508</v>
      </c>
      <c r="Z618" t="s">
        <v>12509</v>
      </c>
      <c r="AA618" t="s">
        <v>12510</v>
      </c>
      <c r="AB618" t="s">
        <v>12511</v>
      </c>
      <c r="AC618" t="s">
        <v>12512</v>
      </c>
      <c r="AD618" t="s">
        <v>12513</v>
      </c>
      <c r="AE618" t="s">
        <v>12514</v>
      </c>
      <c r="AF618" t="s">
        <v>74</v>
      </c>
      <c r="AG618">
        <v>43</v>
      </c>
      <c r="AH618">
        <v>5</v>
      </c>
      <c r="AI618">
        <v>6</v>
      </c>
      <c r="AJ618">
        <v>1</v>
      </c>
      <c r="AK618">
        <v>6</v>
      </c>
      <c r="AL618" t="s">
        <v>5214</v>
      </c>
      <c r="AM618" t="s">
        <v>1320</v>
      </c>
      <c r="AN618" t="s">
        <v>12453</v>
      </c>
      <c r="AO618" t="s">
        <v>5216</v>
      </c>
      <c r="AP618" t="s">
        <v>5217</v>
      </c>
      <c r="AQ618" t="s">
        <v>74</v>
      </c>
      <c r="AR618" t="s">
        <v>5218</v>
      </c>
      <c r="AS618" t="s">
        <v>5219</v>
      </c>
      <c r="AT618" t="s">
        <v>509</v>
      </c>
      <c r="AU618">
        <v>2023</v>
      </c>
      <c r="AV618">
        <v>8</v>
      </c>
      <c r="AW618">
        <v>3</v>
      </c>
      <c r="AX618" t="s">
        <v>74</v>
      </c>
      <c r="AY618" t="s">
        <v>74</v>
      </c>
      <c r="AZ618" t="s">
        <v>247</v>
      </c>
      <c r="BA618" t="s">
        <v>74</v>
      </c>
      <c r="BB618">
        <v>223</v>
      </c>
      <c r="BC618">
        <v>233</v>
      </c>
      <c r="BD618" t="s">
        <v>74</v>
      </c>
      <c r="BE618" t="s">
        <v>12515</v>
      </c>
      <c r="BF618" t="str">
        <f>HYPERLINK("http://dx.doi.org/10.1007/s41019-023-00225-8","http://dx.doi.org/10.1007/s41019-023-00225-8")</f>
        <v>http://dx.doi.org/10.1007/s41019-023-00225-8</v>
      </c>
      <c r="BG618" t="s">
        <v>74</v>
      </c>
      <c r="BH618" t="s">
        <v>5134</v>
      </c>
      <c r="BI618">
        <v>11</v>
      </c>
      <c r="BJ618" t="s">
        <v>696</v>
      </c>
      <c r="BK618" t="s">
        <v>102</v>
      </c>
      <c r="BL618" t="s">
        <v>103</v>
      </c>
      <c r="BM618" t="s">
        <v>12516</v>
      </c>
      <c r="BN618" t="s">
        <v>74</v>
      </c>
      <c r="BO618" t="s">
        <v>398</v>
      </c>
      <c r="BP618" t="s">
        <v>74</v>
      </c>
      <c r="BQ618" t="s">
        <v>74</v>
      </c>
      <c r="BR618" t="s">
        <v>106</v>
      </c>
      <c r="BS618" t="s">
        <v>12517</v>
      </c>
      <c r="BT618" t="str">
        <f>HYPERLINK("https%3A%2F%2Fwww.webofscience.com%2Fwos%2Fwoscc%2Ffull-record%2FWOS:001060212300001","View Full Record in Web of Science")</f>
        <v>View Full Record in Web of Science</v>
      </c>
    </row>
    <row r="619" spans="1:72" x14ac:dyDescent="0.25">
      <c r="A619" t="s">
        <v>72</v>
      </c>
      <c r="B619" t="s">
        <v>12518</v>
      </c>
      <c r="C619" t="s">
        <v>74</v>
      </c>
      <c r="D619" t="s">
        <v>74</v>
      </c>
      <c r="E619" t="s">
        <v>74</v>
      </c>
      <c r="F619" t="s">
        <v>12519</v>
      </c>
      <c r="G619" t="s">
        <v>74</v>
      </c>
      <c r="H619" t="s">
        <v>74</v>
      </c>
      <c r="I619" t="s">
        <v>12520</v>
      </c>
      <c r="J619" t="s">
        <v>7803</v>
      </c>
      <c r="K619" t="s">
        <v>74</v>
      </c>
      <c r="L619" t="s">
        <v>74</v>
      </c>
      <c r="M619" t="s">
        <v>78</v>
      </c>
      <c r="N619" t="s">
        <v>79</v>
      </c>
      <c r="O619" t="s">
        <v>74</v>
      </c>
      <c r="P619" t="s">
        <v>74</v>
      </c>
      <c r="Q619" t="s">
        <v>74</v>
      </c>
      <c r="R619" t="s">
        <v>74</v>
      </c>
      <c r="S619" t="s">
        <v>74</v>
      </c>
      <c r="T619" t="s">
        <v>12521</v>
      </c>
      <c r="U619" t="s">
        <v>12522</v>
      </c>
      <c r="V619" t="s">
        <v>12523</v>
      </c>
      <c r="W619" t="s">
        <v>12524</v>
      </c>
      <c r="X619" t="s">
        <v>12525</v>
      </c>
      <c r="Y619" t="s">
        <v>12526</v>
      </c>
      <c r="Z619" t="s">
        <v>12527</v>
      </c>
      <c r="AA619" t="s">
        <v>12528</v>
      </c>
      <c r="AB619" t="s">
        <v>12529</v>
      </c>
      <c r="AC619" t="s">
        <v>12530</v>
      </c>
      <c r="AD619" t="s">
        <v>12531</v>
      </c>
      <c r="AE619" t="s">
        <v>12532</v>
      </c>
      <c r="AF619" t="s">
        <v>74</v>
      </c>
      <c r="AG619">
        <v>62</v>
      </c>
      <c r="AH619">
        <v>0</v>
      </c>
      <c r="AI619">
        <v>0</v>
      </c>
      <c r="AJ619">
        <v>1</v>
      </c>
      <c r="AK619">
        <v>4</v>
      </c>
      <c r="AL619" t="s">
        <v>7816</v>
      </c>
      <c r="AM619" t="s">
        <v>7817</v>
      </c>
      <c r="AN619" t="s">
        <v>12533</v>
      </c>
      <c r="AO619" t="s">
        <v>12534</v>
      </c>
      <c r="AP619" t="s">
        <v>7819</v>
      </c>
      <c r="AQ619" t="s">
        <v>74</v>
      </c>
      <c r="AR619" t="s">
        <v>7820</v>
      </c>
      <c r="AS619" t="s">
        <v>7821</v>
      </c>
      <c r="AT619" t="s">
        <v>12535</v>
      </c>
      <c r="AU619">
        <v>2025</v>
      </c>
      <c r="AV619">
        <v>27</v>
      </c>
      <c r="AW619" t="s">
        <v>74</v>
      </c>
      <c r="AX619" t="s">
        <v>74</v>
      </c>
      <c r="AY619" t="s">
        <v>74</v>
      </c>
      <c r="AZ619" t="s">
        <v>74</v>
      </c>
      <c r="BA619" t="s">
        <v>74</v>
      </c>
      <c r="BB619" t="s">
        <v>74</v>
      </c>
      <c r="BC619" t="s">
        <v>74</v>
      </c>
      <c r="BD619" t="s">
        <v>12536</v>
      </c>
      <c r="BE619" t="s">
        <v>12537</v>
      </c>
      <c r="BF619" t="str">
        <f>HYPERLINK("http://dx.doi.org/10.2196/64739","http://dx.doi.org/10.2196/64739")</f>
        <v>http://dx.doi.org/10.2196/64739</v>
      </c>
      <c r="BG619" t="s">
        <v>74</v>
      </c>
      <c r="BH619" t="s">
        <v>74</v>
      </c>
      <c r="BI619">
        <v>13</v>
      </c>
      <c r="BJ619" t="s">
        <v>6784</v>
      </c>
      <c r="BK619" t="s">
        <v>902</v>
      </c>
      <c r="BL619" t="s">
        <v>6784</v>
      </c>
      <c r="BM619" t="s">
        <v>12538</v>
      </c>
      <c r="BN619">
        <v>39918849</v>
      </c>
      <c r="BO619" t="s">
        <v>398</v>
      </c>
      <c r="BP619" t="s">
        <v>74</v>
      </c>
      <c r="BQ619" t="s">
        <v>74</v>
      </c>
      <c r="BR619" t="s">
        <v>106</v>
      </c>
      <c r="BS619" t="s">
        <v>12539</v>
      </c>
      <c r="BT619" t="str">
        <f>HYPERLINK("https%3A%2F%2Fwww.webofscience.com%2Fwos%2Fwoscc%2Ffull-record%2FWOS:001424895400003","View Full Record in Web of Science")</f>
        <v>View Full Record in Web of Science</v>
      </c>
    </row>
    <row r="620" spans="1:72" x14ac:dyDescent="0.25">
      <c r="A620" t="s">
        <v>108</v>
      </c>
      <c r="B620" t="s">
        <v>12540</v>
      </c>
      <c r="C620" t="s">
        <v>74</v>
      </c>
      <c r="D620" t="s">
        <v>74</v>
      </c>
      <c r="E620" t="s">
        <v>291</v>
      </c>
      <c r="F620" t="s">
        <v>12541</v>
      </c>
      <c r="G620" t="s">
        <v>74</v>
      </c>
      <c r="H620" t="s">
        <v>74</v>
      </c>
      <c r="I620" t="s">
        <v>12542</v>
      </c>
      <c r="J620" t="s">
        <v>12543</v>
      </c>
      <c r="K620" t="s">
        <v>74</v>
      </c>
      <c r="L620" t="s">
        <v>74</v>
      </c>
      <c r="M620" t="s">
        <v>78</v>
      </c>
      <c r="N620" t="s">
        <v>115</v>
      </c>
      <c r="O620" t="s">
        <v>12544</v>
      </c>
      <c r="P620" t="s">
        <v>12545</v>
      </c>
      <c r="Q620" t="s">
        <v>8303</v>
      </c>
      <c r="R620" t="s">
        <v>12546</v>
      </c>
      <c r="S620" t="s">
        <v>74</v>
      </c>
      <c r="T620" t="s">
        <v>12547</v>
      </c>
      <c r="U620" t="s">
        <v>74</v>
      </c>
      <c r="V620" t="s">
        <v>12548</v>
      </c>
      <c r="W620" t="s">
        <v>12549</v>
      </c>
      <c r="X620" t="s">
        <v>74</v>
      </c>
      <c r="Y620" t="s">
        <v>12550</v>
      </c>
      <c r="Z620" t="s">
        <v>12551</v>
      </c>
      <c r="AA620" t="s">
        <v>12552</v>
      </c>
      <c r="AB620" t="s">
        <v>12553</v>
      </c>
      <c r="AC620" t="s">
        <v>74</v>
      </c>
      <c r="AD620" t="s">
        <v>74</v>
      </c>
      <c r="AE620" t="s">
        <v>74</v>
      </c>
      <c r="AF620" t="s">
        <v>74</v>
      </c>
      <c r="AG620">
        <v>51</v>
      </c>
      <c r="AH620">
        <v>16</v>
      </c>
      <c r="AI620">
        <v>16</v>
      </c>
      <c r="AJ620">
        <v>0</v>
      </c>
      <c r="AK620">
        <v>2</v>
      </c>
      <c r="AL620" t="s">
        <v>291</v>
      </c>
      <c r="AM620" t="s">
        <v>92</v>
      </c>
      <c r="AN620" t="s">
        <v>341</v>
      </c>
      <c r="AO620" t="s">
        <v>74</v>
      </c>
      <c r="AP620" t="s">
        <v>74</v>
      </c>
      <c r="AQ620" t="s">
        <v>12554</v>
      </c>
      <c r="AR620" t="s">
        <v>74</v>
      </c>
      <c r="AS620" t="s">
        <v>74</v>
      </c>
      <c r="AT620" t="s">
        <v>74</v>
      </c>
      <c r="AU620">
        <v>2025</v>
      </c>
      <c r="AV620" t="s">
        <v>74</v>
      </c>
      <c r="AW620" t="s">
        <v>74</v>
      </c>
      <c r="AX620" t="s">
        <v>74</v>
      </c>
      <c r="AY620" t="s">
        <v>74</v>
      </c>
      <c r="AZ620" t="s">
        <v>74</v>
      </c>
      <c r="BA620" t="s">
        <v>74</v>
      </c>
      <c r="BB620">
        <v>425</v>
      </c>
      <c r="BC620">
        <v>435</v>
      </c>
      <c r="BD620" t="s">
        <v>74</v>
      </c>
      <c r="BE620" t="s">
        <v>12555</v>
      </c>
      <c r="BF620" t="str">
        <f>HYPERLINK("http://dx.doi.org/10.1145/3696410.3714955","http://dx.doi.org/10.1145/3696410.3714955")</f>
        <v>http://dx.doi.org/10.1145/3696410.3714955</v>
      </c>
      <c r="BG620" t="s">
        <v>74</v>
      </c>
      <c r="BH620" t="s">
        <v>74</v>
      </c>
      <c r="BI620">
        <v>11</v>
      </c>
      <c r="BJ620" t="s">
        <v>101</v>
      </c>
      <c r="BK620" t="s">
        <v>203</v>
      </c>
      <c r="BL620" t="s">
        <v>103</v>
      </c>
      <c r="BM620" t="s">
        <v>12556</v>
      </c>
      <c r="BN620" t="s">
        <v>74</v>
      </c>
      <c r="BO620" t="s">
        <v>372</v>
      </c>
      <c r="BP620" t="s">
        <v>74</v>
      </c>
      <c r="BQ620" t="s">
        <v>74</v>
      </c>
      <c r="BR620" t="s">
        <v>106</v>
      </c>
      <c r="BS620" t="s">
        <v>12557</v>
      </c>
      <c r="BT620" t="str">
        <f>HYPERLINK("https%3A%2F%2Fwww.webofscience.com%2Fwos%2Fwoscc%2Ffull-record%2FWOS:001505285200040","View Full Record in Web of Science")</f>
        <v>View Full Record in Web of Science</v>
      </c>
    </row>
    <row r="621" spans="1:72" x14ac:dyDescent="0.25">
      <c r="A621" t="s">
        <v>108</v>
      </c>
      <c r="B621" t="s">
        <v>12558</v>
      </c>
      <c r="C621" t="s">
        <v>74</v>
      </c>
      <c r="D621" t="s">
        <v>12559</v>
      </c>
      <c r="E621" t="s">
        <v>74</v>
      </c>
      <c r="F621" t="s">
        <v>12560</v>
      </c>
      <c r="G621" t="s">
        <v>74</v>
      </c>
      <c r="H621" t="s">
        <v>74</v>
      </c>
      <c r="I621" t="s">
        <v>12561</v>
      </c>
      <c r="J621" t="s">
        <v>12562</v>
      </c>
      <c r="K621" t="s">
        <v>74</v>
      </c>
      <c r="L621" t="s">
        <v>74</v>
      </c>
      <c r="M621" t="s">
        <v>78</v>
      </c>
      <c r="N621" t="s">
        <v>115</v>
      </c>
      <c r="O621" t="s">
        <v>12563</v>
      </c>
      <c r="P621" t="s">
        <v>12564</v>
      </c>
      <c r="Q621" t="s">
        <v>12565</v>
      </c>
      <c r="R621" t="s">
        <v>12566</v>
      </c>
      <c r="S621" t="s">
        <v>74</v>
      </c>
      <c r="T621" t="s">
        <v>12567</v>
      </c>
      <c r="U621" t="s">
        <v>74</v>
      </c>
      <c r="V621" t="s">
        <v>12568</v>
      </c>
      <c r="W621" t="s">
        <v>12569</v>
      </c>
      <c r="X621" t="s">
        <v>12570</v>
      </c>
      <c r="Y621" t="s">
        <v>12571</v>
      </c>
      <c r="Z621" t="s">
        <v>12572</v>
      </c>
      <c r="AA621" t="s">
        <v>74</v>
      </c>
      <c r="AB621" t="s">
        <v>74</v>
      </c>
      <c r="AC621" t="s">
        <v>74</v>
      </c>
      <c r="AD621" t="s">
        <v>74</v>
      </c>
      <c r="AE621" t="s">
        <v>74</v>
      </c>
      <c r="AF621" t="s">
        <v>74</v>
      </c>
      <c r="AG621">
        <v>3</v>
      </c>
      <c r="AH621">
        <v>6</v>
      </c>
      <c r="AI621">
        <v>6</v>
      </c>
      <c r="AJ621">
        <v>0</v>
      </c>
      <c r="AK621">
        <v>1</v>
      </c>
      <c r="AL621" t="s">
        <v>947</v>
      </c>
      <c r="AM621" t="s">
        <v>948</v>
      </c>
      <c r="AN621" t="s">
        <v>949</v>
      </c>
      <c r="AO621" t="s">
        <v>74</v>
      </c>
      <c r="AP621" t="s">
        <v>74</v>
      </c>
      <c r="AQ621" t="s">
        <v>12573</v>
      </c>
      <c r="AR621" t="s">
        <v>74</v>
      </c>
      <c r="AS621" t="s">
        <v>74</v>
      </c>
      <c r="AT621" t="s">
        <v>74</v>
      </c>
      <c r="AU621">
        <v>2009</v>
      </c>
      <c r="AV621" t="s">
        <v>74</v>
      </c>
      <c r="AW621" t="s">
        <v>74</v>
      </c>
      <c r="AX621" t="s">
        <v>74</v>
      </c>
      <c r="AY621" t="s">
        <v>74</v>
      </c>
      <c r="AZ621" t="s">
        <v>74</v>
      </c>
      <c r="BA621" t="s">
        <v>74</v>
      </c>
      <c r="BB621">
        <v>573</v>
      </c>
      <c r="BC621" t="s">
        <v>5459</v>
      </c>
      <c r="BD621" t="s">
        <v>74</v>
      </c>
      <c r="BE621" t="s">
        <v>12574</v>
      </c>
      <c r="BF621" t="str">
        <f>HYPERLINK("http://dx.doi.org/10.1109/IITA.2009.279","http://dx.doi.org/10.1109/IITA.2009.279")</f>
        <v>http://dx.doi.org/10.1109/IITA.2009.279</v>
      </c>
      <c r="BG621" t="s">
        <v>74</v>
      </c>
      <c r="BH621" t="s">
        <v>74</v>
      </c>
      <c r="BI621">
        <v>2</v>
      </c>
      <c r="BJ621" t="s">
        <v>2837</v>
      </c>
      <c r="BK621" t="s">
        <v>203</v>
      </c>
      <c r="BL621" t="s">
        <v>103</v>
      </c>
      <c r="BM621" t="s">
        <v>12575</v>
      </c>
      <c r="BN621" t="s">
        <v>74</v>
      </c>
      <c r="BO621" t="s">
        <v>74</v>
      </c>
      <c r="BP621" t="s">
        <v>74</v>
      </c>
      <c r="BQ621" t="s">
        <v>74</v>
      </c>
      <c r="BR621" t="s">
        <v>106</v>
      </c>
      <c r="BS621" t="s">
        <v>12576</v>
      </c>
      <c r="BT621" t="str">
        <f>HYPERLINK("https%3A%2F%2Fwww.webofscience.com%2Fwos%2Fwoscc%2Ffull-record%2FWOS:000275934100145","View Full Record in Web of Science")</f>
        <v>View Full Record in Web of Science</v>
      </c>
    </row>
    <row r="622" spans="1:72" x14ac:dyDescent="0.25">
      <c r="A622" t="s">
        <v>72</v>
      </c>
      <c r="B622" t="s">
        <v>12577</v>
      </c>
      <c r="C622" t="s">
        <v>74</v>
      </c>
      <c r="D622" t="s">
        <v>74</v>
      </c>
      <c r="E622" t="s">
        <v>74</v>
      </c>
      <c r="F622" t="s">
        <v>12578</v>
      </c>
      <c r="G622" t="s">
        <v>74</v>
      </c>
      <c r="H622" t="s">
        <v>74</v>
      </c>
      <c r="I622" t="s">
        <v>12579</v>
      </c>
      <c r="J622" t="s">
        <v>1532</v>
      </c>
      <c r="K622" t="s">
        <v>74</v>
      </c>
      <c r="L622" t="s">
        <v>74</v>
      </c>
      <c r="M622" t="s">
        <v>78</v>
      </c>
      <c r="N622" t="s">
        <v>10845</v>
      </c>
      <c r="O622" t="s">
        <v>74</v>
      </c>
      <c r="P622" t="s">
        <v>74</v>
      </c>
      <c r="Q622" t="s">
        <v>74</v>
      </c>
      <c r="R622" t="s">
        <v>74</v>
      </c>
      <c r="S622" t="s">
        <v>74</v>
      </c>
      <c r="T622" t="s">
        <v>12580</v>
      </c>
      <c r="U622" t="s">
        <v>74</v>
      </c>
      <c r="V622" t="s">
        <v>12581</v>
      </c>
      <c r="W622" t="s">
        <v>12582</v>
      </c>
      <c r="X622" t="s">
        <v>12583</v>
      </c>
      <c r="Y622" t="s">
        <v>12584</v>
      </c>
      <c r="Z622" t="s">
        <v>12585</v>
      </c>
      <c r="AA622" t="s">
        <v>74</v>
      </c>
      <c r="AB622" t="s">
        <v>12586</v>
      </c>
      <c r="AC622" t="s">
        <v>12587</v>
      </c>
      <c r="AD622" t="s">
        <v>8245</v>
      </c>
      <c r="AE622" t="s">
        <v>12588</v>
      </c>
      <c r="AF622" t="s">
        <v>74</v>
      </c>
      <c r="AG622">
        <v>38</v>
      </c>
      <c r="AH622">
        <v>0</v>
      </c>
      <c r="AI622">
        <v>0</v>
      </c>
      <c r="AJ622">
        <v>3</v>
      </c>
      <c r="AK622">
        <v>3</v>
      </c>
      <c r="AL622" t="s">
        <v>895</v>
      </c>
      <c r="AM622" t="s">
        <v>896</v>
      </c>
      <c r="AN622" t="s">
        <v>897</v>
      </c>
      <c r="AO622" t="s">
        <v>1541</v>
      </c>
      <c r="AP622" t="s">
        <v>74</v>
      </c>
      <c r="AQ622" t="s">
        <v>74</v>
      </c>
      <c r="AR622" t="s">
        <v>1542</v>
      </c>
      <c r="AS622" t="s">
        <v>1543</v>
      </c>
      <c r="AT622" t="s">
        <v>12589</v>
      </c>
      <c r="AU622">
        <v>2025</v>
      </c>
      <c r="AV622" t="s">
        <v>74</v>
      </c>
      <c r="AW622" t="s">
        <v>74</v>
      </c>
      <c r="AX622" t="s">
        <v>74</v>
      </c>
      <c r="AY622" t="s">
        <v>74</v>
      </c>
      <c r="AZ622" t="s">
        <v>74</v>
      </c>
      <c r="BA622" t="s">
        <v>74</v>
      </c>
      <c r="BB622" t="s">
        <v>74</v>
      </c>
      <c r="BC622" t="s">
        <v>74</v>
      </c>
      <c r="BD622" t="s">
        <v>74</v>
      </c>
      <c r="BE622" t="s">
        <v>12590</v>
      </c>
      <c r="BF622" t="str">
        <f>HYPERLINK("http://dx.doi.org/10.1109/TCSS.2025.3630068","http://dx.doi.org/10.1109/TCSS.2025.3630068")</f>
        <v>http://dx.doi.org/10.1109/TCSS.2025.3630068</v>
      </c>
      <c r="BG622" t="s">
        <v>74</v>
      </c>
      <c r="BH622" t="s">
        <v>1253</v>
      </c>
      <c r="BI622">
        <v>15</v>
      </c>
      <c r="BJ622" t="s">
        <v>1546</v>
      </c>
      <c r="BK622" t="s">
        <v>902</v>
      </c>
      <c r="BL622" t="s">
        <v>103</v>
      </c>
      <c r="BM622" t="s">
        <v>12591</v>
      </c>
      <c r="BN622" t="s">
        <v>74</v>
      </c>
      <c r="BO622" t="s">
        <v>74</v>
      </c>
      <c r="BP622" t="s">
        <v>74</v>
      </c>
      <c r="BQ622" t="s">
        <v>74</v>
      </c>
      <c r="BR622" t="s">
        <v>106</v>
      </c>
      <c r="BS622" t="s">
        <v>12592</v>
      </c>
      <c r="BT622" t="str">
        <f>HYPERLINK("https%3A%2F%2Fwww.webofscience.com%2Fwos%2Fwoscc%2Ffull-record%2FWOS:001643503200001","View Full Record in Web of Science")</f>
        <v>View Full Record in Web of Science</v>
      </c>
    </row>
    <row r="623" spans="1:72" x14ac:dyDescent="0.25">
      <c r="A623" t="s">
        <v>108</v>
      </c>
      <c r="B623" t="s">
        <v>12593</v>
      </c>
      <c r="C623" t="s">
        <v>74</v>
      </c>
      <c r="D623" t="s">
        <v>74</v>
      </c>
      <c r="E623" t="s">
        <v>322</v>
      </c>
      <c r="F623" t="s">
        <v>12594</v>
      </c>
      <c r="G623" t="s">
        <v>74</v>
      </c>
      <c r="H623" t="s">
        <v>74</v>
      </c>
      <c r="I623" t="s">
        <v>12595</v>
      </c>
      <c r="J623" t="s">
        <v>12596</v>
      </c>
      <c r="K623" t="s">
        <v>74</v>
      </c>
      <c r="L623" t="s">
        <v>74</v>
      </c>
      <c r="M623" t="s">
        <v>78</v>
      </c>
      <c r="N623" t="s">
        <v>115</v>
      </c>
      <c r="O623" t="s">
        <v>12597</v>
      </c>
      <c r="P623" t="s">
        <v>12598</v>
      </c>
      <c r="Q623" t="s">
        <v>12599</v>
      </c>
      <c r="R623" t="s">
        <v>273</v>
      </c>
      <c r="S623" t="s">
        <v>74</v>
      </c>
      <c r="T623" t="s">
        <v>12600</v>
      </c>
      <c r="U623" t="s">
        <v>74</v>
      </c>
      <c r="V623" t="s">
        <v>12601</v>
      </c>
      <c r="W623" t="s">
        <v>12602</v>
      </c>
      <c r="X623" t="s">
        <v>6539</v>
      </c>
      <c r="Y623" t="s">
        <v>12603</v>
      </c>
      <c r="Z623" t="s">
        <v>12604</v>
      </c>
      <c r="AA623" t="s">
        <v>74</v>
      </c>
      <c r="AB623" t="s">
        <v>74</v>
      </c>
      <c r="AC623" t="s">
        <v>74</v>
      </c>
      <c r="AD623" t="s">
        <v>74</v>
      </c>
      <c r="AE623" t="s">
        <v>74</v>
      </c>
      <c r="AF623" t="s">
        <v>74</v>
      </c>
      <c r="AG623">
        <v>4</v>
      </c>
      <c r="AH623">
        <v>6</v>
      </c>
      <c r="AI623">
        <v>8</v>
      </c>
      <c r="AJ623">
        <v>0</v>
      </c>
      <c r="AK623">
        <v>2</v>
      </c>
      <c r="AL623" t="s">
        <v>291</v>
      </c>
      <c r="AM623" t="s">
        <v>92</v>
      </c>
      <c r="AN623" t="s">
        <v>292</v>
      </c>
      <c r="AO623" t="s">
        <v>74</v>
      </c>
      <c r="AP623" t="s">
        <v>74</v>
      </c>
      <c r="AQ623" t="s">
        <v>12605</v>
      </c>
      <c r="AR623" t="s">
        <v>74</v>
      </c>
      <c r="AS623" t="s">
        <v>74</v>
      </c>
      <c r="AT623" t="s">
        <v>74</v>
      </c>
      <c r="AU623">
        <v>2019</v>
      </c>
      <c r="AV623" t="s">
        <v>74</v>
      </c>
      <c r="AW623" t="s">
        <v>74</v>
      </c>
      <c r="AX623" t="s">
        <v>74</v>
      </c>
      <c r="AY623" t="s">
        <v>74</v>
      </c>
      <c r="AZ623" t="s">
        <v>74</v>
      </c>
      <c r="BA623" t="s">
        <v>74</v>
      </c>
      <c r="BB623">
        <v>39</v>
      </c>
      <c r="BC623">
        <v>40</v>
      </c>
      <c r="BD623" t="s">
        <v>74</v>
      </c>
      <c r="BE623" t="s">
        <v>12606</v>
      </c>
      <c r="BF623" t="str">
        <f>HYPERLINK("http://dx.doi.org/10.1145/3308557.3308670","http://dx.doi.org/10.1145/3308557.3308670")</f>
        <v>http://dx.doi.org/10.1145/3308557.3308670</v>
      </c>
      <c r="BG623" t="s">
        <v>74</v>
      </c>
      <c r="BH623" t="s">
        <v>74</v>
      </c>
      <c r="BI623">
        <v>2</v>
      </c>
      <c r="BJ623" t="s">
        <v>12607</v>
      </c>
      <c r="BK623" t="s">
        <v>203</v>
      </c>
      <c r="BL623" t="s">
        <v>103</v>
      </c>
      <c r="BM623" t="s">
        <v>12608</v>
      </c>
      <c r="BN623" t="s">
        <v>74</v>
      </c>
      <c r="BO623" t="s">
        <v>74</v>
      </c>
      <c r="BP623" t="s">
        <v>74</v>
      </c>
      <c r="BQ623" t="s">
        <v>74</v>
      </c>
      <c r="BR623" t="s">
        <v>106</v>
      </c>
      <c r="BS623" t="s">
        <v>12609</v>
      </c>
      <c r="BT623" t="str">
        <f>HYPERLINK("https%3A%2F%2Fwww.webofscience.com%2Fwos%2Fwoscc%2Ffull-record%2FWOS:000546032800020","View Full Record in Web of Science")</f>
        <v>View Full Record in Web of Science</v>
      </c>
    </row>
    <row r="624" spans="1:72" x14ac:dyDescent="0.25">
      <c r="A624" t="s">
        <v>108</v>
      </c>
      <c r="B624" t="s">
        <v>12610</v>
      </c>
      <c r="C624" t="s">
        <v>74</v>
      </c>
      <c r="D624" t="s">
        <v>12611</v>
      </c>
      <c r="E624" t="s">
        <v>74</v>
      </c>
      <c r="F624" t="s">
        <v>12612</v>
      </c>
      <c r="G624" t="s">
        <v>74</v>
      </c>
      <c r="H624" t="s">
        <v>74</v>
      </c>
      <c r="I624" t="s">
        <v>12613</v>
      </c>
      <c r="J624" t="s">
        <v>12614</v>
      </c>
      <c r="K624" t="s">
        <v>12615</v>
      </c>
      <c r="L624" t="s">
        <v>74</v>
      </c>
      <c r="M624" t="s">
        <v>78</v>
      </c>
      <c r="N624" t="s">
        <v>115</v>
      </c>
      <c r="O624" t="s">
        <v>12616</v>
      </c>
      <c r="P624" t="s">
        <v>12617</v>
      </c>
      <c r="Q624" t="s">
        <v>12618</v>
      </c>
      <c r="R624" t="s">
        <v>74</v>
      </c>
      <c r="S624" t="s">
        <v>12619</v>
      </c>
      <c r="T624" t="s">
        <v>12620</v>
      </c>
      <c r="U624" t="s">
        <v>74</v>
      </c>
      <c r="V624" t="s">
        <v>12621</v>
      </c>
      <c r="W624" t="s">
        <v>12622</v>
      </c>
      <c r="X624" t="s">
        <v>866</v>
      </c>
      <c r="Y624" t="s">
        <v>12623</v>
      </c>
      <c r="Z624" t="s">
        <v>12624</v>
      </c>
      <c r="AA624" t="s">
        <v>74</v>
      </c>
      <c r="AB624" t="s">
        <v>74</v>
      </c>
      <c r="AC624" t="s">
        <v>74</v>
      </c>
      <c r="AD624" t="s">
        <v>74</v>
      </c>
      <c r="AE624" t="s">
        <v>74</v>
      </c>
      <c r="AF624" t="s">
        <v>74</v>
      </c>
      <c r="AG624">
        <v>8</v>
      </c>
      <c r="AH624">
        <v>0</v>
      </c>
      <c r="AI624">
        <v>0</v>
      </c>
      <c r="AJ624">
        <v>0</v>
      </c>
      <c r="AK624">
        <v>2</v>
      </c>
      <c r="AL624" t="s">
        <v>197</v>
      </c>
      <c r="AM624" t="s">
        <v>198</v>
      </c>
      <c r="AN624" t="s">
        <v>199</v>
      </c>
      <c r="AO624" t="s">
        <v>12625</v>
      </c>
      <c r="AP624" t="s">
        <v>74</v>
      </c>
      <c r="AQ624" t="s">
        <v>12626</v>
      </c>
      <c r="AR624" t="s">
        <v>12627</v>
      </c>
      <c r="AS624" t="s">
        <v>74</v>
      </c>
      <c r="AT624" t="s">
        <v>74</v>
      </c>
      <c r="AU624">
        <v>2011</v>
      </c>
      <c r="AV624">
        <v>100</v>
      </c>
      <c r="AW624" t="s">
        <v>74</v>
      </c>
      <c r="AX624" t="s">
        <v>74</v>
      </c>
      <c r="AY624" t="s">
        <v>74</v>
      </c>
      <c r="AZ624" t="s">
        <v>74</v>
      </c>
      <c r="BA624" t="s">
        <v>74</v>
      </c>
      <c r="BB624">
        <v>611</v>
      </c>
      <c r="BC624">
        <v>618</v>
      </c>
      <c r="BD624" t="s">
        <v>74</v>
      </c>
      <c r="BE624" t="s">
        <v>74</v>
      </c>
      <c r="BF624" t="s">
        <v>74</v>
      </c>
      <c r="BG624" t="s">
        <v>74</v>
      </c>
      <c r="BH624" t="s">
        <v>74</v>
      </c>
      <c r="BI624">
        <v>8</v>
      </c>
      <c r="BJ624" t="s">
        <v>12628</v>
      </c>
      <c r="BK624" t="s">
        <v>203</v>
      </c>
      <c r="BL624" t="s">
        <v>6015</v>
      </c>
      <c r="BM624" t="s">
        <v>12629</v>
      </c>
      <c r="BN624" t="s">
        <v>74</v>
      </c>
      <c r="BO624" t="s">
        <v>74</v>
      </c>
      <c r="BP624" t="s">
        <v>74</v>
      </c>
      <c r="BQ624" t="s">
        <v>74</v>
      </c>
      <c r="BR624" t="s">
        <v>106</v>
      </c>
      <c r="BS624" t="s">
        <v>12630</v>
      </c>
      <c r="BT624" t="str">
        <f>HYPERLINK("https%3A%2F%2Fwww.webofscience.com%2Fwos%2Fwoscc%2Ffull-record%2FWOS:000307031600074","View Full Record in Web of Science")</f>
        <v>View Full Record in Web of Science</v>
      </c>
    </row>
    <row r="625" spans="1:72" x14ac:dyDescent="0.25">
      <c r="A625" t="s">
        <v>108</v>
      </c>
      <c r="B625" t="s">
        <v>12631</v>
      </c>
      <c r="C625" t="s">
        <v>74</v>
      </c>
      <c r="D625" t="s">
        <v>12632</v>
      </c>
      <c r="E625" t="s">
        <v>74</v>
      </c>
      <c r="F625" t="s">
        <v>12633</v>
      </c>
      <c r="G625" t="s">
        <v>74</v>
      </c>
      <c r="H625" t="s">
        <v>74</v>
      </c>
      <c r="I625" t="s">
        <v>12634</v>
      </c>
      <c r="J625" t="s">
        <v>12635</v>
      </c>
      <c r="K625" t="s">
        <v>4853</v>
      </c>
      <c r="L625" t="s">
        <v>74</v>
      </c>
      <c r="M625" t="s">
        <v>78</v>
      </c>
      <c r="N625" t="s">
        <v>115</v>
      </c>
      <c r="O625" t="s">
        <v>12636</v>
      </c>
      <c r="P625" t="s">
        <v>12637</v>
      </c>
      <c r="Q625" t="s">
        <v>12638</v>
      </c>
      <c r="R625" t="s">
        <v>12639</v>
      </c>
      <c r="S625" t="s">
        <v>12640</v>
      </c>
      <c r="T625" t="s">
        <v>12641</v>
      </c>
      <c r="U625" t="s">
        <v>74</v>
      </c>
      <c r="V625" t="s">
        <v>12642</v>
      </c>
      <c r="W625" t="s">
        <v>12643</v>
      </c>
      <c r="X625" t="s">
        <v>12644</v>
      </c>
      <c r="Y625" t="s">
        <v>12645</v>
      </c>
      <c r="Z625" t="s">
        <v>12646</v>
      </c>
      <c r="AA625" t="s">
        <v>12647</v>
      </c>
      <c r="AB625" t="s">
        <v>12648</v>
      </c>
      <c r="AC625" t="s">
        <v>12649</v>
      </c>
      <c r="AD625" t="s">
        <v>12650</v>
      </c>
      <c r="AE625" t="s">
        <v>12651</v>
      </c>
      <c r="AF625" t="s">
        <v>74</v>
      </c>
      <c r="AG625">
        <v>13</v>
      </c>
      <c r="AH625">
        <v>0</v>
      </c>
      <c r="AI625">
        <v>0</v>
      </c>
      <c r="AJ625">
        <v>0</v>
      </c>
      <c r="AK625">
        <v>3</v>
      </c>
      <c r="AL625" t="s">
        <v>129</v>
      </c>
      <c r="AM625" t="s">
        <v>130</v>
      </c>
      <c r="AN625" t="s">
        <v>131</v>
      </c>
      <c r="AO625" t="s">
        <v>4865</v>
      </c>
      <c r="AP625" t="s">
        <v>4866</v>
      </c>
      <c r="AQ625" t="s">
        <v>12652</v>
      </c>
      <c r="AR625" t="s">
        <v>4868</v>
      </c>
      <c r="AS625" t="s">
        <v>74</v>
      </c>
      <c r="AT625" t="s">
        <v>74</v>
      </c>
      <c r="AU625">
        <v>2020</v>
      </c>
      <c r="AV625">
        <v>1086</v>
      </c>
      <c r="AW625" t="s">
        <v>74</v>
      </c>
      <c r="AX625" t="s">
        <v>74</v>
      </c>
      <c r="AY625" t="s">
        <v>74</v>
      </c>
      <c r="AZ625" t="s">
        <v>74</v>
      </c>
      <c r="BA625" t="s">
        <v>74</v>
      </c>
      <c r="BB625">
        <v>154</v>
      </c>
      <c r="BC625">
        <v>159</v>
      </c>
      <c r="BD625" t="s">
        <v>74</v>
      </c>
      <c r="BE625" t="s">
        <v>12653</v>
      </c>
      <c r="BF625" t="str">
        <f>HYPERLINK("http://dx.doi.org/10.1007/978-3-030-39575-9_15","http://dx.doi.org/10.1007/978-3-030-39575-9_15")</f>
        <v>http://dx.doi.org/10.1007/978-3-030-39575-9_15</v>
      </c>
      <c r="BG625" t="s">
        <v>74</v>
      </c>
      <c r="BH625" t="s">
        <v>74</v>
      </c>
      <c r="BI625">
        <v>6</v>
      </c>
      <c r="BJ625" t="s">
        <v>12654</v>
      </c>
      <c r="BK625" t="s">
        <v>203</v>
      </c>
      <c r="BL625" t="s">
        <v>6015</v>
      </c>
      <c r="BM625" t="s">
        <v>12655</v>
      </c>
      <c r="BN625" t="s">
        <v>74</v>
      </c>
      <c r="BO625" t="s">
        <v>74</v>
      </c>
      <c r="BP625" t="s">
        <v>74</v>
      </c>
      <c r="BQ625" t="s">
        <v>74</v>
      </c>
      <c r="BR625" t="s">
        <v>106</v>
      </c>
      <c r="BS625" t="s">
        <v>12656</v>
      </c>
      <c r="BT625" t="str">
        <f>HYPERLINK("https%3A%2F%2Fwww.webofscience.com%2Fwos%2Fwoscc%2Ffull-record%2FWOS:000624286300015","View Full Record in Web of Science")</f>
        <v>View Full Record in Web of Science</v>
      </c>
    </row>
    <row r="626" spans="1:72" x14ac:dyDescent="0.25">
      <c r="A626" t="s">
        <v>108</v>
      </c>
      <c r="B626" t="s">
        <v>12657</v>
      </c>
      <c r="C626" t="s">
        <v>74</v>
      </c>
      <c r="D626" t="s">
        <v>12658</v>
      </c>
      <c r="E626" t="s">
        <v>74</v>
      </c>
      <c r="F626" t="s">
        <v>12659</v>
      </c>
      <c r="G626" t="s">
        <v>74</v>
      </c>
      <c r="H626" t="s">
        <v>74</v>
      </c>
      <c r="I626" t="s">
        <v>12660</v>
      </c>
      <c r="J626" t="s">
        <v>12661</v>
      </c>
      <c r="K626" t="s">
        <v>3110</v>
      </c>
      <c r="L626" t="s">
        <v>74</v>
      </c>
      <c r="M626" t="s">
        <v>78</v>
      </c>
      <c r="N626" t="s">
        <v>115</v>
      </c>
      <c r="O626" t="s">
        <v>12662</v>
      </c>
      <c r="P626" t="s">
        <v>12663</v>
      </c>
      <c r="Q626" t="s">
        <v>10980</v>
      </c>
      <c r="R626" t="s">
        <v>74</v>
      </c>
      <c r="S626" t="s">
        <v>74</v>
      </c>
      <c r="T626" t="s">
        <v>12664</v>
      </c>
      <c r="U626" t="s">
        <v>12665</v>
      </c>
      <c r="V626" t="s">
        <v>12666</v>
      </c>
      <c r="W626" t="s">
        <v>12667</v>
      </c>
      <c r="X626" t="s">
        <v>11590</v>
      </c>
      <c r="Y626" t="s">
        <v>12668</v>
      </c>
      <c r="Z626" t="s">
        <v>12669</v>
      </c>
      <c r="AA626" t="s">
        <v>12670</v>
      </c>
      <c r="AB626" t="s">
        <v>12671</v>
      </c>
      <c r="AC626" t="s">
        <v>74</v>
      </c>
      <c r="AD626" t="s">
        <v>74</v>
      </c>
      <c r="AE626" t="s">
        <v>74</v>
      </c>
      <c r="AF626" t="s">
        <v>74</v>
      </c>
      <c r="AG626">
        <v>25</v>
      </c>
      <c r="AH626">
        <v>21</v>
      </c>
      <c r="AI626">
        <v>25</v>
      </c>
      <c r="AJ626">
        <v>7</v>
      </c>
      <c r="AK626">
        <v>75</v>
      </c>
      <c r="AL626" t="s">
        <v>129</v>
      </c>
      <c r="AM626" t="s">
        <v>130</v>
      </c>
      <c r="AN626" t="s">
        <v>131</v>
      </c>
      <c r="AO626" t="s">
        <v>3120</v>
      </c>
      <c r="AP626" t="s">
        <v>11417</v>
      </c>
      <c r="AQ626" t="s">
        <v>12672</v>
      </c>
      <c r="AR626" t="s">
        <v>3122</v>
      </c>
      <c r="AS626" t="s">
        <v>74</v>
      </c>
      <c r="AT626" t="s">
        <v>74</v>
      </c>
      <c r="AU626">
        <v>2023</v>
      </c>
      <c r="AV626">
        <v>480</v>
      </c>
      <c r="AW626" t="s">
        <v>74</v>
      </c>
      <c r="AX626" t="s">
        <v>74</v>
      </c>
      <c r="AY626" t="s">
        <v>74</v>
      </c>
      <c r="AZ626" t="s">
        <v>74</v>
      </c>
      <c r="BA626" t="s">
        <v>74</v>
      </c>
      <c r="BB626">
        <v>1</v>
      </c>
      <c r="BC626">
        <v>13</v>
      </c>
      <c r="BD626" t="s">
        <v>74</v>
      </c>
      <c r="BE626" t="s">
        <v>12673</v>
      </c>
      <c r="BF626" t="str">
        <f>HYPERLINK("http://dx.doi.org/10.1007/978-3-031-32299-0_1","http://dx.doi.org/10.1007/978-3-031-32299-0_1")</f>
        <v>http://dx.doi.org/10.1007/978-3-031-32299-0_1</v>
      </c>
      <c r="BG626" t="s">
        <v>74</v>
      </c>
      <c r="BH626" t="s">
        <v>74</v>
      </c>
      <c r="BI626">
        <v>13</v>
      </c>
      <c r="BJ626" t="s">
        <v>12674</v>
      </c>
      <c r="BK626" t="s">
        <v>138</v>
      </c>
      <c r="BL626" t="s">
        <v>1591</v>
      </c>
      <c r="BM626" t="s">
        <v>12675</v>
      </c>
      <c r="BN626">
        <v>36861466</v>
      </c>
      <c r="BO626" t="s">
        <v>74</v>
      </c>
      <c r="BP626" t="s">
        <v>74</v>
      </c>
      <c r="BQ626" t="s">
        <v>74</v>
      </c>
      <c r="BR626" t="s">
        <v>106</v>
      </c>
      <c r="BS626" t="s">
        <v>12676</v>
      </c>
      <c r="BT626" t="str">
        <f>HYPERLINK("https%3A%2F%2Fwww.webofscience.com%2Fwos%2Fwoscc%2Ffull-record%2FWOS:001329869300001","View Full Record in Web of Science")</f>
        <v>View Full Record in Web of Science</v>
      </c>
    </row>
    <row r="627" spans="1:72" x14ac:dyDescent="0.25">
      <c r="A627" t="s">
        <v>108</v>
      </c>
      <c r="B627" t="s">
        <v>12677</v>
      </c>
      <c r="C627" t="s">
        <v>74</v>
      </c>
      <c r="D627" t="s">
        <v>12678</v>
      </c>
      <c r="E627" t="s">
        <v>74</v>
      </c>
      <c r="F627" t="s">
        <v>12679</v>
      </c>
      <c r="G627" t="s">
        <v>74</v>
      </c>
      <c r="H627" t="s">
        <v>74</v>
      </c>
      <c r="I627" t="s">
        <v>12680</v>
      </c>
      <c r="J627" t="s">
        <v>12681</v>
      </c>
      <c r="K627" t="s">
        <v>74</v>
      </c>
      <c r="L627" t="s">
        <v>74</v>
      </c>
      <c r="M627" t="s">
        <v>78</v>
      </c>
      <c r="N627" t="s">
        <v>115</v>
      </c>
      <c r="O627" t="s">
        <v>12682</v>
      </c>
      <c r="P627" t="s">
        <v>12683</v>
      </c>
      <c r="Q627" t="s">
        <v>12684</v>
      </c>
      <c r="R627" t="s">
        <v>12685</v>
      </c>
      <c r="S627" t="s">
        <v>74</v>
      </c>
      <c r="T627" t="s">
        <v>12686</v>
      </c>
      <c r="U627" t="s">
        <v>12687</v>
      </c>
      <c r="V627" t="s">
        <v>12688</v>
      </c>
      <c r="W627" t="s">
        <v>12689</v>
      </c>
      <c r="X627" t="s">
        <v>12690</v>
      </c>
      <c r="Y627" t="s">
        <v>12691</v>
      </c>
      <c r="Z627" t="s">
        <v>12692</v>
      </c>
      <c r="AA627" t="s">
        <v>12693</v>
      </c>
      <c r="AB627" t="s">
        <v>12694</v>
      </c>
      <c r="AC627" t="s">
        <v>74</v>
      </c>
      <c r="AD627" t="s">
        <v>74</v>
      </c>
      <c r="AE627" t="s">
        <v>74</v>
      </c>
      <c r="AF627" t="s">
        <v>74</v>
      </c>
      <c r="AG627">
        <v>25</v>
      </c>
      <c r="AH627">
        <v>4</v>
      </c>
      <c r="AI627">
        <v>6</v>
      </c>
      <c r="AJ627">
        <v>0</v>
      </c>
      <c r="AK627">
        <v>34</v>
      </c>
      <c r="AL627" t="s">
        <v>465</v>
      </c>
      <c r="AM627" t="s">
        <v>92</v>
      </c>
      <c r="AN627" t="s">
        <v>480</v>
      </c>
      <c r="AO627" t="s">
        <v>74</v>
      </c>
      <c r="AP627" t="s">
        <v>74</v>
      </c>
      <c r="AQ627" t="s">
        <v>12695</v>
      </c>
      <c r="AR627" t="s">
        <v>74</v>
      </c>
      <c r="AS627" t="s">
        <v>74</v>
      </c>
      <c r="AT627" t="s">
        <v>74</v>
      </c>
      <c r="AU627">
        <v>2015</v>
      </c>
      <c r="AV627" t="s">
        <v>74</v>
      </c>
      <c r="AW627" t="s">
        <v>74</v>
      </c>
      <c r="AX627" t="s">
        <v>74</v>
      </c>
      <c r="AY627" t="s">
        <v>74</v>
      </c>
      <c r="AZ627" t="s">
        <v>74</v>
      </c>
      <c r="BA627" t="s">
        <v>74</v>
      </c>
      <c r="BB627">
        <v>48</v>
      </c>
      <c r="BC627">
        <v>56</v>
      </c>
      <c r="BD627" t="s">
        <v>74</v>
      </c>
      <c r="BE627" t="s">
        <v>12696</v>
      </c>
      <c r="BF627" t="str">
        <f>HYPERLINK("http://dx.doi.org/10.1109/ICHI.2015.12","http://dx.doi.org/10.1109/ICHI.2015.12")</f>
        <v>http://dx.doi.org/10.1109/ICHI.2015.12</v>
      </c>
      <c r="BG627" t="s">
        <v>74</v>
      </c>
      <c r="BH627" t="s">
        <v>74</v>
      </c>
      <c r="BI627">
        <v>9</v>
      </c>
      <c r="BJ627" t="s">
        <v>12697</v>
      </c>
      <c r="BK627" t="s">
        <v>203</v>
      </c>
      <c r="BL627" t="s">
        <v>4558</v>
      </c>
      <c r="BM627" t="s">
        <v>12698</v>
      </c>
      <c r="BN627" t="s">
        <v>74</v>
      </c>
      <c r="BO627" t="s">
        <v>74</v>
      </c>
      <c r="BP627" t="s">
        <v>74</v>
      </c>
      <c r="BQ627" t="s">
        <v>74</v>
      </c>
      <c r="BR627" t="s">
        <v>106</v>
      </c>
      <c r="BS627" t="s">
        <v>12699</v>
      </c>
      <c r="BT627" t="str">
        <f>HYPERLINK("https%3A%2F%2Fwww.webofscience.com%2Fwos%2Fwoscc%2Ffull-record%2FWOS:000380399000006","View Full Record in Web of Science")</f>
        <v>View Full Record in Web of Science</v>
      </c>
    </row>
    <row r="628" spans="1:72" x14ac:dyDescent="0.25">
      <c r="A628" t="s">
        <v>108</v>
      </c>
      <c r="B628" t="s">
        <v>12700</v>
      </c>
      <c r="C628" t="s">
        <v>74</v>
      </c>
      <c r="D628" t="s">
        <v>74</v>
      </c>
      <c r="E628" t="s">
        <v>322</v>
      </c>
      <c r="F628" t="s">
        <v>12701</v>
      </c>
      <c r="G628" t="s">
        <v>74</v>
      </c>
      <c r="H628" t="s">
        <v>74</v>
      </c>
      <c r="I628" t="s">
        <v>12702</v>
      </c>
      <c r="J628" t="s">
        <v>12703</v>
      </c>
      <c r="K628" t="s">
        <v>74</v>
      </c>
      <c r="L628" t="s">
        <v>74</v>
      </c>
      <c r="M628" t="s">
        <v>78</v>
      </c>
      <c r="N628" t="s">
        <v>115</v>
      </c>
      <c r="O628" t="s">
        <v>12704</v>
      </c>
      <c r="P628" t="s">
        <v>12705</v>
      </c>
      <c r="Q628" t="s">
        <v>8799</v>
      </c>
      <c r="R628" t="s">
        <v>12706</v>
      </c>
      <c r="S628" t="s">
        <v>74</v>
      </c>
      <c r="T628" t="s">
        <v>74</v>
      </c>
      <c r="U628" t="s">
        <v>74</v>
      </c>
      <c r="V628" t="s">
        <v>12707</v>
      </c>
      <c r="W628" t="s">
        <v>12708</v>
      </c>
      <c r="X628" t="s">
        <v>5171</v>
      </c>
      <c r="Y628" t="s">
        <v>12709</v>
      </c>
      <c r="Z628" t="s">
        <v>12710</v>
      </c>
      <c r="AA628" t="s">
        <v>74</v>
      </c>
      <c r="AB628" t="s">
        <v>74</v>
      </c>
      <c r="AC628" t="s">
        <v>74</v>
      </c>
      <c r="AD628" t="s">
        <v>74</v>
      </c>
      <c r="AE628" t="s">
        <v>74</v>
      </c>
      <c r="AF628" t="s">
        <v>74</v>
      </c>
      <c r="AG628">
        <v>4</v>
      </c>
      <c r="AH628">
        <v>20</v>
      </c>
      <c r="AI628">
        <v>24</v>
      </c>
      <c r="AJ628">
        <v>0</v>
      </c>
      <c r="AK628">
        <v>2</v>
      </c>
      <c r="AL628" t="s">
        <v>291</v>
      </c>
      <c r="AM628" t="s">
        <v>92</v>
      </c>
      <c r="AN628" t="s">
        <v>292</v>
      </c>
      <c r="AO628" t="s">
        <v>74</v>
      </c>
      <c r="AP628" t="s">
        <v>74</v>
      </c>
      <c r="AQ628" t="s">
        <v>12711</v>
      </c>
      <c r="AR628" t="s">
        <v>74</v>
      </c>
      <c r="AS628" t="s">
        <v>74</v>
      </c>
      <c r="AT628" t="s">
        <v>74</v>
      </c>
      <c r="AU628">
        <v>2016</v>
      </c>
      <c r="AV628" t="s">
        <v>74</v>
      </c>
      <c r="AW628" t="s">
        <v>74</v>
      </c>
      <c r="AX628" t="s">
        <v>74</v>
      </c>
      <c r="AY628" t="s">
        <v>74</v>
      </c>
      <c r="AZ628" t="s">
        <v>74</v>
      </c>
      <c r="BA628" t="s">
        <v>74</v>
      </c>
      <c r="BB628">
        <v>93</v>
      </c>
      <c r="BC628">
        <v>94</v>
      </c>
      <c r="BD628" t="s">
        <v>74</v>
      </c>
      <c r="BE628" t="s">
        <v>12712</v>
      </c>
      <c r="BF628" t="str">
        <f>HYPERLINK("http://dx.doi.org/10.1145/2872518.2889411","http://dx.doi.org/10.1145/2872518.2889411")</f>
        <v>http://dx.doi.org/10.1145/2872518.2889411</v>
      </c>
      <c r="BG628" t="s">
        <v>74</v>
      </c>
      <c r="BH628" t="s">
        <v>74</v>
      </c>
      <c r="BI628">
        <v>2</v>
      </c>
      <c r="BJ628" t="s">
        <v>925</v>
      </c>
      <c r="BK628" t="s">
        <v>203</v>
      </c>
      <c r="BL628" t="s">
        <v>103</v>
      </c>
      <c r="BM628" t="s">
        <v>12713</v>
      </c>
      <c r="BN628" t="s">
        <v>74</v>
      </c>
      <c r="BO628" t="s">
        <v>74</v>
      </c>
      <c r="BP628" t="s">
        <v>74</v>
      </c>
      <c r="BQ628" t="s">
        <v>74</v>
      </c>
      <c r="BR628" t="s">
        <v>106</v>
      </c>
      <c r="BS628" t="s">
        <v>12714</v>
      </c>
      <c r="BT628" t="str">
        <f>HYPERLINK("https%3A%2F%2Fwww.webofscience.com%2Fwos%2Fwoscc%2Ffull-record%2FWOS:000687202100045","View Full Record in Web of Science")</f>
        <v>View Full Record in Web of Science</v>
      </c>
    </row>
    <row r="629" spans="1:72" x14ac:dyDescent="0.25">
      <c r="A629" t="s">
        <v>108</v>
      </c>
      <c r="B629" t="s">
        <v>12715</v>
      </c>
      <c r="C629" t="s">
        <v>74</v>
      </c>
      <c r="D629" t="s">
        <v>74</v>
      </c>
      <c r="E629" t="s">
        <v>465</v>
      </c>
      <c r="F629" t="s">
        <v>12716</v>
      </c>
      <c r="G629" t="s">
        <v>74</v>
      </c>
      <c r="H629" t="s">
        <v>74</v>
      </c>
      <c r="I629" t="s">
        <v>12717</v>
      </c>
      <c r="J629" t="s">
        <v>12718</v>
      </c>
      <c r="K629" t="s">
        <v>12719</v>
      </c>
      <c r="L629" t="s">
        <v>74</v>
      </c>
      <c r="M629" t="s">
        <v>78</v>
      </c>
      <c r="N629" t="s">
        <v>115</v>
      </c>
      <c r="O629" t="s">
        <v>12720</v>
      </c>
      <c r="P629" t="s">
        <v>12721</v>
      </c>
      <c r="Q629" t="s">
        <v>1051</v>
      </c>
      <c r="R629" t="s">
        <v>465</v>
      </c>
      <c r="S629" t="s">
        <v>74</v>
      </c>
      <c r="T629" t="s">
        <v>12722</v>
      </c>
      <c r="U629" t="s">
        <v>74</v>
      </c>
      <c r="V629" t="s">
        <v>12723</v>
      </c>
      <c r="W629" t="s">
        <v>12724</v>
      </c>
      <c r="X629" t="s">
        <v>12725</v>
      </c>
      <c r="Y629" t="s">
        <v>12726</v>
      </c>
      <c r="Z629" t="s">
        <v>12727</v>
      </c>
      <c r="AA629" t="s">
        <v>12728</v>
      </c>
      <c r="AB629" t="s">
        <v>12729</v>
      </c>
      <c r="AC629" t="s">
        <v>74</v>
      </c>
      <c r="AD629" t="s">
        <v>74</v>
      </c>
      <c r="AE629" t="s">
        <v>74</v>
      </c>
      <c r="AF629" t="s">
        <v>74</v>
      </c>
      <c r="AG629">
        <v>18</v>
      </c>
      <c r="AH629">
        <v>7</v>
      </c>
      <c r="AI629">
        <v>8</v>
      </c>
      <c r="AJ629">
        <v>1</v>
      </c>
      <c r="AK629">
        <v>2</v>
      </c>
      <c r="AL629" t="s">
        <v>465</v>
      </c>
      <c r="AM629" t="s">
        <v>92</v>
      </c>
      <c r="AN629" t="s">
        <v>480</v>
      </c>
      <c r="AO629" t="s">
        <v>12730</v>
      </c>
      <c r="AP629" t="s">
        <v>74</v>
      </c>
      <c r="AQ629" t="s">
        <v>12731</v>
      </c>
      <c r="AR629" t="s">
        <v>12732</v>
      </c>
      <c r="AS629" t="s">
        <v>74</v>
      </c>
      <c r="AT629" t="s">
        <v>74</v>
      </c>
      <c r="AU629">
        <v>2019</v>
      </c>
      <c r="AV629" t="s">
        <v>74</v>
      </c>
      <c r="AW629" t="s">
        <v>74</v>
      </c>
      <c r="AX629" t="s">
        <v>74</v>
      </c>
      <c r="AY629" t="s">
        <v>74</v>
      </c>
      <c r="AZ629" t="s">
        <v>74</v>
      </c>
      <c r="BA629" t="s">
        <v>74</v>
      </c>
      <c r="BB629">
        <v>575</v>
      </c>
      <c r="BC629">
        <v>580</v>
      </c>
      <c r="BD629" t="s">
        <v>74</v>
      </c>
      <c r="BE629" t="s">
        <v>12733</v>
      </c>
      <c r="BF629" t="str">
        <f>HYPERLINK("http://dx.doi.org/10.1109/iscc47284.2019.8969645","http://dx.doi.org/10.1109/iscc47284.2019.8969645")</f>
        <v>http://dx.doi.org/10.1109/iscc47284.2019.8969645</v>
      </c>
      <c r="BG629" t="s">
        <v>74</v>
      </c>
      <c r="BH629" t="s">
        <v>74</v>
      </c>
      <c r="BI629">
        <v>6</v>
      </c>
      <c r="BJ629" t="s">
        <v>12734</v>
      </c>
      <c r="BK629" t="s">
        <v>203</v>
      </c>
      <c r="BL629" t="s">
        <v>2422</v>
      </c>
      <c r="BM629" t="s">
        <v>12735</v>
      </c>
      <c r="BN629" t="s">
        <v>74</v>
      </c>
      <c r="BO629" t="s">
        <v>74</v>
      </c>
      <c r="BP629" t="s">
        <v>74</v>
      </c>
      <c r="BQ629" t="s">
        <v>74</v>
      </c>
      <c r="BR629" t="s">
        <v>106</v>
      </c>
      <c r="BS629" t="s">
        <v>12736</v>
      </c>
      <c r="BT629" t="str">
        <f>HYPERLINK("https%3A%2F%2Fwww.webofscience.com%2Fwos%2Fwoscc%2Ffull-record%2FWOS:000568621700098","View Full Record in Web of Science")</f>
        <v>View Full Record in Web of Science</v>
      </c>
    </row>
    <row r="630" spans="1:72" x14ac:dyDescent="0.25">
      <c r="A630" t="s">
        <v>108</v>
      </c>
      <c r="B630" t="s">
        <v>12737</v>
      </c>
      <c r="C630" t="s">
        <v>74</v>
      </c>
      <c r="D630" t="s">
        <v>74</v>
      </c>
      <c r="E630" t="s">
        <v>322</v>
      </c>
      <c r="F630" t="s">
        <v>12738</v>
      </c>
      <c r="G630" t="s">
        <v>74</v>
      </c>
      <c r="H630" t="s">
        <v>74</v>
      </c>
      <c r="I630" t="s">
        <v>12739</v>
      </c>
      <c r="J630" t="s">
        <v>12740</v>
      </c>
      <c r="K630" t="s">
        <v>74</v>
      </c>
      <c r="L630" t="s">
        <v>74</v>
      </c>
      <c r="M630" t="s">
        <v>78</v>
      </c>
      <c r="N630" t="s">
        <v>115</v>
      </c>
      <c r="O630" t="s">
        <v>12741</v>
      </c>
      <c r="P630" t="s">
        <v>12742</v>
      </c>
      <c r="Q630" t="s">
        <v>1767</v>
      </c>
      <c r="R630" t="s">
        <v>406</v>
      </c>
      <c r="S630" t="s">
        <v>74</v>
      </c>
      <c r="T630" t="s">
        <v>12743</v>
      </c>
      <c r="U630" t="s">
        <v>74</v>
      </c>
      <c r="V630" t="s">
        <v>12744</v>
      </c>
      <c r="W630" t="s">
        <v>12745</v>
      </c>
      <c r="X630" t="s">
        <v>74</v>
      </c>
      <c r="Y630" t="s">
        <v>12746</v>
      </c>
      <c r="Z630" t="s">
        <v>12747</v>
      </c>
      <c r="AA630" t="s">
        <v>12748</v>
      </c>
      <c r="AB630" t="s">
        <v>12749</v>
      </c>
      <c r="AC630" t="s">
        <v>74</v>
      </c>
      <c r="AD630" t="s">
        <v>74</v>
      </c>
      <c r="AE630" t="s">
        <v>74</v>
      </c>
      <c r="AF630" t="s">
        <v>74</v>
      </c>
      <c r="AG630">
        <v>9</v>
      </c>
      <c r="AH630">
        <v>0</v>
      </c>
      <c r="AI630">
        <v>0</v>
      </c>
      <c r="AJ630">
        <v>0</v>
      </c>
      <c r="AK630">
        <v>2</v>
      </c>
      <c r="AL630" t="s">
        <v>291</v>
      </c>
      <c r="AM630" t="s">
        <v>92</v>
      </c>
      <c r="AN630" t="s">
        <v>341</v>
      </c>
      <c r="AO630" t="s">
        <v>74</v>
      </c>
      <c r="AP630" t="s">
        <v>74</v>
      </c>
      <c r="AQ630" t="s">
        <v>12750</v>
      </c>
      <c r="AR630" t="s">
        <v>74</v>
      </c>
      <c r="AS630" t="s">
        <v>74</v>
      </c>
      <c r="AT630" t="s">
        <v>74</v>
      </c>
      <c r="AU630">
        <v>2025</v>
      </c>
      <c r="AV630" t="s">
        <v>74</v>
      </c>
      <c r="AW630" t="s">
        <v>74</v>
      </c>
      <c r="AX630" t="s">
        <v>74</v>
      </c>
      <c r="AY630" t="s">
        <v>74</v>
      </c>
      <c r="AZ630" t="s">
        <v>74</v>
      </c>
      <c r="BA630" t="s">
        <v>74</v>
      </c>
      <c r="BB630">
        <v>971</v>
      </c>
      <c r="BC630">
        <v>974</v>
      </c>
      <c r="BD630" t="s">
        <v>74</v>
      </c>
      <c r="BE630" t="s">
        <v>12751</v>
      </c>
      <c r="BF630" t="str">
        <f>HYPERLINK("http://dx.doi.org/10.1145/3705328.3748119","http://dx.doi.org/10.1145/3705328.3748119")</f>
        <v>http://dx.doi.org/10.1145/3705328.3748119</v>
      </c>
      <c r="BG630" t="s">
        <v>74</v>
      </c>
      <c r="BH630" t="s">
        <v>74</v>
      </c>
      <c r="BI630">
        <v>4</v>
      </c>
      <c r="BJ630" t="s">
        <v>7124</v>
      </c>
      <c r="BK630" t="s">
        <v>203</v>
      </c>
      <c r="BL630" t="s">
        <v>103</v>
      </c>
      <c r="BM630" t="s">
        <v>12752</v>
      </c>
      <c r="BN630" t="s">
        <v>74</v>
      </c>
      <c r="BO630" t="s">
        <v>74</v>
      </c>
      <c r="BP630" t="s">
        <v>74</v>
      </c>
      <c r="BQ630" t="s">
        <v>74</v>
      </c>
      <c r="BR630" t="s">
        <v>106</v>
      </c>
      <c r="BS630" t="s">
        <v>12753</v>
      </c>
      <c r="BT630" t="str">
        <f>HYPERLINK("https%3A%2F%2Fwww.webofscience.com%2Fwos%2Fwoscc%2Ffull-record%2FWOS:001572100200121","View Full Record in Web of Science")</f>
        <v>View Full Record in Web of Science</v>
      </c>
    </row>
    <row r="631" spans="1:72" x14ac:dyDescent="0.25">
      <c r="A631" t="s">
        <v>72</v>
      </c>
      <c r="B631" t="s">
        <v>12754</v>
      </c>
      <c r="C631" t="s">
        <v>74</v>
      </c>
      <c r="D631" t="s">
        <v>74</v>
      </c>
      <c r="E631" t="s">
        <v>74</v>
      </c>
      <c r="F631" t="s">
        <v>12755</v>
      </c>
      <c r="G631" t="s">
        <v>74</v>
      </c>
      <c r="H631" t="s">
        <v>74</v>
      </c>
      <c r="I631" t="s">
        <v>12756</v>
      </c>
      <c r="J631" t="s">
        <v>1532</v>
      </c>
      <c r="K631" t="s">
        <v>74</v>
      </c>
      <c r="L631" t="s">
        <v>74</v>
      </c>
      <c r="M631" t="s">
        <v>78</v>
      </c>
      <c r="N631" t="s">
        <v>79</v>
      </c>
      <c r="O631" t="s">
        <v>74</v>
      </c>
      <c r="P631" t="s">
        <v>74</v>
      </c>
      <c r="Q631" t="s">
        <v>74</v>
      </c>
      <c r="R631" t="s">
        <v>74</v>
      </c>
      <c r="S631" t="s">
        <v>74</v>
      </c>
      <c r="T631" t="s">
        <v>12757</v>
      </c>
      <c r="U631" t="s">
        <v>74</v>
      </c>
      <c r="V631" t="s">
        <v>12758</v>
      </c>
      <c r="W631" t="s">
        <v>12759</v>
      </c>
      <c r="X631" t="s">
        <v>12760</v>
      </c>
      <c r="Y631" t="s">
        <v>12761</v>
      </c>
      <c r="Z631" t="s">
        <v>12762</v>
      </c>
      <c r="AA631" t="s">
        <v>12763</v>
      </c>
      <c r="AB631" t="s">
        <v>12764</v>
      </c>
      <c r="AC631" t="s">
        <v>74</v>
      </c>
      <c r="AD631" t="s">
        <v>74</v>
      </c>
      <c r="AE631" t="s">
        <v>74</v>
      </c>
      <c r="AF631" t="s">
        <v>74</v>
      </c>
      <c r="AG631">
        <v>58</v>
      </c>
      <c r="AH631">
        <v>10</v>
      </c>
      <c r="AI631">
        <v>11</v>
      </c>
      <c r="AJ631">
        <v>1</v>
      </c>
      <c r="AK631">
        <v>6</v>
      </c>
      <c r="AL631" t="s">
        <v>895</v>
      </c>
      <c r="AM631" t="s">
        <v>896</v>
      </c>
      <c r="AN631" t="s">
        <v>897</v>
      </c>
      <c r="AO631" t="s">
        <v>1541</v>
      </c>
      <c r="AP631" t="s">
        <v>74</v>
      </c>
      <c r="AQ631" t="s">
        <v>74</v>
      </c>
      <c r="AR631" t="s">
        <v>1542</v>
      </c>
      <c r="AS631" t="s">
        <v>1543</v>
      </c>
      <c r="AT631" t="s">
        <v>1375</v>
      </c>
      <c r="AU631">
        <v>2024</v>
      </c>
      <c r="AV631">
        <v>11</v>
      </c>
      <c r="AW631">
        <v>3</v>
      </c>
      <c r="AX631" t="s">
        <v>74</v>
      </c>
      <c r="AY631" t="s">
        <v>74</v>
      </c>
      <c r="AZ631" t="s">
        <v>74</v>
      </c>
      <c r="BA631" t="s">
        <v>74</v>
      </c>
      <c r="BB631">
        <v>4354</v>
      </c>
      <c r="BC631">
        <v>4366</v>
      </c>
      <c r="BD631" t="s">
        <v>74</v>
      </c>
      <c r="BE631" t="s">
        <v>12765</v>
      </c>
      <c r="BF631" t="str">
        <f>HYPERLINK("http://dx.doi.org/10.1109/TCSS.2024.3359010","http://dx.doi.org/10.1109/TCSS.2024.3359010")</f>
        <v>http://dx.doi.org/10.1109/TCSS.2024.3359010</v>
      </c>
      <c r="BG631" t="s">
        <v>74</v>
      </c>
      <c r="BH631" t="s">
        <v>12766</v>
      </c>
      <c r="BI631">
        <v>13</v>
      </c>
      <c r="BJ631" t="s">
        <v>1546</v>
      </c>
      <c r="BK631" t="s">
        <v>902</v>
      </c>
      <c r="BL631" t="s">
        <v>103</v>
      </c>
      <c r="BM631" t="s">
        <v>12767</v>
      </c>
      <c r="BN631" t="s">
        <v>74</v>
      </c>
      <c r="BO631" t="s">
        <v>74</v>
      </c>
      <c r="BP631" t="s">
        <v>74</v>
      </c>
      <c r="BQ631" t="s">
        <v>74</v>
      </c>
      <c r="BR631" t="s">
        <v>106</v>
      </c>
      <c r="BS631" t="s">
        <v>12768</v>
      </c>
      <c r="BT631" t="str">
        <f>HYPERLINK("https%3A%2F%2Fwww.webofscience.com%2Fwos%2Fwoscc%2Ffull-record%2FWOS:001177119100001","View Full Record in Web of Science")</f>
        <v>View Full Record in Web of Science</v>
      </c>
    </row>
    <row r="632" spans="1:72" x14ac:dyDescent="0.25">
      <c r="A632" t="s">
        <v>108</v>
      </c>
      <c r="B632" t="s">
        <v>12769</v>
      </c>
      <c r="C632" t="s">
        <v>74</v>
      </c>
      <c r="D632" t="s">
        <v>74</v>
      </c>
      <c r="E632" t="s">
        <v>465</v>
      </c>
      <c r="F632" t="s">
        <v>12770</v>
      </c>
      <c r="G632" t="s">
        <v>74</v>
      </c>
      <c r="H632" t="s">
        <v>74</v>
      </c>
      <c r="I632" t="s">
        <v>12771</v>
      </c>
      <c r="J632" t="s">
        <v>12772</v>
      </c>
      <c r="K632" t="s">
        <v>12773</v>
      </c>
      <c r="L632" t="s">
        <v>74</v>
      </c>
      <c r="M632" t="s">
        <v>78</v>
      </c>
      <c r="N632" t="s">
        <v>115</v>
      </c>
      <c r="O632" t="s">
        <v>12774</v>
      </c>
      <c r="P632" t="s">
        <v>12775</v>
      </c>
      <c r="Q632" t="s">
        <v>7565</v>
      </c>
      <c r="R632" t="s">
        <v>74</v>
      </c>
      <c r="S632" t="s">
        <v>74</v>
      </c>
      <c r="T632" t="s">
        <v>12776</v>
      </c>
      <c r="U632" t="s">
        <v>74</v>
      </c>
      <c r="V632" t="s">
        <v>12777</v>
      </c>
      <c r="W632" t="s">
        <v>12778</v>
      </c>
      <c r="X632" t="s">
        <v>12779</v>
      </c>
      <c r="Y632" t="s">
        <v>12780</v>
      </c>
      <c r="Z632" t="s">
        <v>12781</v>
      </c>
      <c r="AA632" t="s">
        <v>12782</v>
      </c>
      <c r="AB632" t="s">
        <v>12783</v>
      </c>
      <c r="AC632" t="s">
        <v>74</v>
      </c>
      <c r="AD632" t="s">
        <v>74</v>
      </c>
      <c r="AE632" t="s">
        <v>74</v>
      </c>
      <c r="AF632" t="s">
        <v>74</v>
      </c>
      <c r="AG632">
        <v>22</v>
      </c>
      <c r="AH632">
        <v>2</v>
      </c>
      <c r="AI632">
        <v>2</v>
      </c>
      <c r="AJ632">
        <v>0</v>
      </c>
      <c r="AK632">
        <v>1</v>
      </c>
      <c r="AL632" t="s">
        <v>465</v>
      </c>
      <c r="AM632" t="s">
        <v>92</v>
      </c>
      <c r="AN632" t="s">
        <v>480</v>
      </c>
      <c r="AO632" t="s">
        <v>12784</v>
      </c>
      <c r="AP632" t="s">
        <v>74</v>
      </c>
      <c r="AQ632" t="s">
        <v>12785</v>
      </c>
      <c r="AR632" t="s">
        <v>12786</v>
      </c>
      <c r="AS632" t="s">
        <v>74</v>
      </c>
      <c r="AT632" t="s">
        <v>74</v>
      </c>
      <c r="AU632">
        <v>2016</v>
      </c>
      <c r="AV632" t="s">
        <v>74</v>
      </c>
      <c r="AW632" t="s">
        <v>74</v>
      </c>
      <c r="AX632" t="s">
        <v>74</v>
      </c>
      <c r="AY632" t="s">
        <v>74</v>
      </c>
      <c r="AZ632" t="s">
        <v>74</v>
      </c>
      <c r="BA632" t="s">
        <v>74</v>
      </c>
      <c r="BB632" t="s">
        <v>74</v>
      </c>
      <c r="BC632" t="s">
        <v>74</v>
      </c>
      <c r="BD632" t="s">
        <v>74</v>
      </c>
      <c r="BE632" t="s">
        <v>74</v>
      </c>
      <c r="BF632" t="s">
        <v>74</v>
      </c>
      <c r="BG632" t="s">
        <v>74</v>
      </c>
      <c r="BH632" t="s">
        <v>74</v>
      </c>
      <c r="BI632">
        <v>8</v>
      </c>
      <c r="BJ632" t="s">
        <v>1736</v>
      </c>
      <c r="BK632" t="s">
        <v>203</v>
      </c>
      <c r="BL632" t="s">
        <v>1737</v>
      </c>
      <c r="BM632" t="s">
        <v>12787</v>
      </c>
      <c r="BN632" t="s">
        <v>74</v>
      </c>
      <c r="BO632" t="s">
        <v>74</v>
      </c>
      <c r="BP632" t="s">
        <v>74</v>
      </c>
      <c r="BQ632" t="s">
        <v>74</v>
      </c>
      <c r="BR632" t="s">
        <v>106</v>
      </c>
      <c r="BS632" t="s">
        <v>12788</v>
      </c>
      <c r="BT632" t="str">
        <f>HYPERLINK("https%3A%2F%2Fwww.webofscience.com%2Fwos%2Fwoscc%2Ffull-record%2FWOS:000393591800041","View Full Record in Web of Science")</f>
        <v>View Full Record in Web of Science</v>
      </c>
    </row>
    <row r="633" spans="1:72" x14ac:dyDescent="0.25">
      <c r="A633" t="s">
        <v>108</v>
      </c>
      <c r="B633" t="s">
        <v>12789</v>
      </c>
      <c r="C633" t="s">
        <v>74</v>
      </c>
      <c r="D633" t="s">
        <v>929</v>
      </c>
      <c r="E633" t="s">
        <v>74</v>
      </c>
      <c r="F633" t="s">
        <v>12790</v>
      </c>
      <c r="G633" t="s">
        <v>74</v>
      </c>
      <c r="H633" t="s">
        <v>74</v>
      </c>
      <c r="I633" t="s">
        <v>12791</v>
      </c>
      <c r="J633" t="s">
        <v>932</v>
      </c>
      <c r="K633" t="s">
        <v>74</v>
      </c>
      <c r="L633" t="s">
        <v>74</v>
      </c>
      <c r="M633" t="s">
        <v>78</v>
      </c>
      <c r="N633" t="s">
        <v>115</v>
      </c>
      <c r="O633" t="s">
        <v>933</v>
      </c>
      <c r="P633" t="s">
        <v>934</v>
      </c>
      <c r="Q633" t="s">
        <v>935</v>
      </c>
      <c r="R633" t="s">
        <v>936</v>
      </c>
      <c r="S633" t="s">
        <v>74</v>
      </c>
      <c r="T633" t="s">
        <v>12792</v>
      </c>
      <c r="U633" t="s">
        <v>74</v>
      </c>
      <c r="V633" t="s">
        <v>12793</v>
      </c>
      <c r="W633" t="s">
        <v>12794</v>
      </c>
      <c r="X633" t="s">
        <v>12795</v>
      </c>
      <c r="Y633" t="s">
        <v>12796</v>
      </c>
      <c r="Z633" t="s">
        <v>12797</v>
      </c>
      <c r="AA633" t="s">
        <v>74</v>
      </c>
      <c r="AB633" t="s">
        <v>74</v>
      </c>
      <c r="AC633" t="s">
        <v>74</v>
      </c>
      <c r="AD633" t="s">
        <v>74</v>
      </c>
      <c r="AE633" t="s">
        <v>74</v>
      </c>
      <c r="AF633" t="s">
        <v>74</v>
      </c>
      <c r="AG633">
        <v>10</v>
      </c>
      <c r="AH633">
        <v>2</v>
      </c>
      <c r="AI633">
        <v>2</v>
      </c>
      <c r="AJ633">
        <v>0</v>
      </c>
      <c r="AK633">
        <v>2</v>
      </c>
      <c r="AL633" t="s">
        <v>947</v>
      </c>
      <c r="AM633" t="s">
        <v>948</v>
      </c>
      <c r="AN633" t="s">
        <v>949</v>
      </c>
      <c r="AO633" t="s">
        <v>74</v>
      </c>
      <c r="AP633" t="s">
        <v>74</v>
      </c>
      <c r="AQ633" t="s">
        <v>950</v>
      </c>
      <c r="AR633" t="s">
        <v>74</v>
      </c>
      <c r="AS633" t="s">
        <v>74</v>
      </c>
      <c r="AT633" t="s">
        <v>74</v>
      </c>
      <c r="AU633">
        <v>2012</v>
      </c>
      <c r="AV633" t="s">
        <v>74</v>
      </c>
      <c r="AW633" t="s">
        <v>74</v>
      </c>
      <c r="AX633" t="s">
        <v>74</v>
      </c>
      <c r="AY633" t="s">
        <v>74</v>
      </c>
      <c r="AZ633" t="s">
        <v>74</v>
      </c>
      <c r="BA633" t="s">
        <v>74</v>
      </c>
      <c r="BB633">
        <v>442</v>
      </c>
      <c r="BC633">
        <v>446</v>
      </c>
      <c r="BD633" t="s">
        <v>74</v>
      </c>
      <c r="BE633" t="s">
        <v>12798</v>
      </c>
      <c r="BF633" t="str">
        <f>HYPERLINK("http://dx.doi.org/10.1109/WI-IAT.2012.62","http://dx.doi.org/10.1109/WI-IAT.2012.62")</f>
        <v>http://dx.doi.org/10.1109/WI-IAT.2012.62</v>
      </c>
      <c r="BG633" t="s">
        <v>74</v>
      </c>
      <c r="BH633" t="s">
        <v>74</v>
      </c>
      <c r="BI633">
        <v>5</v>
      </c>
      <c r="BJ633" t="s">
        <v>952</v>
      </c>
      <c r="BK633" t="s">
        <v>203</v>
      </c>
      <c r="BL633" t="s">
        <v>953</v>
      </c>
      <c r="BM633" t="s">
        <v>954</v>
      </c>
      <c r="BN633" t="s">
        <v>74</v>
      </c>
      <c r="BO633" t="s">
        <v>74</v>
      </c>
      <c r="BP633" t="s">
        <v>74</v>
      </c>
      <c r="BQ633" t="s">
        <v>74</v>
      </c>
      <c r="BR633" t="s">
        <v>106</v>
      </c>
      <c r="BS633" t="s">
        <v>12799</v>
      </c>
      <c r="BT633" t="str">
        <f>HYPERLINK("https%3A%2F%2Fwww.webofscience.com%2Fwos%2Fwoscc%2Ffull-record%2FWOS:000423016400064","View Full Record in Web of Science")</f>
        <v>View Full Record in Web of Science</v>
      </c>
    </row>
    <row r="634" spans="1:72" x14ac:dyDescent="0.25">
      <c r="A634" t="s">
        <v>72</v>
      </c>
      <c r="B634" t="s">
        <v>12800</v>
      </c>
      <c r="C634" t="s">
        <v>74</v>
      </c>
      <c r="D634" t="s">
        <v>74</v>
      </c>
      <c r="E634" t="s">
        <v>74</v>
      </c>
      <c r="F634" t="s">
        <v>12801</v>
      </c>
      <c r="G634" t="s">
        <v>74</v>
      </c>
      <c r="H634" t="s">
        <v>74</v>
      </c>
      <c r="I634" t="s">
        <v>12802</v>
      </c>
      <c r="J634" t="s">
        <v>2480</v>
      </c>
      <c r="K634" t="s">
        <v>74</v>
      </c>
      <c r="L634" t="s">
        <v>74</v>
      </c>
      <c r="M634" t="s">
        <v>78</v>
      </c>
      <c r="N634" t="s">
        <v>79</v>
      </c>
      <c r="O634" t="s">
        <v>74</v>
      </c>
      <c r="P634" t="s">
        <v>74</v>
      </c>
      <c r="Q634" t="s">
        <v>74</v>
      </c>
      <c r="R634" t="s">
        <v>74</v>
      </c>
      <c r="S634" t="s">
        <v>74</v>
      </c>
      <c r="T634" t="s">
        <v>12803</v>
      </c>
      <c r="U634" t="s">
        <v>12804</v>
      </c>
      <c r="V634" t="s">
        <v>12805</v>
      </c>
      <c r="W634" t="s">
        <v>12806</v>
      </c>
      <c r="X634" t="s">
        <v>12807</v>
      </c>
      <c r="Y634" t="s">
        <v>12808</v>
      </c>
      <c r="Z634" t="s">
        <v>12809</v>
      </c>
      <c r="AA634" t="s">
        <v>12810</v>
      </c>
      <c r="AB634" t="s">
        <v>12811</v>
      </c>
      <c r="AC634" t="s">
        <v>9768</v>
      </c>
      <c r="AD634" t="s">
        <v>9769</v>
      </c>
      <c r="AE634" t="s">
        <v>9770</v>
      </c>
      <c r="AF634" t="s">
        <v>74</v>
      </c>
      <c r="AG634">
        <v>41</v>
      </c>
      <c r="AH634">
        <v>11</v>
      </c>
      <c r="AI634">
        <v>11</v>
      </c>
      <c r="AJ634">
        <v>1</v>
      </c>
      <c r="AK634">
        <v>34</v>
      </c>
      <c r="AL634" t="s">
        <v>178</v>
      </c>
      <c r="AM634" t="s">
        <v>1005</v>
      </c>
      <c r="AN634" t="s">
        <v>1006</v>
      </c>
      <c r="AO634" t="s">
        <v>2489</v>
      </c>
      <c r="AP634" t="s">
        <v>3079</v>
      </c>
      <c r="AQ634" t="s">
        <v>74</v>
      </c>
      <c r="AR634" t="s">
        <v>2490</v>
      </c>
      <c r="AS634" t="s">
        <v>2491</v>
      </c>
      <c r="AT634" t="s">
        <v>368</v>
      </c>
      <c r="AU634">
        <v>2018</v>
      </c>
      <c r="AV634">
        <v>77</v>
      </c>
      <c r="AW634">
        <v>9</v>
      </c>
      <c r="AX634" t="s">
        <v>74</v>
      </c>
      <c r="AY634" t="s">
        <v>74</v>
      </c>
      <c r="AZ634" t="s">
        <v>74</v>
      </c>
      <c r="BA634" t="s">
        <v>74</v>
      </c>
      <c r="BB634">
        <v>11179</v>
      </c>
      <c r="BC634">
        <v>11201</v>
      </c>
      <c r="BD634" t="s">
        <v>74</v>
      </c>
      <c r="BE634" t="s">
        <v>12812</v>
      </c>
      <c r="BF634" t="str">
        <f>HYPERLINK("http://dx.doi.org/10.1007/s11042-017-5402-6","http://dx.doi.org/10.1007/s11042-017-5402-6")</f>
        <v>http://dx.doi.org/10.1007/s11042-017-5402-6</v>
      </c>
      <c r="BG634" t="s">
        <v>74</v>
      </c>
      <c r="BH634" t="s">
        <v>74</v>
      </c>
      <c r="BI634">
        <v>23</v>
      </c>
      <c r="BJ634" t="s">
        <v>2493</v>
      </c>
      <c r="BK634" t="s">
        <v>902</v>
      </c>
      <c r="BL634" t="s">
        <v>953</v>
      </c>
      <c r="BM634" t="s">
        <v>12813</v>
      </c>
      <c r="BN634" t="s">
        <v>74</v>
      </c>
      <c r="BO634" t="s">
        <v>74</v>
      </c>
      <c r="BP634" t="s">
        <v>74</v>
      </c>
      <c r="BQ634" t="s">
        <v>74</v>
      </c>
      <c r="BR634" t="s">
        <v>106</v>
      </c>
      <c r="BS634" t="s">
        <v>12814</v>
      </c>
      <c r="BT634" t="str">
        <f>HYPERLINK("https%3A%2F%2Fwww.webofscience.com%2Fwos%2Fwoscc%2Ffull-record%2FWOS:000431889900045","View Full Record in Web of Science")</f>
        <v>View Full Record in Web of Science</v>
      </c>
    </row>
    <row r="635" spans="1:72" x14ac:dyDescent="0.25">
      <c r="A635" t="s">
        <v>72</v>
      </c>
      <c r="B635" t="s">
        <v>12815</v>
      </c>
      <c r="C635" t="s">
        <v>74</v>
      </c>
      <c r="D635" t="s">
        <v>74</v>
      </c>
      <c r="E635" t="s">
        <v>74</v>
      </c>
      <c r="F635" t="s">
        <v>12816</v>
      </c>
      <c r="G635" t="s">
        <v>74</v>
      </c>
      <c r="H635" t="s">
        <v>74</v>
      </c>
      <c r="I635" t="s">
        <v>12817</v>
      </c>
      <c r="J635" t="s">
        <v>1172</v>
      </c>
      <c r="K635" t="s">
        <v>74</v>
      </c>
      <c r="L635" t="s">
        <v>74</v>
      </c>
      <c r="M635" t="s">
        <v>78</v>
      </c>
      <c r="N635" t="s">
        <v>79</v>
      </c>
      <c r="O635" t="s">
        <v>74</v>
      </c>
      <c r="P635" t="s">
        <v>74</v>
      </c>
      <c r="Q635" t="s">
        <v>74</v>
      </c>
      <c r="R635" t="s">
        <v>74</v>
      </c>
      <c r="S635" t="s">
        <v>74</v>
      </c>
      <c r="T635" t="s">
        <v>12818</v>
      </c>
      <c r="U635" t="s">
        <v>12819</v>
      </c>
      <c r="V635" t="s">
        <v>12820</v>
      </c>
      <c r="W635" t="s">
        <v>12821</v>
      </c>
      <c r="X635" t="s">
        <v>12822</v>
      </c>
      <c r="Y635" t="s">
        <v>12823</v>
      </c>
      <c r="Z635" t="s">
        <v>12824</v>
      </c>
      <c r="AA635" t="s">
        <v>12825</v>
      </c>
      <c r="AB635" t="s">
        <v>12826</v>
      </c>
      <c r="AC635" t="s">
        <v>12827</v>
      </c>
      <c r="AD635" t="s">
        <v>12828</v>
      </c>
      <c r="AE635" t="s">
        <v>12829</v>
      </c>
      <c r="AF635" t="s">
        <v>74</v>
      </c>
      <c r="AG635">
        <v>25</v>
      </c>
      <c r="AH635">
        <v>11</v>
      </c>
      <c r="AI635">
        <v>14</v>
      </c>
      <c r="AJ635">
        <v>0</v>
      </c>
      <c r="AK635">
        <v>6</v>
      </c>
      <c r="AL635" t="s">
        <v>1184</v>
      </c>
      <c r="AM635" t="s">
        <v>1185</v>
      </c>
      <c r="AN635" t="s">
        <v>1186</v>
      </c>
      <c r="AO635" t="s">
        <v>1187</v>
      </c>
      <c r="AP635" t="s">
        <v>12830</v>
      </c>
      <c r="AQ635" t="s">
        <v>74</v>
      </c>
      <c r="AR635" t="s">
        <v>1188</v>
      </c>
      <c r="AS635" t="s">
        <v>1189</v>
      </c>
      <c r="AT635" t="s">
        <v>74</v>
      </c>
      <c r="AU635">
        <v>2018</v>
      </c>
      <c r="AV635">
        <v>24</v>
      </c>
      <c r="AW635">
        <v>11</v>
      </c>
      <c r="AX635" t="s">
        <v>74</v>
      </c>
      <c r="AY635" t="s">
        <v>74</v>
      </c>
      <c r="AZ635" t="s">
        <v>74</v>
      </c>
      <c r="BA635" t="s">
        <v>74</v>
      </c>
      <c r="BB635">
        <v>1515</v>
      </c>
      <c r="BC635">
        <v>1535</v>
      </c>
      <c r="BD635" t="s">
        <v>74</v>
      </c>
      <c r="BE635" t="s">
        <v>74</v>
      </c>
      <c r="BF635" t="s">
        <v>74</v>
      </c>
      <c r="BG635" t="s">
        <v>74</v>
      </c>
      <c r="BH635" t="s">
        <v>74</v>
      </c>
      <c r="BI635">
        <v>21</v>
      </c>
      <c r="BJ635" t="s">
        <v>1190</v>
      </c>
      <c r="BK635" t="s">
        <v>902</v>
      </c>
      <c r="BL635" t="s">
        <v>103</v>
      </c>
      <c r="BM635" t="s">
        <v>12831</v>
      </c>
      <c r="BN635" t="s">
        <v>74</v>
      </c>
      <c r="BO635" t="s">
        <v>74</v>
      </c>
      <c r="BP635" t="s">
        <v>74</v>
      </c>
      <c r="BQ635" t="s">
        <v>74</v>
      </c>
      <c r="BR635" t="s">
        <v>106</v>
      </c>
      <c r="BS635" t="s">
        <v>12832</v>
      </c>
      <c r="BT635" t="str">
        <f>HYPERLINK("https%3A%2F%2Fwww.webofscience.com%2Fwos%2Fwoscc%2Ffull-record%2FWOS:000455032500003","View Full Record in Web of Science")</f>
        <v>View Full Record in Web of Science</v>
      </c>
    </row>
    <row r="636" spans="1:72" x14ac:dyDescent="0.25">
      <c r="A636" t="s">
        <v>72</v>
      </c>
      <c r="B636" t="s">
        <v>12833</v>
      </c>
      <c r="C636" t="s">
        <v>74</v>
      </c>
      <c r="D636" t="s">
        <v>74</v>
      </c>
      <c r="E636" t="s">
        <v>74</v>
      </c>
      <c r="F636" t="s">
        <v>12834</v>
      </c>
      <c r="G636" t="s">
        <v>74</v>
      </c>
      <c r="H636" t="s">
        <v>74</v>
      </c>
      <c r="I636" t="s">
        <v>12835</v>
      </c>
      <c r="J636" t="s">
        <v>12836</v>
      </c>
      <c r="K636" t="s">
        <v>74</v>
      </c>
      <c r="L636" t="s">
        <v>74</v>
      </c>
      <c r="M636" t="s">
        <v>78</v>
      </c>
      <c r="N636" t="s">
        <v>79</v>
      </c>
      <c r="O636" t="s">
        <v>74</v>
      </c>
      <c r="P636" t="s">
        <v>74</v>
      </c>
      <c r="Q636" t="s">
        <v>74</v>
      </c>
      <c r="R636" t="s">
        <v>74</v>
      </c>
      <c r="S636" t="s">
        <v>74</v>
      </c>
      <c r="T636" t="s">
        <v>12837</v>
      </c>
      <c r="U636" t="s">
        <v>12838</v>
      </c>
      <c r="V636" t="s">
        <v>12839</v>
      </c>
      <c r="W636" t="s">
        <v>12840</v>
      </c>
      <c r="X636" t="s">
        <v>12841</v>
      </c>
      <c r="Y636" t="s">
        <v>12842</v>
      </c>
      <c r="Z636" t="s">
        <v>12843</v>
      </c>
      <c r="AA636" t="s">
        <v>74</v>
      </c>
      <c r="AB636" t="s">
        <v>74</v>
      </c>
      <c r="AC636" t="s">
        <v>74</v>
      </c>
      <c r="AD636" t="s">
        <v>74</v>
      </c>
      <c r="AE636" t="s">
        <v>74</v>
      </c>
      <c r="AF636" t="s">
        <v>74</v>
      </c>
      <c r="AG636">
        <v>63</v>
      </c>
      <c r="AH636">
        <v>0</v>
      </c>
      <c r="AI636">
        <v>0</v>
      </c>
      <c r="AJ636">
        <v>0</v>
      </c>
      <c r="AK636">
        <v>0</v>
      </c>
      <c r="AL636" t="s">
        <v>178</v>
      </c>
      <c r="AM636" t="s">
        <v>92</v>
      </c>
      <c r="AN636" t="s">
        <v>179</v>
      </c>
      <c r="AO636" t="s">
        <v>12844</v>
      </c>
      <c r="AP636" t="s">
        <v>12845</v>
      </c>
      <c r="AQ636" t="s">
        <v>74</v>
      </c>
      <c r="AR636" t="s">
        <v>12846</v>
      </c>
      <c r="AS636" t="s">
        <v>12847</v>
      </c>
      <c r="AT636" t="s">
        <v>12848</v>
      </c>
      <c r="AU636">
        <v>2026</v>
      </c>
      <c r="AV636">
        <v>45</v>
      </c>
      <c r="AW636">
        <v>17</v>
      </c>
      <c r="AX636" t="s">
        <v>74</v>
      </c>
      <c r="AY636" t="s">
        <v>74</v>
      </c>
      <c r="AZ636" t="s">
        <v>74</v>
      </c>
      <c r="BA636" t="s">
        <v>74</v>
      </c>
      <c r="BB636" t="s">
        <v>74</v>
      </c>
      <c r="BC636" t="s">
        <v>74</v>
      </c>
      <c r="BD636">
        <v>1495</v>
      </c>
      <c r="BE636" t="s">
        <v>12849</v>
      </c>
      <c r="BF636" t="str">
        <f>HYPERLINK("http://dx.doi.org/10.1007/s12144-026-09871-3","http://dx.doi.org/10.1007/s12144-026-09871-3")</f>
        <v>http://dx.doi.org/10.1007/s12144-026-09871-3</v>
      </c>
      <c r="BG636" t="s">
        <v>74</v>
      </c>
      <c r="BH636" t="s">
        <v>12850</v>
      </c>
      <c r="BI636">
        <v>18</v>
      </c>
      <c r="BJ636" t="s">
        <v>2446</v>
      </c>
      <c r="BK636" t="s">
        <v>250</v>
      </c>
      <c r="BL636" t="s">
        <v>251</v>
      </c>
      <c r="BM636" t="s">
        <v>12851</v>
      </c>
      <c r="BN636" t="s">
        <v>74</v>
      </c>
      <c r="BO636" t="s">
        <v>105</v>
      </c>
      <c r="BP636" t="s">
        <v>74</v>
      </c>
      <c r="BQ636" t="s">
        <v>74</v>
      </c>
      <c r="BR636" t="s">
        <v>106</v>
      </c>
      <c r="BS636" t="s">
        <v>12852</v>
      </c>
      <c r="BT636" t="str">
        <f>HYPERLINK("https%3A%2F%2Fwww.webofscience.com%2Fwos%2Fwoscc%2Ffull-record%2FWOS:001874301000001","View Full Record in Web of Science")</f>
        <v>View Full Record in Web of Science</v>
      </c>
    </row>
    <row r="637" spans="1:72" x14ac:dyDescent="0.25">
      <c r="A637" t="s">
        <v>108</v>
      </c>
      <c r="B637" t="s">
        <v>12853</v>
      </c>
      <c r="C637" t="s">
        <v>74</v>
      </c>
      <c r="D637" t="s">
        <v>74</v>
      </c>
      <c r="E637" t="s">
        <v>465</v>
      </c>
      <c r="F637" t="s">
        <v>12854</v>
      </c>
      <c r="G637" t="s">
        <v>74</v>
      </c>
      <c r="H637" t="s">
        <v>74</v>
      </c>
      <c r="I637" t="s">
        <v>12855</v>
      </c>
      <c r="J637" t="s">
        <v>12856</v>
      </c>
      <c r="K637" t="s">
        <v>12857</v>
      </c>
      <c r="L637" t="s">
        <v>74</v>
      </c>
      <c r="M637" t="s">
        <v>78</v>
      </c>
      <c r="N637" t="s">
        <v>115</v>
      </c>
      <c r="O637" t="s">
        <v>12858</v>
      </c>
      <c r="P637" t="s">
        <v>12282</v>
      </c>
      <c r="Q637" t="s">
        <v>2643</v>
      </c>
      <c r="R637" t="s">
        <v>12859</v>
      </c>
      <c r="S637" t="s">
        <v>74</v>
      </c>
      <c r="T637" t="s">
        <v>12860</v>
      </c>
      <c r="U637" t="s">
        <v>74</v>
      </c>
      <c r="V637" t="s">
        <v>12861</v>
      </c>
      <c r="W637" t="s">
        <v>12862</v>
      </c>
      <c r="X637" t="s">
        <v>12863</v>
      </c>
      <c r="Y637" t="s">
        <v>12864</v>
      </c>
      <c r="Z637" t="s">
        <v>12865</v>
      </c>
      <c r="AA637" t="s">
        <v>74</v>
      </c>
      <c r="AB637" t="s">
        <v>74</v>
      </c>
      <c r="AC637" t="s">
        <v>74</v>
      </c>
      <c r="AD637" t="s">
        <v>74</v>
      </c>
      <c r="AE637" t="s">
        <v>74</v>
      </c>
      <c r="AF637" t="s">
        <v>74</v>
      </c>
      <c r="AG637">
        <v>8</v>
      </c>
      <c r="AH637">
        <v>3</v>
      </c>
      <c r="AI637">
        <v>3</v>
      </c>
      <c r="AJ637">
        <v>0</v>
      </c>
      <c r="AK637">
        <v>1</v>
      </c>
      <c r="AL637" t="s">
        <v>465</v>
      </c>
      <c r="AM637" t="s">
        <v>92</v>
      </c>
      <c r="AN637" t="s">
        <v>480</v>
      </c>
      <c r="AO637" t="s">
        <v>12866</v>
      </c>
      <c r="AP637" t="s">
        <v>74</v>
      </c>
      <c r="AQ637" t="s">
        <v>12867</v>
      </c>
      <c r="AR637" t="s">
        <v>12868</v>
      </c>
      <c r="AS637" t="s">
        <v>74</v>
      </c>
      <c r="AT637" t="s">
        <v>74</v>
      </c>
      <c r="AU637">
        <v>2011</v>
      </c>
      <c r="AV637" t="s">
        <v>74</v>
      </c>
      <c r="AW637" t="s">
        <v>74</v>
      </c>
      <c r="AX637" t="s">
        <v>74</v>
      </c>
      <c r="AY637" t="s">
        <v>74</v>
      </c>
      <c r="AZ637" t="s">
        <v>74</v>
      </c>
      <c r="BA637" t="s">
        <v>74</v>
      </c>
      <c r="BB637">
        <v>6</v>
      </c>
      <c r="BC637">
        <v>11</v>
      </c>
      <c r="BD637" t="s">
        <v>74</v>
      </c>
      <c r="BE637" t="s">
        <v>74</v>
      </c>
      <c r="BF637" t="s">
        <v>74</v>
      </c>
      <c r="BG637" t="s">
        <v>74</v>
      </c>
      <c r="BH637" t="s">
        <v>74</v>
      </c>
      <c r="BI637">
        <v>6</v>
      </c>
      <c r="BJ637" t="s">
        <v>952</v>
      </c>
      <c r="BK637" t="s">
        <v>203</v>
      </c>
      <c r="BL637" t="s">
        <v>953</v>
      </c>
      <c r="BM637" t="s">
        <v>12869</v>
      </c>
      <c r="BN637" t="s">
        <v>74</v>
      </c>
      <c r="BO637" t="s">
        <v>74</v>
      </c>
      <c r="BP637" t="s">
        <v>74</v>
      </c>
      <c r="BQ637" t="s">
        <v>74</v>
      </c>
      <c r="BR637" t="s">
        <v>106</v>
      </c>
      <c r="BS637" t="s">
        <v>12870</v>
      </c>
      <c r="BT637" t="str">
        <f>HYPERLINK("https%3A%2F%2Fwww.webofscience.com%2Fwos%2Fwoscc%2Ffull-record%2FWOS:000394721300002","View Full Record in Web of Science")</f>
        <v>View Full Record in Web of Science</v>
      </c>
    </row>
    <row r="638" spans="1:72" x14ac:dyDescent="0.25">
      <c r="A638" t="s">
        <v>108</v>
      </c>
      <c r="B638" t="s">
        <v>12871</v>
      </c>
      <c r="C638" t="s">
        <v>74</v>
      </c>
      <c r="D638" t="s">
        <v>12872</v>
      </c>
      <c r="E638" t="s">
        <v>74</v>
      </c>
      <c r="F638" t="s">
        <v>12873</v>
      </c>
      <c r="G638" t="s">
        <v>74</v>
      </c>
      <c r="H638" t="s">
        <v>74</v>
      </c>
      <c r="I638" t="s">
        <v>12874</v>
      </c>
      <c r="J638" t="s">
        <v>12875</v>
      </c>
      <c r="K638" t="s">
        <v>2682</v>
      </c>
      <c r="L638" t="s">
        <v>74</v>
      </c>
      <c r="M638" t="s">
        <v>78</v>
      </c>
      <c r="N638" t="s">
        <v>115</v>
      </c>
      <c r="O638" t="s">
        <v>12876</v>
      </c>
      <c r="P638" t="s">
        <v>12877</v>
      </c>
      <c r="Q638" t="s">
        <v>817</v>
      </c>
      <c r="R638" t="s">
        <v>12878</v>
      </c>
      <c r="S638" t="s">
        <v>74</v>
      </c>
      <c r="T638" t="s">
        <v>12879</v>
      </c>
      <c r="U638" t="s">
        <v>74</v>
      </c>
      <c r="V638" t="s">
        <v>12880</v>
      </c>
      <c r="W638" t="s">
        <v>12881</v>
      </c>
      <c r="X638" t="s">
        <v>12882</v>
      </c>
      <c r="Y638" t="s">
        <v>12883</v>
      </c>
      <c r="Z638" t="s">
        <v>12884</v>
      </c>
      <c r="AA638" t="s">
        <v>74</v>
      </c>
      <c r="AB638" t="s">
        <v>74</v>
      </c>
      <c r="AC638" t="s">
        <v>74</v>
      </c>
      <c r="AD638" t="s">
        <v>74</v>
      </c>
      <c r="AE638" t="s">
        <v>74</v>
      </c>
      <c r="AF638" t="s">
        <v>74</v>
      </c>
      <c r="AG638">
        <v>5</v>
      </c>
      <c r="AH638">
        <v>4</v>
      </c>
      <c r="AI638">
        <v>5</v>
      </c>
      <c r="AJ638">
        <v>0</v>
      </c>
      <c r="AK638">
        <v>8</v>
      </c>
      <c r="AL638" t="s">
        <v>2695</v>
      </c>
      <c r="AM638" t="s">
        <v>363</v>
      </c>
      <c r="AN638" t="s">
        <v>2696</v>
      </c>
      <c r="AO638" t="s">
        <v>2697</v>
      </c>
      <c r="AP638" t="s">
        <v>74</v>
      </c>
      <c r="AQ638" t="s">
        <v>74</v>
      </c>
      <c r="AR638" t="s">
        <v>2698</v>
      </c>
      <c r="AS638" t="s">
        <v>74</v>
      </c>
      <c r="AT638" t="s">
        <v>74</v>
      </c>
      <c r="AU638">
        <v>2013</v>
      </c>
      <c r="AV638">
        <v>17</v>
      </c>
      <c r="AW638" t="s">
        <v>74</v>
      </c>
      <c r="AX638" t="s">
        <v>74</v>
      </c>
      <c r="AY638" t="s">
        <v>74</v>
      </c>
      <c r="AZ638" t="s">
        <v>74</v>
      </c>
      <c r="BA638" t="s">
        <v>74</v>
      </c>
      <c r="BB638">
        <v>789</v>
      </c>
      <c r="BC638">
        <v>796</v>
      </c>
      <c r="BD638" t="s">
        <v>74</v>
      </c>
      <c r="BE638" t="s">
        <v>12885</v>
      </c>
      <c r="BF638" t="str">
        <f>HYPERLINK("http://dx.doi.org/10.1016/j.procs.2013.05.101","http://dx.doi.org/10.1016/j.procs.2013.05.101")</f>
        <v>http://dx.doi.org/10.1016/j.procs.2013.05.101</v>
      </c>
      <c r="BG638" t="s">
        <v>74</v>
      </c>
      <c r="BH638" t="s">
        <v>74</v>
      </c>
      <c r="BI638">
        <v>8</v>
      </c>
      <c r="BJ638" t="s">
        <v>696</v>
      </c>
      <c r="BK638" t="s">
        <v>203</v>
      </c>
      <c r="BL638" t="s">
        <v>103</v>
      </c>
      <c r="BM638" t="s">
        <v>12886</v>
      </c>
      <c r="BN638" t="s">
        <v>74</v>
      </c>
      <c r="BO638" t="s">
        <v>372</v>
      </c>
      <c r="BP638" t="s">
        <v>74</v>
      </c>
      <c r="BQ638" t="s">
        <v>74</v>
      </c>
      <c r="BR638" t="s">
        <v>106</v>
      </c>
      <c r="BS638" t="s">
        <v>12887</v>
      </c>
      <c r="BT638" t="str">
        <f>HYPERLINK("https%3A%2F%2Fwww.webofscience.com%2Fwos%2Fwoscc%2Ffull-record%2FWOS:000339094400101","View Full Record in Web of Science")</f>
        <v>View Full Record in Web of Science</v>
      </c>
    </row>
    <row r="639" spans="1:72" x14ac:dyDescent="0.25">
      <c r="A639" t="s">
        <v>72</v>
      </c>
      <c r="B639" t="s">
        <v>12888</v>
      </c>
      <c r="C639" t="s">
        <v>74</v>
      </c>
      <c r="D639" t="s">
        <v>74</v>
      </c>
      <c r="E639" t="s">
        <v>74</v>
      </c>
      <c r="F639" t="s">
        <v>12889</v>
      </c>
      <c r="G639" t="s">
        <v>74</v>
      </c>
      <c r="H639" t="s">
        <v>74</v>
      </c>
      <c r="I639" t="s">
        <v>12890</v>
      </c>
      <c r="J639" t="s">
        <v>12891</v>
      </c>
      <c r="K639" t="s">
        <v>74</v>
      </c>
      <c r="L639" t="s">
        <v>74</v>
      </c>
      <c r="M639" t="s">
        <v>78</v>
      </c>
      <c r="N639" t="s">
        <v>79</v>
      </c>
      <c r="O639" t="s">
        <v>74</v>
      </c>
      <c r="P639" t="s">
        <v>74</v>
      </c>
      <c r="Q639" t="s">
        <v>74</v>
      </c>
      <c r="R639" t="s">
        <v>74</v>
      </c>
      <c r="S639" t="s">
        <v>74</v>
      </c>
      <c r="T639" t="s">
        <v>12892</v>
      </c>
      <c r="U639" t="s">
        <v>1421</v>
      </c>
      <c r="V639" t="s">
        <v>12893</v>
      </c>
      <c r="W639" t="s">
        <v>12894</v>
      </c>
      <c r="X639" t="s">
        <v>731</v>
      </c>
      <c r="Y639" t="s">
        <v>12895</v>
      </c>
      <c r="Z639" t="s">
        <v>12896</v>
      </c>
      <c r="AA639" t="s">
        <v>12897</v>
      </c>
      <c r="AB639" t="s">
        <v>12898</v>
      </c>
      <c r="AC639" t="s">
        <v>74</v>
      </c>
      <c r="AD639" t="s">
        <v>74</v>
      </c>
      <c r="AE639" t="s">
        <v>74</v>
      </c>
      <c r="AF639" t="s">
        <v>74</v>
      </c>
      <c r="AG639">
        <v>13</v>
      </c>
      <c r="AH639">
        <v>3</v>
      </c>
      <c r="AI639">
        <v>3</v>
      </c>
      <c r="AJ639">
        <v>0</v>
      </c>
      <c r="AK639">
        <v>1</v>
      </c>
      <c r="AL639" t="s">
        <v>2946</v>
      </c>
      <c r="AM639" t="s">
        <v>5023</v>
      </c>
      <c r="AN639" t="s">
        <v>5024</v>
      </c>
      <c r="AO639" t="s">
        <v>12899</v>
      </c>
      <c r="AP639" t="s">
        <v>12900</v>
      </c>
      <c r="AQ639" t="s">
        <v>74</v>
      </c>
      <c r="AR639" t="s">
        <v>12901</v>
      </c>
      <c r="AS639" t="s">
        <v>12902</v>
      </c>
      <c r="AT639" t="s">
        <v>12903</v>
      </c>
      <c r="AU639">
        <v>2020</v>
      </c>
      <c r="AV639">
        <v>8</v>
      </c>
      <c r="AW639">
        <v>4</v>
      </c>
      <c r="AX639" t="s">
        <v>74</v>
      </c>
      <c r="AY639" t="s">
        <v>74</v>
      </c>
      <c r="AZ639" t="s">
        <v>247</v>
      </c>
      <c r="BA639" t="s">
        <v>74</v>
      </c>
      <c r="BB639">
        <v>307</v>
      </c>
      <c r="BC639">
        <v>319</v>
      </c>
      <c r="BD639" t="s">
        <v>74</v>
      </c>
      <c r="BE639" t="s">
        <v>12904</v>
      </c>
      <c r="BF639" t="str">
        <f>HYPERLINK("http://dx.doi.org/10.1108/IJIUS-02-2019-0013","http://dx.doi.org/10.1108/IJIUS-02-2019-0013")</f>
        <v>http://dx.doi.org/10.1108/IJIUS-02-2019-0013</v>
      </c>
      <c r="BG639" t="s">
        <v>74</v>
      </c>
      <c r="BH639" t="s">
        <v>5723</v>
      </c>
      <c r="BI639">
        <v>13</v>
      </c>
      <c r="BJ639" t="s">
        <v>12905</v>
      </c>
      <c r="BK639" t="s">
        <v>102</v>
      </c>
      <c r="BL639" t="s">
        <v>12905</v>
      </c>
      <c r="BM639" t="s">
        <v>12906</v>
      </c>
      <c r="BN639" t="s">
        <v>74</v>
      </c>
      <c r="BO639" t="s">
        <v>74</v>
      </c>
      <c r="BP639" t="s">
        <v>74</v>
      </c>
      <c r="BQ639" t="s">
        <v>74</v>
      </c>
      <c r="BR639" t="s">
        <v>106</v>
      </c>
      <c r="BS639" t="s">
        <v>12907</v>
      </c>
      <c r="BT639" t="str">
        <f>HYPERLINK("https%3A%2F%2Fwww.webofscience.com%2Fwos%2Fwoscc%2Ffull-record%2FWOS:000541635100001","View Full Record in Web of Science")</f>
        <v>View Full Record in Web of Science</v>
      </c>
    </row>
    <row r="640" spans="1:72" x14ac:dyDescent="0.25">
      <c r="A640" t="s">
        <v>72</v>
      </c>
      <c r="B640" t="s">
        <v>12908</v>
      </c>
      <c r="C640" t="s">
        <v>74</v>
      </c>
      <c r="D640" t="s">
        <v>74</v>
      </c>
      <c r="E640" t="s">
        <v>74</v>
      </c>
      <c r="F640" t="s">
        <v>12909</v>
      </c>
      <c r="G640" t="s">
        <v>74</v>
      </c>
      <c r="H640" t="s">
        <v>74</v>
      </c>
      <c r="I640" t="s">
        <v>12910</v>
      </c>
      <c r="J640" t="s">
        <v>12911</v>
      </c>
      <c r="K640" t="s">
        <v>74</v>
      </c>
      <c r="L640" t="s">
        <v>74</v>
      </c>
      <c r="M640" t="s">
        <v>12912</v>
      </c>
      <c r="N640" t="s">
        <v>79</v>
      </c>
      <c r="O640" t="s">
        <v>74</v>
      </c>
      <c r="P640" t="s">
        <v>74</v>
      </c>
      <c r="Q640" t="s">
        <v>74</v>
      </c>
      <c r="R640" t="s">
        <v>74</v>
      </c>
      <c r="S640" t="s">
        <v>74</v>
      </c>
      <c r="T640" t="s">
        <v>12913</v>
      </c>
      <c r="U640" t="s">
        <v>12914</v>
      </c>
      <c r="V640" t="s">
        <v>12915</v>
      </c>
      <c r="W640" t="s">
        <v>12916</v>
      </c>
      <c r="X640" t="s">
        <v>12917</v>
      </c>
      <c r="Y640" t="s">
        <v>12918</v>
      </c>
      <c r="Z640" t="s">
        <v>12919</v>
      </c>
      <c r="AA640" t="s">
        <v>12920</v>
      </c>
      <c r="AB640" t="s">
        <v>74</v>
      </c>
      <c r="AC640" t="s">
        <v>74</v>
      </c>
      <c r="AD640" t="s">
        <v>74</v>
      </c>
      <c r="AE640" t="s">
        <v>74</v>
      </c>
      <c r="AF640" t="s">
        <v>74</v>
      </c>
      <c r="AG640">
        <v>52</v>
      </c>
      <c r="AH640">
        <v>0</v>
      </c>
      <c r="AI640">
        <v>0</v>
      </c>
      <c r="AJ640">
        <v>1</v>
      </c>
      <c r="AK640">
        <v>1</v>
      </c>
      <c r="AL640" t="s">
        <v>11724</v>
      </c>
      <c r="AM640" t="s">
        <v>12921</v>
      </c>
      <c r="AN640" t="s">
        <v>12922</v>
      </c>
      <c r="AO640" t="s">
        <v>12923</v>
      </c>
      <c r="AP640" t="s">
        <v>12924</v>
      </c>
      <c r="AQ640" t="s">
        <v>74</v>
      </c>
      <c r="AR640" t="s">
        <v>12911</v>
      </c>
      <c r="AS640" t="s">
        <v>12925</v>
      </c>
      <c r="AT640" t="s">
        <v>12926</v>
      </c>
      <c r="AU640">
        <v>2026</v>
      </c>
      <c r="AV640">
        <v>62</v>
      </c>
      <c r="AW640">
        <v>2</v>
      </c>
      <c r="AX640" t="s">
        <v>74</v>
      </c>
      <c r="AY640" t="s">
        <v>74</v>
      </c>
      <c r="AZ640" t="s">
        <v>74</v>
      </c>
      <c r="BA640" t="s">
        <v>74</v>
      </c>
      <c r="BB640">
        <v>355</v>
      </c>
      <c r="BC640">
        <v>371</v>
      </c>
      <c r="BD640" t="s">
        <v>74</v>
      </c>
      <c r="BE640" t="s">
        <v>12927</v>
      </c>
      <c r="BF640" t="str">
        <f>HYPERLINK("http://dx.doi.org/10.5565/rev/educar.2452","http://dx.doi.org/10.5565/rev/educar.2452")</f>
        <v>http://dx.doi.org/10.5565/rev/educar.2452</v>
      </c>
      <c r="BG640" t="s">
        <v>74</v>
      </c>
      <c r="BH640" t="s">
        <v>74</v>
      </c>
      <c r="BI640">
        <v>17</v>
      </c>
      <c r="BJ640" t="s">
        <v>318</v>
      </c>
      <c r="BK640" t="s">
        <v>102</v>
      </c>
      <c r="BL640" t="s">
        <v>318</v>
      </c>
      <c r="BM640" t="s">
        <v>12928</v>
      </c>
      <c r="BN640" t="s">
        <v>74</v>
      </c>
      <c r="BO640" t="s">
        <v>12929</v>
      </c>
      <c r="BP640" t="s">
        <v>74</v>
      </c>
      <c r="BQ640" t="s">
        <v>74</v>
      </c>
      <c r="BR640" t="s">
        <v>106</v>
      </c>
      <c r="BS640" t="s">
        <v>12930</v>
      </c>
      <c r="BT640" t="str">
        <f>HYPERLINK("https%3A%2F%2Fwww.webofscience.com%2Fwos%2Fwoscc%2Ffull-record%2FWOS:001826451700006","View Full Record in Web of Science")</f>
        <v>View Full Record in Web of Science</v>
      </c>
    </row>
    <row r="641" spans="1:72" x14ac:dyDescent="0.25">
      <c r="A641" t="s">
        <v>72</v>
      </c>
      <c r="B641" t="s">
        <v>12931</v>
      </c>
      <c r="C641" t="s">
        <v>74</v>
      </c>
      <c r="D641" t="s">
        <v>74</v>
      </c>
      <c r="E641" t="s">
        <v>74</v>
      </c>
      <c r="F641" t="s">
        <v>12932</v>
      </c>
      <c r="G641" t="s">
        <v>74</v>
      </c>
      <c r="H641" t="s">
        <v>74</v>
      </c>
      <c r="I641" t="s">
        <v>12933</v>
      </c>
      <c r="J641" t="s">
        <v>12934</v>
      </c>
      <c r="K641" t="s">
        <v>74</v>
      </c>
      <c r="L641" t="s">
        <v>74</v>
      </c>
      <c r="M641" t="s">
        <v>78</v>
      </c>
      <c r="N641" t="s">
        <v>79</v>
      </c>
      <c r="O641" t="s">
        <v>74</v>
      </c>
      <c r="P641" t="s">
        <v>74</v>
      </c>
      <c r="Q641" t="s">
        <v>74</v>
      </c>
      <c r="R641" t="s">
        <v>74</v>
      </c>
      <c r="S641" t="s">
        <v>74</v>
      </c>
      <c r="T641" t="s">
        <v>12935</v>
      </c>
      <c r="U641" t="s">
        <v>12936</v>
      </c>
      <c r="V641" t="s">
        <v>12937</v>
      </c>
      <c r="W641" t="s">
        <v>12938</v>
      </c>
      <c r="X641" t="s">
        <v>10323</v>
      </c>
      <c r="Y641" t="s">
        <v>12939</v>
      </c>
      <c r="Z641" t="s">
        <v>12940</v>
      </c>
      <c r="AA641" t="s">
        <v>12941</v>
      </c>
      <c r="AB641" t="s">
        <v>12942</v>
      </c>
      <c r="AC641" t="s">
        <v>12943</v>
      </c>
      <c r="AD641" t="s">
        <v>12944</v>
      </c>
      <c r="AE641" t="s">
        <v>12945</v>
      </c>
      <c r="AF641" t="s">
        <v>74</v>
      </c>
      <c r="AG641">
        <v>46</v>
      </c>
      <c r="AH641">
        <v>5</v>
      </c>
      <c r="AI641">
        <v>5</v>
      </c>
      <c r="AJ641">
        <v>9</v>
      </c>
      <c r="AK641">
        <v>22</v>
      </c>
      <c r="AL641" t="s">
        <v>91</v>
      </c>
      <c r="AM641" t="s">
        <v>92</v>
      </c>
      <c r="AN641" t="s">
        <v>2307</v>
      </c>
      <c r="AO641" t="s">
        <v>12946</v>
      </c>
      <c r="AP641" t="s">
        <v>12947</v>
      </c>
      <c r="AQ641" t="s">
        <v>74</v>
      </c>
      <c r="AR641" t="s">
        <v>12948</v>
      </c>
      <c r="AS641" t="s">
        <v>12949</v>
      </c>
      <c r="AT641" t="s">
        <v>98</v>
      </c>
      <c r="AU641">
        <v>2025</v>
      </c>
      <c r="AV641">
        <v>12</v>
      </c>
      <c r="AW641" t="s">
        <v>74</v>
      </c>
      <c r="AX641" t="s">
        <v>74</v>
      </c>
      <c r="AY641" t="s">
        <v>74</v>
      </c>
      <c r="AZ641" t="s">
        <v>74</v>
      </c>
      <c r="BA641" t="s">
        <v>74</v>
      </c>
      <c r="BB641" t="s">
        <v>74</v>
      </c>
      <c r="BC641" t="s">
        <v>74</v>
      </c>
      <c r="BD641">
        <v>100742</v>
      </c>
      <c r="BE641" t="s">
        <v>12950</v>
      </c>
      <c r="BF641" t="str">
        <f>HYPERLINK("http://dx.doi.org/10.1016/j.apjon.2025.100742","http://dx.doi.org/10.1016/j.apjon.2025.100742")</f>
        <v>http://dx.doi.org/10.1016/j.apjon.2025.100742</v>
      </c>
      <c r="BG641" t="s">
        <v>74</v>
      </c>
      <c r="BH641" t="s">
        <v>100</v>
      </c>
      <c r="BI641">
        <v>9</v>
      </c>
      <c r="BJ641" t="s">
        <v>12951</v>
      </c>
      <c r="BK641" t="s">
        <v>745</v>
      </c>
      <c r="BL641" t="s">
        <v>12951</v>
      </c>
      <c r="BM641" t="s">
        <v>12952</v>
      </c>
      <c r="BN641" t="s">
        <v>74</v>
      </c>
      <c r="BO641" t="s">
        <v>372</v>
      </c>
      <c r="BP641" t="s">
        <v>74</v>
      </c>
      <c r="BQ641" t="s">
        <v>74</v>
      </c>
      <c r="BR641" t="s">
        <v>106</v>
      </c>
      <c r="BS641" t="s">
        <v>12953</v>
      </c>
      <c r="BT641" t="str">
        <f>HYPERLINK("https%3A%2F%2Fwww.webofscience.com%2Fwos%2Fwoscc%2Ffull-record%2FWOS:001554525100001","View Full Record in Web of Science")</f>
        <v>View Full Record in Web of Science</v>
      </c>
    </row>
    <row r="642" spans="1:72" x14ac:dyDescent="0.25">
      <c r="A642" t="s">
        <v>2400</v>
      </c>
      <c r="B642" t="s">
        <v>12954</v>
      </c>
      <c r="C642" t="s">
        <v>74</v>
      </c>
      <c r="D642" t="s">
        <v>12955</v>
      </c>
      <c r="E642" t="s">
        <v>74</v>
      </c>
      <c r="F642" t="s">
        <v>12954</v>
      </c>
      <c r="G642" t="s">
        <v>74</v>
      </c>
      <c r="H642" t="s">
        <v>74</v>
      </c>
      <c r="I642" t="s">
        <v>12956</v>
      </c>
      <c r="J642" t="s">
        <v>12957</v>
      </c>
      <c r="K642" t="s">
        <v>147</v>
      </c>
      <c r="L642" t="s">
        <v>74</v>
      </c>
      <c r="M642" t="s">
        <v>78</v>
      </c>
      <c r="N642" t="s">
        <v>7584</v>
      </c>
      <c r="O642" t="s">
        <v>12958</v>
      </c>
      <c r="P642" t="s">
        <v>12959</v>
      </c>
      <c r="Q642" t="s">
        <v>11586</v>
      </c>
      <c r="R642" t="s">
        <v>12960</v>
      </c>
      <c r="S642" t="s">
        <v>74</v>
      </c>
      <c r="T642" t="s">
        <v>74</v>
      </c>
      <c r="U642" t="s">
        <v>74</v>
      </c>
      <c r="V642" t="s">
        <v>12961</v>
      </c>
      <c r="W642" t="s">
        <v>12962</v>
      </c>
      <c r="X642" t="s">
        <v>12963</v>
      </c>
      <c r="Y642" t="s">
        <v>12964</v>
      </c>
      <c r="Z642" t="s">
        <v>12965</v>
      </c>
      <c r="AA642" t="s">
        <v>74</v>
      </c>
      <c r="AB642" t="s">
        <v>12966</v>
      </c>
      <c r="AC642" t="s">
        <v>74</v>
      </c>
      <c r="AD642" t="s">
        <v>74</v>
      </c>
      <c r="AE642" t="s">
        <v>74</v>
      </c>
      <c r="AF642" t="s">
        <v>74</v>
      </c>
      <c r="AG642">
        <v>15</v>
      </c>
      <c r="AH642">
        <v>10</v>
      </c>
      <c r="AI642">
        <v>11</v>
      </c>
      <c r="AJ642">
        <v>0</v>
      </c>
      <c r="AK642">
        <v>2</v>
      </c>
      <c r="AL642" t="s">
        <v>197</v>
      </c>
      <c r="AM642" t="s">
        <v>198</v>
      </c>
      <c r="AN642" t="s">
        <v>199</v>
      </c>
      <c r="AO642" t="s">
        <v>159</v>
      </c>
      <c r="AP642" t="s">
        <v>133</v>
      </c>
      <c r="AQ642" t="s">
        <v>12967</v>
      </c>
      <c r="AR642" t="s">
        <v>161</v>
      </c>
      <c r="AS642" t="s">
        <v>74</v>
      </c>
      <c r="AT642" t="s">
        <v>74</v>
      </c>
      <c r="AU642">
        <v>2006</v>
      </c>
      <c r="AV642">
        <v>3841</v>
      </c>
      <c r="AW642" t="s">
        <v>74</v>
      </c>
      <c r="AX642" t="s">
        <v>74</v>
      </c>
      <c r="AY642" t="s">
        <v>74</v>
      </c>
      <c r="AZ642" t="s">
        <v>74</v>
      </c>
      <c r="BA642" t="s">
        <v>74</v>
      </c>
      <c r="BB642">
        <v>474</v>
      </c>
      <c r="BC642">
        <v>485</v>
      </c>
      <c r="BD642" t="s">
        <v>74</v>
      </c>
      <c r="BE642" t="s">
        <v>74</v>
      </c>
      <c r="BF642" t="s">
        <v>74</v>
      </c>
      <c r="BG642" t="s">
        <v>74</v>
      </c>
      <c r="BH642" t="s">
        <v>74</v>
      </c>
      <c r="BI642">
        <v>12</v>
      </c>
      <c r="BJ642" t="s">
        <v>7997</v>
      </c>
      <c r="BK642" t="s">
        <v>12228</v>
      </c>
      <c r="BL642" t="s">
        <v>103</v>
      </c>
      <c r="BM642" t="s">
        <v>12968</v>
      </c>
      <c r="BN642" t="s">
        <v>74</v>
      </c>
      <c r="BO642" t="s">
        <v>74</v>
      </c>
      <c r="BP642" t="s">
        <v>74</v>
      </c>
      <c r="BQ642" t="s">
        <v>74</v>
      </c>
      <c r="BR642" t="s">
        <v>106</v>
      </c>
      <c r="BS642" t="s">
        <v>12969</v>
      </c>
      <c r="BT642" t="str">
        <f>HYPERLINK("https%3A%2F%2Fwww.webofscience.com%2Fwos%2Fwoscc%2Ffull-record%2FWOS:000235658000042","View Full Record in Web of Science")</f>
        <v>View Full Record in Web of Science</v>
      </c>
    </row>
    <row r="643" spans="1:72" x14ac:dyDescent="0.25">
      <c r="A643" t="s">
        <v>72</v>
      </c>
      <c r="B643" t="s">
        <v>12970</v>
      </c>
      <c r="C643" t="s">
        <v>74</v>
      </c>
      <c r="D643" t="s">
        <v>74</v>
      </c>
      <c r="E643" t="s">
        <v>74</v>
      </c>
      <c r="F643" t="s">
        <v>12971</v>
      </c>
      <c r="G643" t="s">
        <v>74</v>
      </c>
      <c r="H643" t="s">
        <v>74</v>
      </c>
      <c r="I643" t="s">
        <v>12972</v>
      </c>
      <c r="J643" t="s">
        <v>5594</v>
      </c>
      <c r="K643" t="s">
        <v>74</v>
      </c>
      <c r="L643" t="s">
        <v>74</v>
      </c>
      <c r="M643" t="s">
        <v>78</v>
      </c>
      <c r="N643" t="s">
        <v>79</v>
      </c>
      <c r="O643" t="s">
        <v>74</v>
      </c>
      <c r="P643" t="s">
        <v>74</v>
      </c>
      <c r="Q643" t="s">
        <v>74</v>
      </c>
      <c r="R643" t="s">
        <v>74</v>
      </c>
      <c r="S643" t="s">
        <v>74</v>
      </c>
      <c r="T643" t="s">
        <v>12973</v>
      </c>
      <c r="U643" t="s">
        <v>12974</v>
      </c>
      <c r="V643" t="s">
        <v>12975</v>
      </c>
      <c r="W643" t="s">
        <v>12976</v>
      </c>
      <c r="X643" t="s">
        <v>12977</v>
      </c>
      <c r="Y643" t="s">
        <v>12978</v>
      </c>
      <c r="Z643" t="s">
        <v>12979</v>
      </c>
      <c r="AA643" t="s">
        <v>12980</v>
      </c>
      <c r="AB643" t="s">
        <v>12981</v>
      </c>
      <c r="AC643" t="s">
        <v>12982</v>
      </c>
      <c r="AD643" t="s">
        <v>12983</v>
      </c>
      <c r="AE643" t="s">
        <v>12984</v>
      </c>
      <c r="AF643" t="s">
        <v>74</v>
      </c>
      <c r="AG643">
        <v>44</v>
      </c>
      <c r="AH643">
        <v>19</v>
      </c>
      <c r="AI643">
        <v>20</v>
      </c>
      <c r="AJ643">
        <v>0</v>
      </c>
      <c r="AK643">
        <v>16</v>
      </c>
      <c r="AL643" t="s">
        <v>5604</v>
      </c>
      <c r="AM643" t="s">
        <v>1320</v>
      </c>
      <c r="AN643" t="s">
        <v>5605</v>
      </c>
      <c r="AO643" t="s">
        <v>5606</v>
      </c>
      <c r="AP643" t="s">
        <v>5607</v>
      </c>
      <c r="AQ643" t="s">
        <v>74</v>
      </c>
      <c r="AR643" t="s">
        <v>5608</v>
      </c>
      <c r="AS643" t="s">
        <v>5609</v>
      </c>
      <c r="AT643" t="s">
        <v>1375</v>
      </c>
      <c r="AU643">
        <v>2011</v>
      </c>
      <c r="AV643">
        <v>27</v>
      </c>
      <c r="AW643">
        <v>3</v>
      </c>
      <c r="AX643" t="s">
        <v>74</v>
      </c>
      <c r="AY643" t="s">
        <v>74</v>
      </c>
      <c r="AZ643" t="s">
        <v>74</v>
      </c>
      <c r="BA643" t="s">
        <v>74</v>
      </c>
      <c r="BB643">
        <v>419</v>
      </c>
      <c r="BC643">
        <v>450</v>
      </c>
      <c r="BD643" t="s">
        <v>74</v>
      </c>
      <c r="BE643" t="s">
        <v>12985</v>
      </c>
      <c r="BF643" t="str">
        <f>HYPERLINK("http://dx.doi.org/10.1007/s10115-010-0298-8","http://dx.doi.org/10.1007/s10115-010-0298-8")</f>
        <v>http://dx.doi.org/10.1007/s10115-010-0298-8</v>
      </c>
      <c r="BG643" t="s">
        <v>74</v>
      </c>
      <c r="BH643" t="s">
        <v>74</v>
      </c>
      <c r="BI643">
        <v>32</v>
      </c>
      <c r="BJ643" t="s">
        <v>202</v>
      </c>
      <c r="BK643" t="s">
        <v>745</v>
      </c>
      <c r="BL643" t="s">
        <v>103</v>
      </c>
      <c r="BM643" t="s">
        <v>12986</v>
      </c>
      <c r="BN643" t="s">
        <v>74</v>
      </c>
      <c r="BO643" t="s">
        <v>4086</v>
      </c>
      <c r="BP643" t="s">
        <v>74</v>
      </c>
      <c r="BQ643" t="s">
        <v>74</v>
      </c>
      <c r="BR643" t="s">
        <v>106</v>
      </c>
      <c r="BS643" t="s">
        <v>12987</v>
      </c>
      <c r="BT643" t="str">
        <f>HYPERLINK("https%3A%2F%2Fwww.webofscience.com%2Fwos%2Fwoscc%2Ffull-record%2FWOS:000290589000005","View Full Record in Web of Science")</f>
        <v>View Full Record in Web of Science</v>
      </c>
    </row>
    <row r="644" spans="1:72" x14ac:dyDescent="0.25">
      <c r="A644" t="s">
        <v>72</v>
      </c>
      <c r="B644" t="s">
        <v>12988</v>
      </c>
      <c r="C644" t="s">
        <v>74</v>
      </c>
      <c r="D644" t="s">
        <v>74</v>
      </c>
      <c r="E644" t="s">
        <v>74</v>
      </c>
      <c r="F644" t="s">
        <v>12989</v>
      </c>
      <c r="G644" t="s">
        <v>74</v>
      </c>
      <c r="H644" t="s">
        <v>74</v>
      </c>
      <c r="I644" t="s">
        <v>12990</v>
      </c>
      <c r="J644" t="s">
        <v>7632</v>
      </c>
      <c r="K644" t="s">
        <v>74</v>
      </c>
      <c r="L644" t="s">
        <v>74</v>
      </c>
      <c r="M644" t="s">
        <v>78</v>
      </c>
      <c r="N644" t="s">
        <v>79</v>
      </c>
      <c r="O644" t="s">
        <v>74</v>
      </c>
      <c r="P644" t="s">
        <v>74</v>
      </c>
      <c r="Q644" t="s">
        <v>74</v>
      </c>
      <c r="R644" t="s">
        <v>74</v>
      </c>
      <c r="S644" t="s">
        <v>74</v>
      </c>
      <c r="T644" t="s">
        <v>12991</v>
      </c>
      <c r="U644" t="s">
        <v>12992</v>
      </c>
      <c r="V644" t="s">
        <v>12993</v>
      </c>
      <c r="W644" t="s">
        <v>12994</v>
      </c>
      <c r="X644" t="s">
        <v>12995</v>
      </c>
      <c r="Y644" t="s">
        <v>12996</v>
      </c>
      <c r="Z644" t="s">
        <v>12997</v>
      </c>
      <c r="AA644" t="s">
        <v>74</v>
      </c>
      <c r="AB644" t="s">
        <v>74</v>
      </c>
      <c r="AC644" t="s">
        <v>12998</v>
      </c>
      <c r="AD644" t="s">
        <v>12999</v>
      </c>
      <c r="AE644" t="s">
        <v>13000</v>
      </c>
      <c r="AF644" t="s">
        <v>74</v>
      </c>
      <c r="AG644">
        <v>14</v>
      </c>
      <c r="AH644">
        <v>5</v>
      </c>
      <c r="AI644">
        <v>5</v>
      </c>
      <c r="AJ644">
        <v>2</v>
      </c>
      <c r="AK644">
        <v>51</v>
      </c>
      <c r="AL644" t="s">
        <v>7641</v>
      </c>
      <c r="AM644" t="s">
        <v>7642</v>
      </c>
      <c r="AN644" t="s">
        <v>7643</v>
      </c>
      <c r="AO644" t="s">
        <v>74</v>
      </c>
      <c r="AP644" t="s">
        <v>7644</v>
      </c>
      <c r="AQ644" t="s">
        <v>74</v>
      </c>
      <c r="AR644" t="s">
        <v>7645</v>
      </c>
      <c r="AS644" t="s">
        <v>7646</v>
      </c>
      <c r="AT644" t="s">
        <v>13001</v>
      </c>
      <c r="AU644">
        <v>2021</v>
      </c>
      <c r="AV644">
        <v>11</v>
      </c>
      <c r="AW644" t="s">
        <v>74</v>
      </c>
      <c r="AX644" t="s">
        <v>74</v>
      </c>
      <c r="AY644" t="s">
        <v>74</v>
      </c>
      <c r="AZ644" t="s">
        <v>74</v>
      </c>
      <c r="BA644" t="s">
        <v>74</v>
      </c>
      <c r="BB644" t="s">
        <v>74</v>
      </c>
      <c r="BC644" t="s">
        <v>74</v>
      </c>
      <c r="BD644">
        <v>8</v>
      </c>
      <c r="BE644" t="s">
        <v>13002</v>
      </c>
      <c r="BF644" t="str">
        <f>HYPERLINK("http://dx.doi.org/10.22967/HCIS.2021.11.008","http://dx.doi.org/10.22967/HCIS.2021.11.008")</f>
        <v>http://dx.doi.org/10.22967/HCIS.2021.11.008</v>
      </c>
      <c r="BG644" t="s">
        <v>74</v>
      </c>
      <c r="BH644" t="s">
        <v>74</v>
      </c>
      <c r="BI644">
        <v>18</v>
      </c>
      <c r="BJ644" t="s">
        <v>852</v>
      </c>
      <c r="BK644" t="s">
        <v>902</v>
      </c>
      <c r="BL644" t="s">
        <v>103</v>
      </c>
      <c r="BM644" t="s">
        <v>13003</v>
      </c>
      <c r="BN644" t="s">
        <v>74</v>
      </c>
      <c r="BO644" t="s">
        <v>74</v>
      </c>
      <c r="BP644" t="s">
        <v>74</v>
      </c>
      <c r="BQ644" t="s">
        <v>74</v>
      </c>
      <c r="BR644" t="s">
        <v>106</v>
      </c>
      <c r="BS644" t="s">
        <v>13004</v>
      </c>
      <c r="BT644" t="str">
        <f>HYPERLINK("https%3A%2F%2Fwww.webofscience.com%2Fwos%2Fwoscc%2Ffull-record%2FWOS:000668118300001","View Full Record in Web of Science")</f>
        <v>View Full Record in Web of Science</v>
      </c>
    </row>
    <row r="645" spans="1:72" x14ac:dyDescent="0.25">
      <c r="A645" t="s">
        <v>108</v>
      </c>
      <c r="B645" t="s">
        <v>13005</v>
      </c>
      <c r="C645" t="s">
        <v>74</v>
      </c>
      <c r="D645" t="s">
        <v>74</v>
      </c>
      <c r="E645" t="s">
        <v>3480</v>
      </c>
      <c r="F645" t="s">
        <v>13006</v>
      </c>
      <c r="G645" t="s">
        <v>74</v>
      </c>
      <c r="H645" t="s">
        <v>74</v>
      </c>
      <c r="I645" t="s">
        <v>13007</v>
      </c>
      <c r="J645" t="s">
        <v>5397</v>
      </c>
      <c r="K645" t="s">
        <v>74</v>
      </c>
      <c r="L645" t="s">
        <v>74</v>
      </c>
      <c r="M645" t="s">
        <v>78</v>
      </c>
      <c r="N645" t="s">
        <v>115</v>
      </c>
      <c r="O645" t="s">
        <v>5398</v>
      </c>
      <c r="P645" t="s">
        <v>5399</v>
      </c>
      <c r="Q645" t="s">
        <v>4669</v>
      </c>
      <c r="R645" t="s">
        <v>5400</v>
      </c>
      <c r="S645" t="s">
        <v>74</v>
      </c>
      <c r="T645" t="s">
        <v>13008</v>
      </c>
      <c r="U645" t="s">
        <v>13009</v>
      </c>
      <c r="V645" t="s">
        <v>13010</v>
      </c>
      <c r="W645" t="s">
        <v>13011</v>
      </c>
      <c r="X645" t="s">
        <v>13012</v>
      </c>
      <c r="Y645" t="s">
        <v>13013</v>
      </c>
      <c r="Z645" t="s">
        <v>13014</v>
      </c>
      <c r="AA645" t="s">
        <v>74</v>
      </c>
      <c r="AB645" t="s">
        <v>13015</v>
      </c>
      <c r="AC645" t="s">
        <v>13016</v>
      </c>
      <c r="AD645" t="s">
        <v>13017</v>
      </c>
      <c r="AE645" t="s">
        <v>13018</v>
      </c>
      <c r="AF645" t="s">
        <v>74</v>
      </c>
      <c r="AG645">
        <v>49</v>
      </c>
      <c r="AH645">
        <v>5</v>
      </c>
      <c r="AI645">
        <v>8</v>
      </c>
      <c r="AJ645">
        <v>0</v>
      </c>
      <c r="AK645">
        <v>10</v>
      </c>
      <c r="AL645" t="s">
        <v>291</v>
      </c>
      <c r="AM645" t="s">
        <v>92</v>
      </c>
      <c r="AN645" t="s">
        <v>341</v>
      </c>
      <c r="AO645" t="s">
        <v>74</v>
      </c>
      <c r="AP645" t="s">
        <v>74</v>
      </c>
      <c r="AQ645" t="s">
        <v>5410</v>
      </c>
      <c r="AR645" t="s">
        <v>74</v>
      </c>
      <c r="AS645" t="s">
        <v>74</v>
      </c>
      <c r="AT645" t="s">
        <v>74</v>
      </c>
      <c r="AU645">
        <v>2020</v>
      </c>
      <c r="AV645" t="s">
        <v>74</v>
      </c>
      <c r="AW645" t="s">
        <v>74</v>
      </c>
      <c r="AX645" t="s">
        <v>74</v>
      </c>
      <c r="AY645" t="s">
        <v>74</v>
      </c>
      <c r="AZ645" t="s">
        <v>74</v>
      </c>
      <c r="BA645" t="s">
        <v>74</v>
      </c>
      <c r="BB645">
        <v>765</v>
      </c>
      <c r="BC645">
        <v>774</v>
      </c>
      <c r="BD645" t="s">
        <v>74</v>
      </c>
      <c r="BE645" t="s">
        <v>13019</v>
      </c>
      <c r="BF645" t="str">
        <f>HYPERLINK("http://dx.doi.org/10.1145/3340531.3411933","http://dx.doi.org/10.1145/3340531.3411933")</f>
        <v>http://dx.doi.org/10.1145/3340531.3411933</v>
      </c>
      <c r="BG645" t="s">
        <v>74</v>
      </c>
      <c r="BH645" t="s">
        <v>74</v>
      </c>
      <c r="BI645">
        <v>10</v>
      </c>
      <c r="BJ645" t="s">
        <v>696</v>
      </c>
      <c r="BK645" t="s">
        <v>203</v>
      </c>
      <c r="BL645" t="s">
        <v>103</v>
      </c>
      <c r="BM645" t="s">
        <v>5412</v>
      </c>
      <c r="BN645" t="s">
        <v>74</v>
      </c>
      <c r="BO645" t="s">
        <v>74</v>
      </c>
      <c r="BP645" t="s">
        <v>74</v>
      </c>
      <c r="BQ645" t="s">
        <v>74</v>
      </c>
      <c r="BR645" t="s">
        <v>106</v>
      </c>
      <c r="BS645" t="s">
        <v>13020</v>
      </c>
      <c r="BT645" t="str">
        <f>HYPERLINK("https%3A%2F%2Fwww.webofscience.com%2Fwos%2Fwoscc%2Ffull-record%2FWOS:000749561300079","View Full Record in Web of Science")</f>
        <v>View Full Record in Web of Science</v>
      </c>
    </row>
    <row r="646" spans="1:72" x14ac:dyDescent="0.25">
      <c r="A646" t="s">
        <v>108</v>
      </c>
      <c r="B646" t="s">
        <v>13021</v>
      </c>
      <c r="C646" t="s">
        <v>74</v>
      </c>
      <c r="D646" t="s">
        <v>74</v>
      </c>
      <c r="E646" t="s">
        <v>465</v>
      </c>
      <c r="F646" t="s">
        <v>13022</v>
      </c>
      <c r="G646" t="s">
        <v>74</v>
      </c>
      <c r="H646" t="s">
        <v>74</v>
      </c>
      <c r="I646" t="s">
        <v>13023</v>
      </c>
      <c r="J646" t="s">
        <v>13024</v>
      </c>
      <c r="K646" t="s">
        <v>13025</v>
      </c>
      <c r="L646" t="s">
        <v>74</v>
      </c>
      <c r="M646" t="s">
        <v>78</v>
      </c>
      <c r="N646" t="s">
        <v>115</v>
      </c>
      <c r="O646" t="s">
        <v>13026</v>
      </c>
      <c r="P646" t="s">
        <v>13027</v>
      </c>
      <c r="Q646" t="s">
        <v>2599</v>
      </c>
      <c r="R646" t="s">
        <v>13028</v>
      </c>
      <c r="S646" t="s">
        <v>74</v>
      </c>
      <c r="T646" t="s">
        <v>13029</v>
      </c>
      <c r="U646" t="s">
        <v>74</v>
      </c>
      <c r="V646" t="s">
        <v>13030</v>
      </c>
      <c r="W646" t="s">
        <v>13031</v>
      </c>
      <c r="X646" t="s">
        <v>1204</v>
      </c>
      <c r="Y646" t="s">
        <v>13032</v>
      </c>
      <c r="Z646" t="s">
        <v>74</v>
      </c>
      <c r="AA646" t="s">
        <v>13033</v>
      </c>
      <c r="AB646" t="s">
        <v>74</v>
      </c>
      <c r="AC646" t="s">
        <v>13034</v>
      </c>
      <c r="AD646" t="s">
        <v>13035</v>
      </c>
      <c r="AE646" t="s">
        <v>13036</v>
      </c>
      <c r="AF646" t="s">
        <v>74</v>
      </c>
      <c r="AG646">
        <v>13</v>
      </c>
      <c r="AH646">
        <v>0</v>
      </c>
      <c r="AI646">
        <v>0</v>
      </c>
      <c r="AJ646">
        <v>0</v>
      </c>
      <c r="AK646">
        <v>1</v>
      </c>
      <c r="AL646" t="s">
        <v>465</v>
      </c>
      <c r="AM646" t="s">
        <v>92</v>
      </c>
      <c r="AN646" t="s">
        <v>480</v>
      </c>
      <c r="AO646" t="s">
        <v>13037</v>
      </c>
      <c r="AP646" t="s">
        <v>74</v>
      </c>
      <c r="AQ646" t="s">
        <v>13038</v>
      </c>
      <c r="AR646" t="s">
        <v>13039</v>
      </c>
      <c r="AS646" t="s">
        <v>74</v>
      </c>
      <c r="AT646" t="s">
        <v>74</v>
      </c>
      <c r="AU646">
        <v>2017</v>
      </c>
      <c r="AV646" t="s">
        <v>74</v>
      </c>
      <c r="AW646" t="s">
        <v>74</v>
      </c>
      <c r="AX646" t="s">
        <v>74</v>
      </c>
      <c r="AY646" t="s">
        <v>74</v>
      </c>
      <c r="AZ646" t="s">
        <v>74</v>
      </c>
      <c r="BA646" t="s">
        <v>74</v>
      </c>
      <c r="BB646">
        <v>1187</v>
      </c>
      <c r="BC646">
        <v>1192</v>
      </c>
      <c r="BD646" t="s">
        <v>74</v>
      </c>
      <c r="BE646" t="s">
        <v>74</v>
      </c>
      <c r="BF646" t="s">
        <v>74</v>
      </c>
      <c r="BG646" t="s">
        <v>74</v>
      </c>
      <c r="BH646" t="s">
        <v>74</v>
      </c>
      <c r="BI646">
        <v>6</v>
      </c>
      <c r="BJ646" t="s">
        <v>2268</v>
      </c>
      <c r="BK646" t="s">
        <v>203</v>
      </c>
      <c r="BL646" t="s">
        <v>2269</v>
      </c>
      <c r="BM646" t="s">
        <v>13040</v>
      </c>
      <c r="BN646" t="s">
        <v>74</v>
      </c>
      <c r="BO646" t="s">
        <v>74</v>
      </c>
      <c r="BP646" t="s">
        <v>74</v>
      </c>
      <c r="BQ646" t="s">
        <v>74</v>
      </c>
      <c r="BR646" t="s">
        <v>106</v>
      </c>
      <c r="BS646" t="s">
        <v>13041</v>
      </c>
      <c r="BT646" t="str">
        <f>HYPERLINK("https%3A%2F%2Fwww.webofscience.com%2Fwos%2Fwoscc%2Ffull-record%2FWOS:000709551200211","View Full Record in Web of Science")</f>
        <v>View Full Record in Web of Science</v>
      </c>
    </row>
    <row r="647" spans="1:72" x14ac:dyDescent="0.25">
      <c r="A647" t="s">
        <v>108</v>
      </c>
      <c r="B647" t="s">
        <v>13042</v>
      </c>
      <c r="C647" t="s">
        <v>74</v>
      </c>
      <c r="D647" t="s">
        <v>13043</v>
      </c>
      <c r="E647" t="s">
        <v>74</v>
      </c>
      <c r="F647" t="s">
        <v>13044</v>
      </c>
      <c r="G647" t="s">
        <v>74</v>
      </c>
      <c r="H647" t="s">
        <v>74</v>
      </c>
      <c r="I647" t="s">
        <v>13045</v>
      </c>
      <c r="J647" t="s">
        <v>13046</v>
      </c>
      <c r="K647" t="s">
        <v>147</v>
      </c>
      <c r="L647" t="s">
        <v>74</v>
      </c>
      <c r="M647" t="s">
        <v>78</v>
      </c>
      <c r="N647" t="s">
        <v>115</v>
      </c>
      <c r="O647" t="s">
        <v>13047</v>
      </c>
      <c r="P647" t="s">
        <v>13048</v>
      </c>
      <c r="Q647" t="s">
        <v>424</v>
      </c>
      <c r="R647" t="s">
        <v>13049</v>
      </c>
      <c r="S647" t="s">
        <v>74</v>
      </c>
      <c r="T647" t="s">
        <v>13050</v>
      </c>
      <c r="U647" t="s">
        <v>74</v>
      </c>
      <c r="V647" t="s">
        <v>13051</v>
      </c>
      <c r="W647" t="s">
        <v>13052</v>
      </c>
      <c r="X647" t="s">
        <v>13053</v>
      </c>
      <c r="Y647" t="s">
        <v>13054</v>
      </c>
      <c r="Z647" t="s">
        <v>13055</v>
      </c>
      <c r="AA647" t="s">
        <v>13056</v>
      </c>
      <c r="AB647" t="s">
        <v>13057</v>
      </c>
      <c r="AC647" t="s">
        <v>74</v>
      </c>
      <c r="AD647" t="s">
        <v>74</v>
      </c>
      <c r="AE647" t="s">
        <v>74</v>
      </c>
      <c r="AF647" t="s">
        <v>74</v>
      </c>
      <c r="AG647">
        <v>16</v>
      </c>
      <c r="AH647">
        <v>0</v>
      </c>
      <c r="AI647">
        <v>0</v>
      </c>
      <c r="AJ647">
        <v>0</v>
      </c>
      <c r="AK647">
        <v>0</v>
      </c>
      <c r="AL647" t="s">
        <v>197</v>
      </c>
      <c r="AM647" t="s">
        <v>198</v>
      </c>
      <c r="AN647" t="s">
        <v>199</v>
      </c>
      <c r="AO647" t="s">
        <v>159</v>
      </c>
      <c r="AP647" t="s">
        <v>133</v>
      </c>
      <c r="AQ647" t="s">
        <v>13058</v>
      </c>
      <c r="AR647" t="s">
        <v>161</v>
      </c>
      <c r="AS647" t="s">
        <v>74</v>
      </c>
      <c r="AT647" t="s">
        <v>74</v>
      </c>
      <c r="AU647">
        <v>2008</v>
      </c>
      <c r="AV647">
        <v>5236</v>
      </c>
      <c r="AW647" t="s">
        <v>74</v>
      </c>
      <c r="AX647" t="s">
        <v>74</v>
      </c>
      <c r="AY647" t="s">
        <v>74</v>
      </c>
      <c r="AZ647" t="s">
        <v>74</v>
      </c>
      <c r="BA647" t="s">
        <v>74</v>
      </c>
      <c r="BB647">
        <v>33</v>
      </c>
      <c r="BC647">
        <v>43</v>
      </c>
      <c r="BD647" t="s">
        <v>74</v>
      </c>
      <c r="BE647" t="s">
        <v>74</v>
      </c>
      <c r="BF647" t="s">
        <v>74</v>
      </c>
      <c r="BG647" t="s">
        <v>74</v>
      </c>
      <c r="BH647" t="s">
        <v>74</v>
      </c>
      <c r="BI647">
        <v>11</v>
      </c>
      <c r="BJ647" t="s">
        <v>13059</v>
      </c>
      <c r="BK647" t="s">
        <v>203</v>
      </c>
      <c r="BL647" t="s">
        <v>2422</v>
      </c>
      <c r="BM647" t="s">
        <v>13060</v>
      </c>
      <c r="BN647" t="s">
        <v>74</v>
      </c>
      <c r="BO647" t="s">
        <v>74</v>
      </c>
      <c r="BP647" t="s">
        <v>74</v>
      </c>
      <c r="BQ647" t="s">
        <v>74</v>
      </c>
      <c r="BR647" t="s">
        <v>106</v>
      </c>
      <c r="BS647" t="s">
        <v>13061</v>
      </c>
      <c r="BT647" t="str">
        <f>HYPERLINK("https%3A%2F%2Fwww.webofscience.com%2Fwos%2Fwoscc%2Ffull-record%2FWOS:000263827900004","View Full Record in Web of Science")</f>
        <v>View Full Record in Web of Science</v>
      </c>
    </row>
    <row r="648" spans="1:72" x14ac:dyDescent="0.25">
      <c r="A648" t="s">
        <v>108</v>
      </c>
      <c r="B648" t="s">
        <v>13062</v>
      </c>
      <c r="C648" t="s">
        <v>74</v>
      </c>
      <c r="D648" t="s">
        <v>13063</v>
      </c>
      <c r="E648" t="s">
        <v>74</v>
      </c>
      <c r="F648" t="s">
        <v>13064</v>
      </c>
      <c r="G648" t="s">
        <v>74</v>
      </c>
      <c r="H648" t="s">
        <v>74</v>
      </c>
      <c r="I648" t="s">
        <v>13065</v>
      </c>
      <c r="J648" t="s">
        <v>13066</v>
      </c>
      <c r="K648" t="s">
        <v>13067</v>
      </c>
      <c r="L648" t="s">
        <v>74</v>
      </c>
      <c r="M648" t="s">
        <v>78</v>
      </c>
      <c r="N648" t="s">
        <v>115</v>
      </c>
      <c r="O648" t="s">
        <v>13047</v>
      </c>
      <c r="P648" t="s">
        <v>13048</v>
      </c>
      <c r="Q648" t="s">
        <v>424</v>
      </c>
      <c r="R648" t="s">
        <v>13049</v>
      </c>
      <c r="S648" t="s">
        <v>74</v>
      </c>
      <c r="T648" t="s">
        <v>13050</v>
      </c>
      <c r="U648" t="s">
        <v>74</v>
      </c>
      <c r="V648" t="s">
        <v>13068</v>
      </c>
      <c r="W648" t="s">
        <v>13069</v>
      </c>
      <c r="X648" t="s">
        <v>13053</v>
      </c>
      <c r="Y648" t="s">
        <v>13070</v>
      </c>
      <c r="Z648" t="s">
        <v>13071</v>
      </c>
      <c r="AA648" t="s">
        <v>13072</v>
      </c>
      <c r="AB648" t="s">
        <v>13073</v>
      </c>
      <c r="AC648" t="s">
        <v>13074</v>
      </c>
      <c r="AD648" t="s">
        <v>13075</v>
      </c>
      <c r="AE648" t="s">
        <v>13076</v>
      </c>
      <c r="AF648" t="s">
        <v>74</v>
      </c>
      <c r="AG648">
        <v>14</v>
      </c>
      <c r="AH648">
        <v>1</v>
      </c>
      <c r="AI648">
        <v>1</v>
      </c>
      <c r="AJ648">
        <v>0</v>
      </c>
      <c r="AK648">
        <v>1</v>
      </c>
      <c r="AL648" t="s">
        <v>465</v>
      </c>
      <c r="AM648" t="s">
        <v>92</v>
      </c>
      <c r="AN648" t="s">
        <v>480</v>
      </c>
      <c r="AO648" t="s">
        <v>74</v>
      </c>
      <c r="AP648" t="s">
        <v>74</v>
      </c>
      <c r="AQ648" t="s">
        <v>13077</v>
      </c>
      <c r="AR648" t="s">
        <v>13078</v>
      </c>
      <c r="AS648" t="s">
        <v>74</v>
      </c>
      <c r="AT648" t="s">
        <v>74</v>
      </c>
      <c r="AU648">
        <v>2007</v>
      </c>
      <c r="AV648" t="s">
        <v>74</v>
      </c>
      <c r="AW648" t="s">
        <v>74</v>
      </c>
      <c r="AX648" t="s">
        <v>74</v>
      </c>
      <c r="AY648" t="s">
        <v>74</v>
      </c>
      <c r="AZ648" t="s">
        <v>74</v>
      </c>
      <c r="BA648" t="s">
        <v>74</v>
      </c>
      <c r="BB648">
        <v>582</v>
      </c>
      <c r="BC648" t="s">
        <v>5459</v>
      </c>
      <c r="BD648" t="s">
        <v>74</v>
      </c>
      <c r="BE648" t="s">
        <v>74</v>
      </c>
      <c r="BF648" t="s">
        <v>74</v>
      </c>
      <c r="BG648" t="s">
        <v>74</v>
      </c>
      <c r="BH648" t="s">
        <v>74</v>
      </c>
      <c r="BI648">
        <v>2</v>
      </c>
      <c r="BJ648" t="s">
        <v>101</v>
      </c>
      <c r="BK648" t="s">
        <v>203</v>
      </c>
      <c r="BL648" t="s">
        <v>103</v>
      </c>
      <c r="BM648" t="s">
        <v>13079</v>
      </c>
      <c r="BN648" t="s">
        <v>74</v>
      </c>
      <c r="BO648" t="s">
        <v>74</v>
      </c>
      <c r="BP648" t="s">
        <v>74</v>
      </c>
      <c r="BQ648" t="s">
        <v>74</v>
      </c>
      <c r="BR648" t="s">
        <v>106</v>
      </c>
      <c r="BS648" t="s">
        <v>13080</v>
      </c>
      <c r="BT648" t="str">
        <f>HYPERLINK("https%3A%2F%2Fwww.webofscience.com%2Fwos%2Fwoscc%2Ffull-record%2FWOS:000250405600102","View Full Record in Web of Science")</f>
        <v>View Full Record in Web of Science</v>
      </c>
    </row>
    <row r="649" spans="1:72" x14ac:dyDescent="0.25">
      <c r="A649" t="s">
        <v>72</v>
      </c>
      <c r="B649" t="s">
        <v>13081</v>
      </c>
      <c r="C649" t="s">
        <v>74</v>
      </c>
      <c r="D649" t="s">
        <v>74</v>
      </c>
      <c r="E649" t="s">
        <v>74</v>
      </c>
      <c r="F649" t="s">
        <v>13082</v>
      </c>
      <c r="G649" t="s">
        <v>74</v>
      </c>
      <c r="H649" t="s">
        <v>74</v>
      </c>
      <c r="I649" t="s">
        <v>13083</v>
      </c>
      <c r="J649" t="s">
        <v>9216</v>
      </c>
      <c r="K649" t="s">
        <v>74</v>
      </c>
      <c r="L649" t="s">
        <v>74</v>
      </c>
      <c r="M649" t="s">
        <v>78</v>
      </c>
      <c r="N649" t="s">
        <v>79</v>
      </c>
      <c r="O649" t="s">
        <v>74</v>
      </c>
      <c r="P649" t="s">
        <v>74</v>
      </c>
      <c r="Q649" t="s">
        <v>74</v>
      </c>
      <c r="R649" t="s">
        <v>74</v>
      </c>
      <c r="S649" t="s">
        <v>74</v>
      </c>
      <c r="T649" t="s">
        <v>13084</v>
      </c>
      <c r="U649" t="s">
        <v>13085</v>
      </c>
      <c r="V649" t="s">
        <v>13086</v>
      </c>
      <c r="W649" t="s">
        <v>13087</v>
      </c>
      <c r="X649" t="s">
        <v>13088</v>
      </c>
      <c r="Y649" t="s">
        <v>13089</v>
      </c>
      <c r="Z649" t="s">
        <v>13090</v>
      </c>
      <c r="AA649" t="s">
        <v>9249</v>
      </c>
      <c r="AB649" t="s">
        <v>9250</v>
      </c>
      <c r="AC649" t="s">
        <v>13091</v>
      </c>
      <c r="AD649" t="s">
        <v>13092</v>
      </c>
      <c r="AE649" t="s">
        <v>13093</v>
      </c>
      <c r="AF649" t="s">
        <v>74</v>
      </c>
      <c r="AG649">
        <v>46</v>
      </c>
      <c r="AH649">
        <v>37</v>
      </c>
      <c r="AI649">
        <v>44</v>
      </c>
      <c r="AJ649">
        <v>0</v>
      </c>
      <c r="AK649">
        <v>25</v>
      </c>
      <c r="AL649" t="s">
        <v>895</v>
      </c>
      <c r="AM649" t="s">
        <v>896</v>
      </c>
      <c r="AN649" t="s">
        <v>897</v>
      </c>
      <c r="AO649" t="s">
        <v>9225</v>
      </c>
      <c r="AP649" t="s">
        <v>9226</v>
      </c>
      <c r="AQ649" t="s">
        <v>74</v>
      </c>
      <c r="AR649" t="s">
        <v>9227</v>
      </c>
      <c r="AS649" t="s">
        <v>9228</v>
      </c>
      <c r="AT649" t="s">
        <v>98</v>
      </c>
      <c r="AU649">
        <v>2018</v>
      </c>
      <c r="AV649">
        <v>48</v>
      </c>
      <c r="AW649">
        <v>12</v>
      </c>
      <c r="AX649" t="s">
        <v>74</v>
      </c>
      <c r="AY649" t="s">
        <v>74</v>
      </c>
      <c r="AZ649" t="s">
        <v>74</v>
      </c>
      <c r="BA649" t="s">
        <v>74</v>
      </c>
      <c r="BB649">
        <v>2176</v>
      </c>
      <c r="BC649">
        <v>2187</v>
      </c>
      <c r="BD649" t="s">
        <v>74</v>
      </c>
      <c r="BE649" t="s">
        <v>13094</v>
      </c>
      <c r="BF649" t="str">
        <f>HYPERLINK("http://dx.doi.org/10.1109/TSMC.2017.2690321","http://dx.doi.org/10.1109/TSMC.2017.2690321")</f>
        <v>http://dx.doi.org/10.1109/TSMC.2017.2690321</v>
      </c>
      <c r="BG649" t="s">
        <v>74</v>
      </c>
      <c r="BH649" t="s">
        <v>74</v>
      </c>
      <c r="BI649">
        <v>12</v>
      </c>
      <c r="BJ649" t="s">
        <v>9230</v>
      </c>
      <c r="BK649" t="s">
        <v>902</v>
      </c>
      <c r="BL649" t="s">
        <v>2756</v>
      </c>
      <c r="BM649" t="s">
        <v>13095</v>
      </c>
      <c r="BN649" t="s">
        <v>74</v>
      </c>
      <c r="BO649" t="s">
        <v>74</v>
      </c>
      <c r="BP649" t="s">
        <v>74</v>
      </c>
      <c r="BQ649" t="s">
        <v>74</v>
      </c>
      <c r="BR649" t="s">
        <v>106</v>
      </c>
      <c r="BS649" t="s">
        <v>13096</v>
      </c>
      <c r="BT649" t="str">
        <f>HYPERLINK("https%3A%2F%2Fwww.webofscience.com%2Fwos%2Fwoscc%2Ffull-record%2FWOS:000450617000014","View Full Record in Web of Science")</f>
        <v>View Full Record in Web of Science</v>
      </c>
    </row>
    <row r="650" spans="1:72" x14ac:dyDescent="0.25">
      <c r="A650" t="s">
        <v>108</v>
      </c>
      <c r="B650" t="s">
        <v>13097</v>
      </c>
      <c r="C650" t="s">
        <v>74</v>
      </c>
      <c r="D650" t="s">
        <v>13098</v>
      </c>
      <c r="E650" t="s">
        <v>74</v>
      </c>
      <c r="F650" t="s">
        <v>13099</v>
      </c>
      <c r="G650" t="s">
        <v>74</v>
      </c>
      <c r="H650" t="s">
        <v>74</v>
      </c>
      <c r="I650" t="s">
        <v>13100</v>
      </c>
      <c r="J650" t="s">
        <v>13101</v>
      </c>
      <c r="K650" t="s">
        <v>74</v>
      </c>
      <c r="L650" t="s">
        <v>74</v>
      </c>
      <c r="M650" t="s">
        <v>78</v>
      </c>
      <c r="N650" t="s">
        <v>115</v>
      </c>
      <c r="O650" t="s">
        <v>13102</v>
      </c>
      <c r="P650" t="s">
        <v>13103</v>
      </c>
      <c r="Q650" t="s">
        <v>13104</v>
      </c>
      <c r="R650" t="s">
        <v>13105</v>
      </c>
      <c r="S650" t="s">
        <v>13106</v>
      </c>
      <c r="T650" t="s">
        <v>13107</v>
      </c>
      <c r="U650" t="s">
        <v>74</v>
      </c>
      <c r="V650" t="s">
        <v>13108</v>
      </c>
      <c r="W650" t="s">
        <v>13109</v>
      </c>
      <c r="X650" t="s">
        <v>74</v>
      </c>
      <c r="Y650" t="s">
        <v>13110</v>
      </c>
      <c r="Z650" t="s">
        <v>13111</v>
      </c>
      <c r="AA650" t="s">
        <v>13112</v>
      </c>
      <c r="AB650" t="s">
        <v>13113</v>
      </c>
      <c r="AC650" t="s">
        <v>13114</v>
      </c>
      <c r="AD650" t="s">
        <v>13115</v>
      </c>
      <c r="AE650" t="s">
        <v>13116</v>
      </c>
      <c r="AF650" t="s">
        <v>74</v>
      </c>
      <c r="AG650">
        <v>23</v>
      </c>
      <c r="AH650">
        <v>1</v>
      </c>
      <c r="AI650">
        <v>3</v>
      </c>
      <c r="AJ650">
        <v>0</v>
      </c>
      <c r="AK650">
        <v>0</v>
      </c>
      <c r="AL650" t="s">
        <v>465</v>
      </c>
      <c r="AM650" t="s">
        <v>92</v>
      </c>
      <c r="AN650" t="s">
        <v>480</v>
      </c>
      <c r="AO650" t="s">
        <v>74</v>
      </c>
      <c r="AP650" t="s">
        <v>74</v>
      </c>
      <c r="AQ650" t="s">
        <v>13117</v>
      </c>
      <c r="AR650" t="s">
        <v>74</v>
      </c>
      <c r="AS650" t="s">
        <v>74</v>
      </c>
      <c r="AT650" t="s">
        <v>74</v>
      </c>
      <c r="AU650">
        <v>2019</v>
      </c>
      <c r="AV650" t="s">
        <v>74</v>
      </c>
      <c r="AW650" t="s">
        <v>74</v>
      </c>
      <c r="AX650" t="s">
        <v>74</v>
      </c>
      <c r="AY650" t="s">
        <v>74</v>
      </c>
      <c r="AZ650" t="s">
        <v>74</v>
      </c>
      <c r="BA650" t="s">
        <v>74</v>
      </c>
      <c r="BB650">
        <v>27</v>
      </c>
      <c r="BC650">
        <v>32</v>
      </c>
      <c r="BD650" t="s">
        <v>74</v>
      </c>
      <c r="BE650" t="s">
        <v>13118</v>
      </c>
      <c r="BF650" t="str">
        <f>HYPERLINK("http://dx.doi.org/10.1109/nics48868.2019.9023842","http://dx.doi.org/10.1109/nics48868.2019.9023842")</f>
        <v>http://dx.doi.org/10.1109/nics48868.2019.9023842</v>
      </c>
      <c r="BG650" t="s">
        <v>74</v>
      </c>
      <c r="BH650" t="s">
        <v>74</v>
      </c>
      <c r="BI650">
        <v>6</v>
      </c>
      <c r="BJ650" t="s">
        <v>925</v>
      </c>
      <c r="BK650" t="s">
        <v>203</v>
      </c>
      <c r="BL650" t="s">
        <v>103</v>
      </c>
      <c r="BM650" t="s">
        <v>13119</v>
      </c>
      <c r="BN650" t="s">
        <v>74</v>
      </c>
      <c r="BO650" t="s">
        <v>74</v>
      </c>
      <c r="BP650" t="s">
        <v>74</v>
      </c>
      <c r="BQ650" t="s">
        <v>74</v>
      </c>
      <c r="BR650" t="s">
        <v>106</v>
      </c>
      <c r="BS650" t="s">
        <v>13120</v>
      </c>
      <c r="BT650" t="str">
        <f>HYPERLINK("https%3A%2F%2Fwww.webofscience.com%2Fwos%2Fwoscc%2Ffull-record%2FWOS:000554858300006","View Full Record in Web of Science")</f>
        <v>View Full Record in Web of Science</v>
      </c>
    </row>
    <row r="651" spans="1:72" x14ac:dyDescent="0.25">
      <c r="A651" t="s">
        <v>108</v>
      </c>
      <c r="B651" t="s">
        <v>13121</v>
      </c>
      <c r="C651" t="s">
        <v>74</v>
      </c>
      <c r="D651" t="s">
        <v>74</v>
      </c>
      <c r="E651" t="s">
        <v>465</v>
      </c>
      <c r="F651" t="s">
        <v>13122</v>
      </c>
      <c r="G651" t="s">
        <v>74</v>
      </c>
      <c r="H651" t="s">
        <v>74</v>
      </c>
      <c r="I651" t="s">
        <v>13123</v>
      </c>
      <c r="J651" t="s">
        <v>13124</v>
      </c>
      <c r="K651" t="s">
        <v>13125</v>
      </c>
      <c r="L651" t="s">
        <v>74</v>
      </c>
      <c r="M651" t="s">
        <v>78</v>
      </c>
      <c r="N651" t="s">
        <v>115</v>
      </c>
      <c r="O651" t="s">
        <v>13126</v>
      </c>
      <c r="P651" t="s">
        <v>13127</v>
      </c>
      <c r="Q651" t="s">
        <v>13128</v>
      </c>
      <c r="R651" t="s">
        <v>13129</v>
      </c>
      <c r="S651" t="s">
        <v>74</v>
      </c>
      <c r="T651" t="s">
        <v>13130</v>
      </c>
      <c r="U651" t="s">
        <v>13131</v>
      </c>
      <c r="V651" t="s">
        <v>13132</v>
      </c>
      <c r="W651" t="s">
        <v>13133</v>
      </c>
      <c r="X651" t="s">
        <v>4021</v>
      </c>
      <c r="Y651" t="s">
        <v>13134</v>
      </c>
      <c r="Z651" t="s">
        <v>13135</v>
      </c>
      <c r="AA651" t="s">
        <v>13136</v>
      </c>
      <c r="AB651" t="s">
        <v>13137</v>
      </c>
      <c r="AC651" t="s">
        <v>74</v>
      </c>
      <c r="AD651" t="s">
        <v>74</v>
      </c>
      <c r="AE651" t="s">
        <v>74</v>
      </c>
      <c r="AF651" t="s">
        <v>74</v>
      </c>
      <c r="AG651">
        <v>11</v>
      </c>
      <c r="AH651">
        <v>2</v>
      </c>
      <c r="AI651">
        <v>2</v>
      </c>
      <c r="AJ651">
        <v>0</v>
      </c>
      <c r="AK651">
        <v>3</v>
      </c>
      <c r="AL651" t="s">
        <v>465</v>
      </c>
      <c r="AM651" t="s">
        <v>92</v>
      </c>
      <c r="AN651" t="s">
        <v>480</v>
      </c>
      <c r="AO651" t="s">
        <v>13138</v>
      </c>
      <c r="AP651" t="s">
        <v>74</v>
      </c>
      <c r="AQ651" t="s">
        <v>13139</v>
      </c>
      <c r="AR651" t="s">
        <v>13140</v>
      </c>
      <c r="AS651" t="s">
        <v>74</v>
      </c>
      <c r="AT651" t="s">
        <v>74</v>
      </c>
      <c r="AU651">
        <v>2017</v>
      </c>
      <c r="AV651" t="s">
        <v>74</v>
      </c>
      <c r="AW651" t="s">
        <v>74</v>
      </c>
      <c r="AX651" t="s">
        <v>74</v>
      </c>
      <c r="AY651" t="s">
        <v>74</v>
      </c>
      <c r="AZ651" t="s">
        <v>74</v>
      </c>
      <c r="BA651" t="s">
        <v>74</v>
      </c>
      <c r="BB651" t="s">
        <v>74</v>
      </c>
      <c r="BC651" t="s">
        <v>74</v>
      </c>
      <c r="BD651" t="s">
        <v>74</v>
      </c>
      <c r="BE651" t="s">
        <v>74</v>
      </c>
      <c r="BF651" t="s">
        <v>74</v>
      </c>
      <c r="BG651" t="s">
        <v>74</v>
      </c>
      <c r="BH651" t="s">
        <v>74</v>
      </c>
      <c r="BI651">
        <v>7</v>
      </c>
      <c r="BJ651" t="s">
        <v>13141</v>
      </c>
      <c r="BK651" t="s">
        <v>203</v>
      </c>
      <c r="BL651" t="s">
        <v>2422</v>
      </c>
      <c r="BM651" t="s">
        <v>13142</v>
      </c>
      <c r="BN651" t="s">
        <v>74</v>
      </c>
      <c r="BO651" t="s">
        <v>74</v>
      </c>
      <c r="BP651" t="s">
        <v>74</v>
      </c>
      <c r="BQ651" t="s">
        <v>74</v>
      </c>
      <c r="BR651" t="s">
        <v>106</v>
      </c>
      <c r="BS651" t="s">
        <v>13143</v>
      </c>
      <c r="BT651" t="str">
        <f>HYPERLINK("https%3A%2F%2Fwww.webofscience.com%2Fwos%2Fwoscc%2Ffull-record%2FWOS:000425956500065","View Full Record in Web of Science")</f>
        <v>View Full Record in Web of Science</v>
      </c>
    </row>
    <row r="652" spans="1:72" x14ac:dyDescent="0.25">
      <c r="A652" t="s">
        <v>108</v>
      </c>
      <c r="B652" t="s">
        <v>13144</v>
      </c>
      <c r="C652" t="s">
        <v>74</v>
      </c>
      <c r="D652" t="s">
        <v>13145</v>
      </c>
      <c r="E652" t="s">
        <v>74</v>
      </c>
      <c r="F652" t="s">
        <v>13146</v>
      </c>
      <c r="G652" t="s">
        <v>74</v>
      </c>
      <c r="H652" t="s">
        <v>74</v>
      </c>
      <c r="I652" t="s">
        <v>13147</v>
      </c>
      <c r="J652" t="s">
        <v>13148</v>
      </c>
      <c r="K652" t="s">
        <v>74</v>
      </c>
      <c r="L652" t="s">
        <v>74</v>
      </c>
      <c r="M652" t="s">
        <v>78</v>
      </c>
      <c r="N652" t="s">
        <v>115</v>
      </c>
      <c r="O652" t="s">
        <v>13149</v>
      </c>
      <c r="P652" t="s">
        <v>13150</v>
      </c>
      <c r="Q652" t="s">
        <v>13151</v>
      </c>
      <c r="R652" t="s">
        <v>74</v>
      </c>
      <c r="S652" t="s">
        <v>74</v>
      </c>
      <c r="T652" t="s">
        <v>74</v>
      </c>
      <c r="U652" t="s">
        <v>74</v>
      </c>
      <c r="V652" t="s">
        <v>13152</v>
      </c>
      <c r="W652" t="s">
        <v>13153</v>
      </c>
      <c r="X652" t="s">
        <v>13154</v>
      </c>
      <c r="Y652" t="s">
        <v>13155</v>
      </c>
      <c r="Z652" t="s">
        <v>74</v>
      </c>
      <c r="AA652" t="s">
        <v>13156</v>
      </c>
      <c r="AB652" t="s">
        <v>13157</v>
      </c>
      <c r="AC652" t="s">
        <v>13158</v>
      </c>
      <c r="AD652" t="s">
        <v>13159</v>
      </c>
      <c r="AE652" t="s">
        <v>13160</v>
      </c>
      <c r="AF652" t="s">
        <v>74</v>
      </c>
      <c r="AG652">
        <v>23</v>
      </c>
      <c r="AH652">
        <v>0</v>
      </c>
      <c r="AI652">
        <v>0</v>
      </c>
      <c r="AJ652">
        <v>0</v>
      </c>
      <c r="AK652">
        <v>2</v>
      </c>
      <c r="AL652" t="s">
        <v>13161</v>
      </c>
      <c r="AM652" t="s">
        <v>13162</v>
      </c>
      <c r="AN652" t="s">
        <v>13163</v>
      </c>
      <c r="AO652" t="s">
        <v>74</v>
      </c>
      <c r="AP652" t="s">
        <v>74</v>
      </c>
      <c r="AQ652" t="s">
        <v>13164</v>
      </c>
      <c r="AR652" t="s">
        <v>74</v>
      </c>
      <c r="AS652" t="s">
        <v>74</v>
      </c>
      <c r="AT652" t="s">
        <v>74</v>
      </c>
      <c r="AU652">
        <v>2024</v>
      </c>
      <c r="AV652" t="s">
        <v>74</v>
      </c>
      <c r="AW652" t="s">
        <v>74</v>
      </c>
      <c r="AX652" t="s">
        <v>74</v>
      </c>
      <c r="AY652" t="s">
        <v>74</v>
      </c>
      <c r="AZ652" t="s">
        <v>74</v>
      </c>
      <c r="BA652" t="s">
        <v>74</v>
      </c>
      <c r="BB652">
        <v>151</v>
      </c>
      <c r="BC652">
        <v>158</v>
      </c>
      <c r="BD652" t="s">
        <v>74</v>
      </c>
      <c r="BE652" t="s">
        <v>13165</v>
      </c>
      <c r="BF652" t="str">
        <f>HYPERLINK("http://dx.doi.org/10.1201/9781003508762-19","http://dx.doi.org/10.1201/9781003508762-19")</f>
        <v>http://dx.doi.org/10.1201/9781003508762-19</v>
      </c>
      <c r="BG652" t="s">
        <v>74</v>
      </c>
      <c r="BH652" t="s">
        <v>74</v>
      </c>
      <c r="BI652">
        <v>8</v>
      </c>
      <c r="BJ652" t="s">
        <v>13166</v>
      </c>
      <c r="BK652" t="s">
        <v>203</v>
      </c>
      <c r="BL652" t="s">
        <v>1737</v>
      </c>
      <c r="BM652" t="s">
        <v>13167</v>
      </c>
      <c r="BN652" t="s">
        <v>74</v>
      </c>
      <c r="BO652" t="s">
        <v>74</v>
      </c>
      <c r="BP652" t="s">
        <v>74</v>
      </c>
      <c r="BQ652" t="s">
        <v>74</v>
      </c>
      <c r="BR652" t="s">
        <v>106</v>
      </c>
      <c r="BS652" t="s">
        <v>13168</v>
      </c>
      <c r="BT652" t="str">
        <f>HYPERLINK("https%3A%2F%2Fwww.webofscience.com%2Fwos%2Fwoscc%2Ffull-record%2FWOS:001524169800019","View Full Record in Web of Science")</f>
        <v>View Full Record in Web of Science</v>
      </c>
    </row>
    <row r="653" spans="1:72" x14ac:dyDescent="0.25">
      <c r="A653" t="s">
        <v>108</v>
      </c>
      <c r="B653" t="s">
        <v>13169</v>
      </c>
      <c r="C653" t="s">
        <v>74</v>
      </c>
      <c r="D653" t="s">
        <v>1977</v>
      </c>
      <c r="E653" t="s">
        <v>74</v>
      </c>
      <c r="F653" t="s">
        <v>13170</v>
      </c>
      <c r="G653" t="s">
        <v>74</v>
      </c>
      <c r="H653" t="s">
        <v>74</v>
      </c>
      <c r="I653" t="s">
        <v>13171</v>
      </c>
      <c r="J653" t="s">
        <v>1980</v>
      </c>
      <c r="K653" t="s">
        <v>74</v>
      </c>
      <c r="L653" t="s">
        <v>74</v>
      </c>
      <c r="M653" t="s">
        <v>78</v>
      </c>
      <c r="N653" t="s">
        <v>115</v>
      </c>
      <c r="O653" t="s">
        <v>1981</v>
      </c>
      <c r="P653" t="s">
        <v>1982</v>
      </c>
      <c r="Q653" t="s">
        <v>1983</v>
      </c>
      <c r="R653" t="s">
        <v>1984</v>
      </c>
      <c r="S653" t="s">
        <v>74</v>
      </c>
      <c r="T653" t="s">
        <v>74</v>
      </c>
      <c r="U653" t="s">
        <v>74</v>
      </c>
      <c r="V653" t="s">
        <v>13172</v>
      </c>
      <c r="W653" t="s">
        <v>13173</v>
      </c>
      <c r="X653" t="s">
        <v>13174</v>
      </c>
      <c r="Y653" t="s">
        <v>13175</v>
      </c>
      <c r="Z653" t="s">
        <v>13176</v>
      </c>
      <c r="AA653" t="s">
        <v>13177</v>
      </c>
      <c r="AB653" t="s">
        <v>13178</v>
      </c>
      <c r="AC653" t="s">
        <v>13179</v>
      </c>
      <c r="AD653" t="s">
        <v>13180</v>
      </c>
      <c r="AE653" t="s">
        <v>13181</v>
      </c>
      <c r="AF653" t="s">
        <v>74</v>
      </c>
      <c r="AG653">
        <v>28</v>
      </c>
      <c r="AH653">
        <v>4</v>
      </c>
      <c r="AI653">
        <v>4</v>
      </c>
      <c r="AJ653">
        <v>0</v>
      </c>
      <c r="AK653">
        <v>1</v>
      </c>
      <c r="AL653" t="s">
        <v>465</v>
      </c>
      <c r="AM653" t="s">
        <v>92</v>
      </c>
      <c r="AN653" t="s">
        <v>480</v>
      </c>
      <c r="AO653" t="s">
        <v>74</v>
      </c>
      <c r="AP653" t="s">
        <v>74</v>
      </c>
      <c r="AQ653" t="s">
        <v>1988</v>
      </c>
      <c r="AR653" t="s">
        <v>74</v>
      </c>
      <c r="AS653" t="s">
        <v>74</v>
      </c>
      <c r="AT653" t="s">
        <v>74</v>
      </c>
      <c r="AU653">
        <v>2013</v>
      </c>
      <c r="AV653" t="s">
        <v>74</v>
      </c>
      <c r="AW653" t="s">
        <v>74</v>
      </c>
      <c r="AX653" t="s">
        <v>74</v>
      </c>
      <c r="AY653" t="s">
        <v>74</v>
      </c>
      <c r="AZ653" t="s">
        <v>74</v>
      </c>
      <c r="BA653" t="s">
        <v>74</v>
      </c>
      <c r="BB653">
        <v>519</v>
      </c>
      <c r="BC653">
        <v>526</v>
      </c>
      <c r="BD653" t="s">
        <v>74</v>
      </c>
      <c r="BE653" t="s">
        <v>13182</v>
      </c>
      <c r="BF653" t="str">
        <f>HYPERLINK("http://dx.doi.org/10.1109/WI-IAT.2013.73","http://dx.doi.org/10.1109/WI-IAT.2013.73")</f>
        <v>http://dx.doi.org/10.1109/WI-IAT.2013.73</v>
      </c>
      <c r="BG653" t="s">
        <v>74</v>
      </c>
      <c r="BH653" t="s">
        <v>74</v>
      </c>
      <c r="BI653">
        <v>8</v>
      </c>
      <c r="BJ653" t="s">
        <v>972</v>
      </c>
      <c r="BK653" t="s">
        <v>203</v>
      </c>
      <c r="BL653" t="s">
        <v>953</v>
      </c>
      <c r="BM653" t="s">
        <v>1990</v>
      </c>
      <c r="BN653" t="s">
        <v>74</v>
      </c>
      <c r="BO653" t="s">
        <v>74</v>
      </c>
      <c r="BP653" t="s">
        <v>74</v>
      </c>
      <c r="BQ653" t="s">
        <v>74</v>
      </c>
      <c r="BR653" t="s">
        <v>106</v>
      </c>
      <c r="BS653" t="s">
        <v>13183</v>
      </c>
      <c r="BT653" t="str">
        <f>HYPERLINK("https%3A%2F%2Fwww.webofscience.com%2Fwos%2Fwoscc%2Ffull-record%2FWOS:000331265000075","View Full Record in Web of Science")</f>
        <v>View Full Record in Web of Science</v>
      </c>
    </row>
    <row r="654" spans="1:72" x14ac:dyDescent="0.25">
      <c r="A654" t="s">
        <v>108</v>
      </c>
      <c r="B654" t="s">
        <v>13184</v>
      </c>
      <c r="C654" t="s">
        <v>74</v>
      </c>
      <c r="D654" t="s">
        <v>13185</v>
      </c>
      <c r="E654" t="s">
        <v>74</v>
      </c>
      <c r="F654" t="s">
        <v>13186</v>
      </c>
      <c r="G654" t="s">
        <v>74</v>
      </c>
      <c r="H654" t="s">
        <v>74</v>
      </c>
      <c r="I654" t="s">
        <v>13187</v>
      </c>
      <c r="J654" t="s">
        <v>13188</v>
      </c>
      <c r="K654" t="s">
        <v>147</v>
      </c>
      <c r="L654" t="s">
        <v>74</v>
      </c>
      <c r="M654" t="s">
        <v>78</v>
      </c>
      <c r="N654" t="s">
        <v>115</v>
      </c>
      <c r="O654" t="s">
        <v>13189</v>
      </c>
      <c r="P654" t="s">
        <v>13190</v>
      </c>
      <c r="Q654" t="s">
        <v>1705</v>
      </c>
      <c r="R654" t="s">
        <v>13191</v>
      </c>
      <c r="S654" t="s">
        <v>1706</v>
      </c>
      <c r="T654" t="s">
        <v>13192</v>
      </c>
      <c r="U654" t="s">
        <v>74</v>
      </c>
      <c r="V654" t="s">
        <v>13193</v>
      </c>
      <c r="W654" t="s">
        <v>13194</v>
      </c>
      <c r="X654" t="s">
        <v>9319</v>
      </c>
      <c r="Y654" t="s">
        <v>9320</v>
      </c>
      <c r="Z654" t="s">
        <v>13195</v>
      </c>
      <c r="AA654" t="s">
        <v>13196</v>
      </c>
      <c r="AB654" t="s">
        <v>74</v>
      </c>
      <c r="AC654" t="s">
        <v>13197</v>
      </c>
      <c r="AD654" t="s">
        <v>13198</v>
      </c>
      <c r="AE654" t="s">
        <v>13199</v>
      </c>
      <c r="AF654" t="s">
        <v>74</v>
      </c>
      <c r="AG654">
        <v>22</v>
      </c>
      <c r="AH654">
        <v>0</v>
      </c>
      <c r="AI654">
        <v>0</v>
      </c>
      <c r="AJ654">
        <v>0</v>
      </c>
      <c r="AK654">
        <v>4</v>
      </c>
      <c r="AL654" t="s">
        <v>129</v>
      </c>
      <c r="AM654" t="s">
        <v>130</v>
      </c>
      <c r="AN654" t="s">
        <v>131</v>
      </c>
      <c r="AO654" t="s">
        <v>159</v>
      </c>
      <c r="AP654" t="s">
        <v>133</v>
      </c>
      <c r="AQ654" t="s">
        <v>13200</v>
      </c>
      <c r="AR654" t="s">
        <v>161</v>
      </c>
      <c r="AS654" t="s">
        <v>74</v>
      </c>
      <c r="AT654" t="s">
        <v>74</v>
      </c>
      <c r="AU654">
        <v>2019</v>
      </c>
      <c r="AV654">
        <v>11772</v>
      </c>
      <c r="AW654" t="s">
        <v>74</v>
      </c>
      <c r="AX654" t="s">
        <v>74</v>
      </c>
      <c r="AY654" t="s">
        <v>74</v>
      </c>
      <c r="AZ654" t="s">
        <v>74</v>
      </c>
      <c r="BA654" t="s">
        <v>74</v>
      </c>
      <c r="BB654">
        <v>161</v>
      </c>
      <c r="BC654">
        <v>172</v>
      </c>
      <c r="BD654" t="s">
        <v>74</v>
      </c>
      <c r="BE654" t="s">
        <v>13201</v>
      </c>
      <c r="BF654" t="str">
        <f>HYPERLINK("http://dx.doi.org/10.1007/978-3-030-31624-2_13","http://dx.doi.org/10.1007/978-3-030-31624-2_13")</f>
        <v>http://dx.doi.org/10.1007/978-3-030-31624-2_13</v>
      </c>
      <c r="BG654" t="s">
        <v>74</v>
      </c>
      <c r="BH654" t="s">
        <v>74</v>
      </c>
      <c r="BI654">
        <v>12</v>
      </c>
      <c r="BJ654" t="s">
        <v>807</v>
      </c>
      <c r="BK654" t="s">
        <v>203</v>
      </c>
      <c r="BL654" t="s">
        <v>103</v>
      </c>
      <c r="BM654" t="s">
        <v>13202</v>
      </c>
      <c r="BN654" t="s">
        <v>74</v>
      </c>
      <c r="BO654" t="s">
        <v>74</v>
      </c>
      <c r="BP654" t="s">
        <v>74</v>
      </c>
      <c r="BQ654" t="s">
        <v>74</v>
      </c>
      <c r="BR654" t="s">
        <v>106</v>
      </c>
      <c r="BS654" t="s">
        <v>13203</v>
      </c>
      <c r="BT654" t="str">
        <f>HYPERLINK("https%3A%2F%2Fwww.webofscience.com%2Fwos%2Fwoscc%2Ffull-record%2FWOS:000612910100013","View Full Record in Web of Science")</f>
        <v>View Full Record in Web of Science</v>
      </c>
    </row>
    <row r="655" spans="1:72" x14ac:dyDescent="0.25">
      <c r="A655" t="s">
        <v>108</v>
      </c>
      <c r="B655" t="s">
        <v>13204</v>
      </c>
      <c r="C655" t="s">
        <v>74</v>
      </c>
      <c r="D655" t="s">
        <v>13205</v>
      </c>
      <c r="E655" t="s">
        <v>74</v>
      </c>
      <c r="F655" t="s">
        <v>13206</v>
      </c>
      <c r="G655" t="s">
        <v>74</v>
      </c>
      <c r="H655" t="s">
        <v>74</v>
      </c>
      <c r="I655" t="s">
        <v>13207</v>
      </c>
      <c r="J655" t="s">
        <v>13208</v>
      </c>
      <c r="K655" t="s">
        <v>114</v>
      </c>
      <c r="L655" t="s">
        <v>74</v>
      </c>
      <c r="M655" t="s">
        <v>78</v>
      </c>
      <c r="N655" t="s">
        <v>115</v>
      </c>
      <c r="O655" t="s">
        <v>13209</v>
      </c>
      <c r="P655" t="s">
        <v>13210</v>
      </c>
      <c r="Q655" t="s">
        <v>4669</v>
      </c>
      <c r="R655" t="s">
        <v>13211</v>
      </c>
      <c r="S655" t="s">
        <v>74</v>
      </c>
      <c r="T655" t="s">
        <v>13212</v>
      </c>
      <c r="U655" t="s">
        <v>74</v>
      </c>
      <c r="V655" t="s">
        <v>13213</v>
      </c>
      <c r="W655" t="s">
        <v>13214</v>
      </c>
      <c r="X655" t="s">
        <v>13215</v>
      </c>
      <c r="Y655" t="s">
        <v>13216</v>
      </c>
      <c r="Z655" t="s">
        <v>13217</v>
      </c>
      <c r="AA655" t="s">
        <v>13218</v>
      </c>
      <c r="AB655" t="s">
        <v>13219</v>
      </c>
      <c r="AC655" t="s">
        <v>13220</v>
      </c>
      <c r="AD655" t="s">
        <v>13221</v>
      </c>
      <c r="AE655" t="s">
        <v>13222</v>
      </c>
      <c r="AF655" t="s">
        <v>74</v>
      </c>
      <c r="AG655">
        <v>24</v>
      </c>
      <c r="AH655">
        <v>6</v>
      </c>
      <c r="AI655">
        <v>8</v>
      </c>
      <c r="AJ655">
        <v>0</v>
      </c>
      <c r="AK655">
        <v>4</v>
      </c>
      <c r="AL655" t="s">
        <v>129</v>
      </c>
      <c r="AM655" t="s">
        <v>130</v>
      </c>
      <c r="AN655" t="s">
        <v>131</v>
      </c>
      <c r="AO655" t="s">
        <v>159</v>
      </c>
      <c r="AP655" t="s">
        <v>133</v>
      </c>
      <c r="AQ655" t="s">
        <v>13223</v>
      </c>
      <c r="AR655" t="s">
        <v>135</v>
      </c>
      <c r="AS655" t="s">
        <v>74</v>
      </c>
      <c r="AT655" t="s">
        <v>74</v>
      </c>
      <c r="AU655">
        <v>2020</v>
      </c>
      <c r="AV655">
        <v>12084</v>
      </c>
      <c r="AW655" t="s">
        <v>74</v>
      </c>
      <c r="AX655" t="s">
        <v>74</v>
      </c>
      <c r="AY655" t="s">
        <v>74</v>
      </c>
      <c r="AZ655" t="s">
        <v>74</v>
      </c>
      <c r="BA655" t="s">
        <v>74</v>
      </c>
      <c r="BB655">
        <v>385</v>
      </c>
      <c r="BC655">
        <v>397</v>
      </c>
      <c r="BD655" t="s">
        <v>74</v>
      </c>
      <c r="BE655" t="s">
        <v>13224</v>
      </c>
      <c r="BF655" t="str">
        <f>HYPERLINK("http://dx.doi.org/10.1007/978-3-030-47426-3_30","http://dx.doi.org/10.1007/978-3-030-47426-3_30")</f>
        <v>http://dx.doi.org/10.1007/978-3-030-47426-3_30</v>
      </c>
      <c r="BG655" t="s">
        <v>74</v>
      </c>
      <c r="BH655" t="s">
        <v>74</v>
      </c>
      <c r="BI655">
        <v>13</v>
      </c>
      <c r="BJ655" t="s">
        <v>461</v>
      </c>
      <c r="BK655" t="s">
        <v>203</v>
      </c>
      <c r="BL655" t="s">
        <v>103</v>
      </c>
      <c r="BM655" t="s">
        <v>13225</v>
      </c>
      <c r="BN655" t="s">
        <v>74</v>
      </c>
      <c r="BO655" t="s">
        <v>1014</v>
      </c>
      <c r="BP655" t="s">
        <v>74</v>
      </c>
      <c r="BQ655" t="s">
        <v>74</v>
      </c>
      <c r="BR655" t="s">
        <v>106</v>
      </c>
      <c r="BS655" t="s">
        <v>13226</v>
      </c>
      <c r="BT655" t="str">
        <f>HYPERLINK("https%3A%2F%2Fwww.webofscience.com%2Fwos%2Fwoscc%2Ffull-record%2FWOS:000716986400030","View Full Record in Web of Science")</f>
        <v>View Full Record in Web of Science</v>
      </c>
    </row>
    <row r="656" spans="1:72" x14ac:dyDescent="0.25">
      <c r="A656" t="s">
        <v>108</v>
      </c>
      <c r="B656" t="s">
        <v>13227</v>
      </c>
      <c r="C656" t="s">
        <v>74</v>
      </c>
      <c r="D656" t="s">
        <v>13228</v>
      </c>
      <c r="E656" t="s">
        <v>74</v>
      </c>
      <c r="F656" t="s">
        <v>13229</v>
      </c>
      <c r="G656" t="s">
        <v>74</v>
      </c>
      <c r="H656" t="s">
        <v>74</v>
      </c>
      <c r="I656" t="s">
        <v>13230</v>
      </c>
      <c r="J656" t="s">
        <v>13231</v>
      </c>
      <c r="K656" t="s">
        <v>13232</v>
      </c>
      <c r="L656" t="s">
        <v>74</v>
      </c>
      <c r="M656" t="s">
        <v>78</v>
      </c>
      <c r="N656" t="s">
        <v>115</v>
      </c>
      <c r="O656" t="s">
        <v>13233</v>
      </c>
      <c r="P656" t="s">
        <v>13234</v>
      </c>
      <c r="Q656" t="s">
        <v>6002</v>
      </c>
      <c r="R656" t="s">
        <v>74</v>
      </c>
      <c r="S656" t="s">
        <v>74</v>
      </c>
      <c r="T656" t="s">
        <v>13235</v>
      </c>
      <c r="U656" t="s">
        <v>74</v>
      </c>
      <c r="V656" t="s">
        <v>13236</v>
      </c>
      <c r="W656" t="s">
        <v>13237</v>
      </c>
      <c r="X656" t="s">
        <v>13238</v>
      </c>
      <c r="Y656" t="s">
        <v>13239</v>
      </c>
      <c r="Z656" t="s">
        <v>13240</v>
      </c>
      <c r="AA656" t="s">
        <v>74</v>
      </c>
      <c r="AB656" t="s">
        <v>13241</v>
      </c>
      <c r="AC656" t="s">
        <v>74</v>
      </c>
      <c r="AD656" t="s">
        <v>74</v>
      </c>
      <c r="AE656" t="s">
        <v>74</v>
      </c>
      <c r="AF656" t="s">
        <v>74</v>
      </c>
      <c r="AG656">
        <v>12</v>
      </c>
      <c r="AH656">
        <v>1</v>
      </c>
      <c r="AI656">
        <v>1</v>
      </c>
      <c r="AJ656">
        <v>0</v>
      </c>
      <c r="AK656">
        <v>7</v>
      </c>
      <c r="AL656" t="s">
        <v>947</v>
      </c>
      <c r="AM656" t="s">
        <v>948</v>
      </c>
      <c r="AN656" t="s">
        <v>949</v>
      </c>
      <c r="AO656" t="s">
        <v>74</v>
      </c>
      <c r="AP656" t="s">
        <v>74</v>
      </c>
      <c r="AQ656" t="s">
        <v>13242</v>
      </c>
      <c r="AR656" t="s">
        <v>13243</v>
      </c>
      <c r="AS656" t="s">
        <v>74</v>
      </c>
      <c r="AT656" t="s">
        <v>74</v>
      </c>
      <c r="AU656">
        <v>2009</v>
      </c>
      <c r="AV656" t="s">
        <v>74</v>
      </c>
      <c r="AW656" t="s">
        <v>74</v>
      </c>
      <c r="AX656" t="s">
        <v>74</v>
      </c>
      <c r="AY656" t="s">
        <v>74</v>
      </c>
      <c r="AZ656" t="s">
        <v>74</v>
      </c>
      <c r="BA656" t="s">
        <v>74</v>
      </c>
      <c r="BB656">
        <v>437</v>
      </c>
      <c r="BC656" t="s">
        <v>5459</v>
      </c>
      <c r="BD656" t="s">
        <v>74</v>
      </c>
      <c r="BE656" t="s">
        <v>13244</v>
      </c>
      <c r="BF656" t="str">
        <f>HYPERLINK("http://dx.doi.org/10.1109/CGIV.2009.69","http://dx.doi.org/10.1109/CGIV.2009.69")</f>
        <v>http://dx.doi.org/10.1109/CGIV.2009.69</v>
      </c>
      <c r="BG656" t="s">
        <v>74</v>
      </c>
      <c r="BH656" t="s">
        <v>74</v>
      </c>
      <c r="BI656">
        <v>2</v>
      </c>
      <c r="BJ656" t="s">
        <v>13245</v>
      </c>
      <c r="BK656" t="s">
        <v>203</v>
      </c>
      <c r="BL656" t="s">
        <v>876</v>
      </c>
      <c r="BM656" t="s">
        <v>13246</v>
      </c>
      <c r="BN656" t="s">
        <v>74</v>
      </c>
      <c r="BO656" t="s">
        <v>74</v>
      </c>
      <c r="BP656" t="s">
        <v>74</v>
      </c>
      <c r="BQ656" t="s">
        <v>74</v>
      </c>
      <c r="BR656" t="s">
        <v>106</v>
      </c>
      <c r="BS656" t="s">
        <v>13247</v>
      </c>
      <c r="BT656" t="str">
        <f>HYPERLINK("https%3A%2F%2Fwww.webofscience.com%2Fwos%2Fwoscc%2Ffull-record%2FWOS:000275127400073","View Full Record in Web of Science")</f>
        <v>View Full Record in Web of Science</v>
      </c>
    </row>
    <row r="657" spans="1:72" x14ac:dyDescent="0.25">
      <c r="A657" t="s">
        <v>72</v>
      </c>
      <c r="B657" t="s">
        <v>13248</v>
      </c>
      <c r="C657" t="s">
        <v>74</v>
      </c>
      <c r="D657" t="s">
        <v>74</v>
      </c>
      <c r="E657" t="s">
        <v>74</v>
      </c>
      <c r="F657" t="s">
        <v>13249</v>
      </c>
      <c r="G657" t="s">
        <v>74</v>
      </c>
      <c r="H657" t="s">
        <v>74</v>
      </c>
      <c r="I657" t="s">
        <v>13250</v>
      </c>
      <c r="J657" t="s">
        <v>13251</v>
      </c>
      <c r="K657" t="s">
        <v>74</v>
      </c>
      <c r="L657" t="s">
        <v>74</v>
      </c>
      <c r="M657" t="s">
        <v>78</v>
      </c>
      <c r="N657" t="s">
        <v>79</v>
      </c>
      <c r="O657" t="s">
        <v>74</v>
      </c>
      <c r="P657" t="s">
        <v>74</v>
      </c>
      <c r="Q657" t="s">
        <v>74</v>
      </c>
      <c r="R657" t="s">
        <v>74</v>
      </c>
      <c r="S657" t="s">
        <v>74</v>
      </c>
      <c r="T657" t="s">
        <v>13252</v>
      </c>
      <c r="U657" t="s">
        <v>13253</v>
      </c>
      <c r="V657" t="s">
        <v>13254</v>
      </c>
      <c r="W657" t="s">
        <v>13255</v>
      </c>
      <c r="X657" t="s">
        <v>13256</v>
      </c>
      <c r="Y657" t="s">
        <v>13257</v>
      </c>
      <c r="Z657" t="s">
        <v>13258</v>
      </c>
      <c r="AA657" t="s">
        <v>74</v>
      </c>
      <c r="AB657" t="s">
        <v>74</v>
      </c>
      <c r="AC657" t="s">
        <v>74</v>
      </c>
      <c r="AD657" t="s">
        <v>74</v>
      </c>
      <c r="AE657" t="s">
        <v>74</v>
      </c>
      <c r="AF657" t="s">
        <v>74</v>
      </c>
      <c r="AG657">
        <v>24</v>
      </c>
      <c r="AH657">
        <v>33</v>
      </c>
      <c r="AI657">
        <v>41</v>
      </c>
      <c r="AJ657">
        <v>0</v>
      </c>
      <c r="AK657">
        <v>29</v>
      </c>
      <c r="AL657" t="s">
        <v>6255</v>
      </c>
      <c r="AM657" t="s">
        <v>737</v>
      </c>
      <c r="AN657" t="s">
        <v>6256</v>
      </c>
      <c r="AO657" t="s">
        <v>13259</v>
      </c>
      <c r="AP657" t="s">
        <v>13260</v>
      </c>
      <c r="AQ657" t="s">
        <v>74</v>
      </c>
      <c r="AR657" t="s">
        <v>13261</v>
      </c>
      <c r="AS657" t="s">
        <v>13262</v>
      </c>
      <c r="AT657" t="s">
        <v>1950</v>
      </c>
      <c r="AU657">
        <v>2018</v>
      </c>
      <c r="AV657">
        <v>34</v>
      </c>
      <c r="AW657">
        <v>1</v>
      </c>
      <c r="AX657" t="s">
        <v>74</v>
      </c>
      <c r="AY657" t="s">
        <v>74</v>
      </c>
      <c r="AZ657" t="s">
        <v>74</v>
      </c>
      <c r="BA657" t="s">
        <v>74</v>
      </c>
      <c r="BB657">
        <v>125</v>
      </c>
      <c r="BC657">
        <v>133</v>
      </c>
      <c r="BD657" t="s">
        <v>74</v>
      </c>
      <c r="BE657" t="s">
        <v>13263</v>
      </c>
      <c r="BF657" t="str">
        <f>HYPERLINK("http://dx.doi.org/10.1016/j.clsr.2017.06.007","http://dx.doi.org/10.1016/j.clsr.2017.06.007")</f>
        <v>http://dx.doi.org/10.1016/j.clsr.2017.06.007</v>
      </c>
      <c r="BG657" t="s">
        <v>74</v>
      </c>
      <c r="BH657" t="s">
        <v>74</v>
      </c>
      <c r="BI657">
        <v>9</v>
      </c>
      <c r="BJ657" t="s">
        <v>13264</v>
      </c>
      <c r="BK657" t="s">
        <v>250</v>
      </c>
      <c r="BL657" t="s">
        <v>13265</v>
      </c>
      <c r="BM657" t="s">
        <v>13266</v>
      </c>
      <c r="BN657" t="s">
        <v>74</v>
      </c>
      <c r="BO657" t="s">
        <v>74</v>
      </c>
      <c r="BP657" t="s">
        <v>74</v>
      </c>
      <c r="BQ657" t="s">
        <v>74</v>
      </c>
      <c r="BR657" t="s">
        <v>106</v>
      </c>
      <c r="BS657" t="s">
        <v>13267</v>
      </c>
      <c r="BT657" t="str">
        <f>HYPERLINK("https%3A%2F%2Fwww.webofscience.com%2Fwos%2Fwoscc%2Ffull-record%2FWOS:000425577700009","View Full Record in Web of Science")</f>
        <v>View Full Record in Web of Science</v>
      </c>
    </row>
    <row r="658" spans="1:72" x14ac:dyDescent="0.25">
      <c r="A658" t="s">
        <v>108</v>
      </c>
      <c r="B658" t="s">
        <v>13268</v>
      </c>
      <c r="C658" t="s">
        <v>74</v>
      </c>
      <c r="D658" t="s">
        <v>13269</v>
      </c>
      <c r="E658" t="s">
        <v>74</v>
      </c>
      <c r="F658" t="s">
        <v>13270</v>
      </c>
      <c r="G658" t="s">
        <v>74</v>
      </c>
      <c r="H658" t="s">
        <v>74</v>
      </c>
      <c r="I658" t="s">
        <v>13271</v>
      </c>
      <c r="J658" t="s">
        <v>13272</v>
      </c>
      <c r="K658" t="s">
        <v>147</v>
      </c>
      <c r="L658" t="s">
        <v>74</v>
      </c>
      <c r="M658" t="s">
        <v>78</v>
      </c>
      <c r="N658" t="s">
        <v>115</v>
      </c>
      <c r="O658" t="s">
        <v>7132</v>
      </c>
      <c r="P658" t="s">
        <v>7133</v>
      </c>
      <c r="Q658" t="s">
        <v>7134</v>
      </c>
      <c r="R658" t="s">
        <v>7135</v>
      </c>
      <c r="S658" t="s">
        <v>74</v>
      </c>
      <c r="T658" t="s">
        <v>13273</v>
      </c>
      <c r="U658" t="s">
        <v>74</v>
      </c>
      <c r="V658" t="s">
        <v>13274</v>
      </c>
      <c r="W658" t="s">
        <v>13275</v>
      </c>
      <c r="X658" t="s">
        <v>13276</v>
      </c>
      <c r="Y658" t="s">
        <v>13277</v>
      </c>
      <c r="Z658" t="s">
        <v>13278</v>
      </c>
      <c r="AA658" t="s">
        <v>74</v>
      </c>
      <c r="AB658" t="s">
        <v>13279</v>
      </c>
      <c r="AC658" t="s">
        <v>74</v>
      </c>
      <c r="AD658" t="s">
        <v>74</v>
      </c>
      <c r="AE658" t="s">
        <v>74</v>
      </c>
      <c r="AF658" t="s">
        <v>74</v>
      </c>
      <c r="AG658">
        <v>30</v>
      </c>
      <c r="AH658">
        <v>10</v>
      </c>
      <c r="AI658">
        <v>10</v>
      </c>
      <c r="AJ658">
        <v>0</v>
      </c>
      <c r="AK658">
        <v>11</v>
      </c>
      <c r="AL658" t="s">
        <v>197</v>
      </c>
      <c r="AM658" t="s">
        <v>198</v>
      </c>
      <c r="AN658" t="s">
        <v>199</v>
      </c>
      <c r="AO658" t="s">
        <v>159</v>
      </c>
      <c r="AP658" t="s">
        <v>74</v>
      </c>
      <c r="AQ658" t="s">
        <v>13280</v>
      </c>
      <c r="AR658" t="s">
        <v>161</v>
      </c>
      <c r="AS658" t="s">
        <v>74</v>
      </c>
      <c r="AT658" t="s">
        <v>74</v>
      </c>
      <c r="AU658">
        <v>2015</v>
      </c>
      <c r="AV658">
        <v>9049</v>
      </c>
      <c r="AW658" t="s">
        <v>74</v>
      </c>
      <c r="AX658" t="s">
        <v>74</v>
      </c>
      <c r="AY658" t="s">
        <v>74</v>
      </c>
      <c r="AZ658" t="s">
        <v>74</v>
      </c>
      <c r="BA658" t="s">
        <v>74</v>
      </c>
      <c r="BB658">
        <v>353</v>
      </c>
      <c r="BC658">
        <v>373</v>
      </c>
      <c r="BD658" t="s">
        <v>74</v>
      </c>
      <c r="BE658" t="s">
        <v>13281</v>
      </c>
      <c r="BF658" t="str">
        <f>HYPERLINK("http://dx.doi.org/10.1007/978-3-319-18120-2_21","http://dx.doi.org/10.1007/978-3-319-18120-2_21")</f>
        <v>http://dx.doi.org/10.1007/978-3-319-18120-2_21</v>
      </c>
      <c r="BG658" t="s">
        <v>74</v>
      </c>
      <c r="BH658" t="s">
        <v>74</v>
      </c>
      <c r="BI658">
        <v>21</v>
      </c>
      <c r="BJ658" t="s">
        <v>696</v>
      </c>
      <c r="BK658" t="s">
        <v>203</v>
      </c>
      <c r="BL658" t="s">
        <v>103</v>
      </c>
      <c r="BM658" t="s">
        <v>13282</v>
      </c>
      <c r="BN658" t="s">
        <v>74</v>
      </c>
      <c r="BO658" t="s">
        <v>74</v>
      </c>
      <c r="BP658" t="s">
        <v>74</v>
      </c>
      <c r="BQ658" t="s">
        <v>74</v>
      </c>
      <c r="BR658" t="s">
        <v>106</v>
      </c>
      <c r="BS658" t="s">
        <v>13283</v>
      </c>
      <c r="BT658" t="str">
        <f>HYPERLINK("https%3A%2F%2Fwww.webofscience.com%2Fwos%2Fwoscc%2Ffull-record%2FWOS:000361697600021","View Full Record in Web of Science")</f>
        <v>View Full Record in Web of Science</v>
      </c>
    </row>
    <row r="659" spans="1:72" x14ac:dyDescent="0.25">
      <c r="A659" t="s">
        <v>108</v>
      </c>
      <c r="B659" t="s">
        <v>13284</v>
      </c>
      <c r="C659" t="s">
        <v>74</v>
      </c>
      <c r="D659" t="s">
        <v>74</v>
      </c>
      <c r="E659" t="s">
        <v>13285</v>
      </c>
      <c r="F659" t="s">
        <v>13286</v>
      </c>
      <c r="G659" t="s">
        <v>74</v>
      </c>
      <c r="H659" t="s">
        <v>74</v>
      </c>
      <c r="I659" t="s">
        <v>13287</v>
      </c>
      <c r="J659" t="s">
        <v>13288</v>
      </c>
      <c r="K659" t="s">
        <v>6367</v>
      </c>
      <c r="L659" t="s">
        <v>74</v>
      </c>
      <c r="M659" t="s">
        <v>78</v>
      </c>
      <c r="N659" t="s">
        <v>115</v>
      </c>
      <c r="O659" t="s">
        <v>13289</v>
      </c>
      <c r="P659" t="s">
        <v>13290</v>
      </c>
      <c r="Q659" t="s">
        <v>13291</v>
      </c>
      <c r="R659" t="s">
        <v>13292</v>
      </c>
      <c r="S659" t="s">
        <v>74</v>
      </c>
      <c r="T659" t="s">
        <v>13293</v>
      </c>
      <c r="U659" t="s">
        <v>74</v>
      </c>
      <c r="V659" t="s">
        <v>13294</v>
      </c>
      <c r="W659" t="s">
        <v>74</v>
      </c>
      <c r="X659" t="s">
        <v>74</v>
      </c>
      <c r="Y659" t="s">
        <v>74</v>
      </c>
      <c r="Z659" t="s">
        <v>74</v>
      </c>
      <c r="AA659" t="s">
        <v>74</v>
      </c>
      <c r="AB659" t="s">
        <v>74</v>
      </c>
      <c r="AC659" t="s">
        <v>74</v>
      </c>
      <c r="AD659" t="s">
        <v>74</v>
      </c>
      <c r="AE659" t="s">
        <v>74</v>
      </c>
      <c r="AF659" t="s">
        <v>74</v>
      </c>
      <c r="AG659">
        <v>10</v>
      </c>
      <c r="AH659">
        <v>0</v>
      </c>
      <c r="AI659">
        <v>0</v>
      </c>
      <c r="AJ659">
        <v>0</v>
      </c>
      <c r="AK659">
        <v>4</v>
      </c>
      <c r="AL659" t="s">
        <v>2605</v>
      </c>
      <c r="AM659" t="s">
        <v>2606</v>
      </c>
      <c r="AN659" t="s">
        <v>2607</v>
      </c>
      <c r="AO659" t="s">
        <v>6378</v>
      </c>
      <c r="AP659" t="s">
        <v>74</v>
      </c>
      <c r="AQ659" t="s">
        <v>13295</v>
      </c>
      <c r="AR659" t="s">
        <v>6380</v>
      </c>
      <c r="AS659" t="s">
        <v>74</v>
      </c>
      <c r="AT659" t="s">
        <v>74</v>
      </c>
      <c r="AU659">
        <v>2012</v>
      </c>
      <c r="AV659">
        <v>20</v>
      </c>
      <c r="AW659" t="s">
        <v>74</v>
      </c>
      <c r="AX659" t="s">
        <v>74</v>
      </c>
      <c r="AY659" t="s">
        <v>74</v>
      </c>
      <c r="AZ659" t="s">
        <v>74</v>
      </c>
      <c r="BA659" t="s">
        <v>74</v>
      </c>
      <c r="BB659">
        <v>97</v>
      </c>
      <c r="BC659">
        <v>101</v>
      </c>
      <c r="BD659" t="s">
        <v>74</v>
      </c>
      <c r="BE659" t="s">
        <v>74</v>
      </c>
      <c r="BF659" t="s">
        <v>74</v>
      </c>
      <c r="BG659" t="s">
        <v>74</v>
      </c>
      <c r="BH659" t="s">
        <v>74</v>
      </c>
      <c r="BI659">
        <v>5</v>
      </c>
      <c r="BJ659" t="s">
        <v>807</v>
      </c>
      <c r="BK659" t="s">
        <v>203</v>
      </c>
      <c r="BL659" t="s">
        <v>103</v>
      </c>
      <c r="BM659" t="s">
        <v>13296</v>
      </c>
      <c r="BN659" t="s">
        <v>74</v>
      </c>
      <c r="BO659" t="s">
        <v>74</v>
      </c>
      <c r="BP659" t="s">
        <v>74</v>
      </c>
      <c r="BQ659" t="s">
        <v>74</v>
      </c>
      <c r="BR659" t="s">
        <v>106</v>
      </c>
      <c r="BS659" t="s">
        <v>13297</v>
      </c>
      <c r="BT659" t="str">
        <f>HYPERLINK("https%3A%2F%2Fwww.webofscience.com%2Fwos%2Fwoscc%2Ffull-record%2FWOS:000310490100025","View Full Record in Web of Science")</f>
        <v>View Full Record in Web of Science</v>
      </c>
    </row>
    <row r="660" spans="1:72" x14ac:dyDescent="0.25">
      <c r="A660" t="s">
        <v>72</v>
      </c>
      <c r="B660" t="s">
        <v>13298</v>
      </c>
      <c r="C660" t="s">
        <v>74</v>
      </c>
      <c r="D660" t="s">
        <v>74</v>
      </c>
      <c r="E660" t="s">
        <v>74</v>
      </c>
      <c r="F660" t="s">
        <v>13299</v>
      </c>
      <c r="G660" t="s">
        <v>74</v>
      </c>
      <c r="H660" t="s">
        <v>74</v>
      </c>
      <c r="I660" t="s">
        <v>13300</v>
      </c>
      <c r="J660" t="s">
        <v>2335</v>
      </c>
      <c r="K660" t="s">
        <v>74</v>
      </c>
      <c r="L660" t="s">
        <v>74</v>
      </c>
      <c r="M660" t="s">
        <v>78</v>
      </c>
      <c r="N660" t="s">
        <v>79</v>
      </c>
      <c r="O660" t="s">
        <v>74</v>
      </c>
      <c r="P660" t="s">
        <v>74</v>
      </c>
      <c r="Q660" t="s">
        <v>74</v>
      </c>
      <c r="R660" t="s">
        <v>74</v>
      </c>
      <c r="S660" t="s">
        <v>74</v>
      </c>
      <c r="T660" t="s">
        <v>13301</v>
      </c>
      <c r="U660" t="s">
        <v>74</v>
      </c>
      <c r="V660" t="s">
        <v>13302</v>
      </c>
      <c r="W660" t="s">
        <v>13303</v>
      </c>
      <c r="X660" t="s">
        <v>13304</v>
      </c>
      <c r="Y660" t="s">
        <v>13305</v>
      </c>
      <c r="Z660" t="s">
        <v>13306</v>
      </c>
      <c r="AA660" t="s">
        <v>74</v>
      </c>
      <c r="AB660" t="s">
        <v>13307</v>
      </c>
      <c r="AC660" t="s">
        <v>74</v>
      </c>
      <c r="AD660" t="s">
        <v>74</v>
      </c>
      <c r="AE660" t="s">
        <v>74</v>
      </c>
      <c r="AF660" t="s">
        <v>74</v>
      </c>
      <c r="AG660">
        <v>35</v>
      </c>
      <c r="AH660">
        <v>18</v>
      </c>
      <c r="AI660">
        <v>18</v>
      </c>
      <c r="AJ660">
        <v>0</v>
      </c>
      <c r="AK660">
        <v>27</v>
      </c>
      <c r="AL660" t="s">
        <v>947</v>
      </c>
      <c r="AM660" t="s">
        <v>948</v>
      </c>
      <c r="AN660" t="s">
        <v>2346</v>
      </c>
      <c r="AO660" t="s">
        <v>2347</v>
      </c>
      <c r="AP660" t="s">
        <v>2348</v>
      </c>
      <c r="AQ660" t="s">
        <v>74</v>
      </c>
      <c r="AR660" t="s">
        <v>2349</v>
      </c>
      <c r="AS660" t="s">
        <v>2350</v>
      </c>
      <c r="AT660" t="s">
        <v>3666</v>
      </c>
      <c r="AU660">
        <v>2022</v>
      </c>
      <c r="AV660">
        <v>34</v>
      </c>
      <c r="AW660">
        <v>4</v>
      </c>
      <c r="AX660" t="s">
        <v>74</v>
      </c>
      <c r="AY660" t="s">
        <v>74</v>
      </c>
      <c r="AZ660" t="s">
        <v>74</v>
      </c>
      <c r="BA660" t="s">
        <v>74</v>
      </c>
      <c r="BB660">
        <v>1723</v>
      </c>
      <c r="BC660">
        <v>1734</v>
      </c>
      <c r="BD660" t="s">
        <v>74</v>
      </c>
      <c r="BE660" t="s">
        <v>13308</v>
      </c>
      <c r="BF660" t="str">
        <f>HYPERLINK("http://dx.doi.org/10.1109/TKDE.2020.2998695","http://dx.doi.org/10.1109/TKDE.2020.2998695")</f>
        <v>http://dx.doi.org/10.1109/TKDE.2020.2998695</v>
      </c>
      <c r="BG660" t="s">
        <v>74</v>
      </c>
      <c r="BH660" t="s">
        <v>74</v>
      </c>
      <c r="BI660">
        <v>12</v>
      </c>
      <c r="BJ660" t="s">
        <v>2353</v>
      </c>
      <c r="BK660" t="s">
        <v>902</v>
      </c>
      <c r="BL660" t="s">
        <v>953</v>
      </c>
      <c r="BM660" t="s">
        <v>13309</v>
      </c>
      <c r="BN660" t="s">
        <v>74</v>
      </c>
      <c r="BO660" t="s">
        <v>74</v>
      </c>
      <c r="BP660" t="s">
        <v>74</v>
      </c>
      <c r="BQ660" t="s">
        <v>74</v>
      </c>
      <c r="BR660" t="s">
        <v>106</v>
      </c>
      <c r="BS660" t="s">
        <v>13310</v>
      </c>
      <c r="BT660" t="str">
        <f>HYPERLINK("https%3A%2F%2Fwww.webofscience.com%2Fwos%2Fwoscc%2Ffull-record%2FWOS:000766623600016","View Full Record in Web of Science")</f>
        <v>View Full Record in Web of Science</v>
      </c>
    </row>
    <row r="661" spans="1:72" x14ac:dyDescent="0.25">
      <c r="A661" t="s">
        <v>72</v>
      </c>
      <c r="B661" t="s">
        <v>13311</v>
      </c>
      <c r="C661" t="s">
        <v>74</v>
      </c>
      <c r="D661" t="s">
        <v>74</v>
      </c>
      <c r="E661" t="s">
        <v>74</v>
      </c>
      <c r="F661" t="s">
        <v>13312</v>
      </c>
      <c r="G661" t="s">
        <v>74</v>
      </c>
      <c r="H661" t="s">
        <v>74</v>
      </c>
      <c r="I661" t="s">
        <v>13313</v>
      </c>
      <c r="J661" t="s">
        <v>6242</v>
      </c>
      <c r="K661" t="s">
        <v>74</v>
      </c>
      <c r="L661" t="s">
        <v>74</v>
      </c>
      <c r="M661" t="s">
        <v>78</v>
      </c>
      <c r="N661" t="s">
        <v>79</v>
      </c>
      <c r="O661" t="s">
        <v>74</v>
      </c>
      <c r="P661" t="s">
        <v>74</v>
      </c>
      <c r="Q661" t="s">
        <v>74</v>
      </c>
      <c r="R661" t="s">
        <v>74</v>
      </c>
      <c r="S661" t="s">
        <v>74</v>
      </c>
      <c r="T661" t="s">
        <v>13314</v>
      </c>
      <c r="U661" t="s">
        <v>13315</v>
      </c>
      <c r="V661" t="s">
        <v>13316</v>
      </c>
      <c r="W661" t="s">
        <v>13317</v>
      </c>
      <c r="X661" t="s">
        <v>13318</v>
      </c>
      <c r="Y661" t="s">
        <v>13319</v>
      </c>
      <c r="Z661" t="s">
        <v>13320</v>
      </c>
      <c r="AA661" t="s">
        <v>13321</v>
      </c>
      <c r="AB661" t="s">
        <v>13322</v>
      </c>
      <c r="AC661" t="s">
        <v>13323</v>
      </c>
      <c r="AD661" t="s">
        <v>13324</v>
      </c>
      <c r="AE661" t="s">
        <v>13325</v>
      </c>
      <c r="AF661" t="s">
        <v>74</v>
      </c>
      <c r="AG661">
        <v>87</v>
      </c>
      <c r="AH661">
        <v>24</v>
      </c>
      <c r="AI661">
        <v>27</v>
      </c>
      <c r="AJ661">
        <v>1</v>
      </c>
      <c r="AK661">
        <v>18</v>
      </c>
      <c r="AL661" t="s">
        <v>6255</v>
      </c>
      <c r="AM661" t="s">
        <v>737</v>
      </c>
      <c r="AN661" t="s">
        <v>6256</v>
      </c>
      <c r="AO661" t="s">
        <v>6257</v>
      </c>
      <c r="AP661" t="s">
        <v>6258</v>
      </c>
      <c r="AQ661" t="s">
        <v>74</v>
      </c>
      <c r="AR661" t="s">
        <v>6259</v>
      </c>
      <c r="AS661" t="s">
        <v>6260</v>
      </c>
      <c r="AT661" t="s">
        <v>565</v>
      </c>
      <c r="AU661">
        <v>2018</v>
      </c>
      <c r="AV661">
        <v>77</v>
      </c>
      <c r="AW661" t="s">
        <v>74</v>
      </c>
      <c r="AX661" t="s">
        <v>74</v>
      </c>
      <c r="AY661" t="s">
        <v>74</v>
      </c>
      <c r="AZ661" t="s">
        <v>74</v>
      </c>
      <c r="BA661" t="s">
        <v>74</v>
      </c>
      <c r="BB661">
        <v>179</v>
      </c>
      <c r="BC661">
        <v>208</v>
      </c>
      <c r="BD661" t="s">
        <v>74</v>
      </c>
      <c r="BE661" t="s">
        <v>13326</v>
      </c>
      <c r="BF661" t="str">
        <f>HYPERLINK("http://dx.doi.org/10.1016/j.cose.2018.03.015","http://dx.doi.org/10.1016/j.cose.2018.03.015")</f>
        <v>http://dx.doi.org/10.1016/j.cose.2018.03.015</v>
      </c>
      <c r="BG661" t="s">
        <v>74</v>
      </c>
      <c r="BH661" t="s">
        <v>74</v>
      </c>
      <c r="BI661">
        <v>30</v>
      </c>
      <c r="BJ661" t="s">
        <v>852</v>
      </c>
      <c r="BK661" t="s">
        <v>902</v>
      </c>
      <c r="BL661" t="s">
        <v>103</v>
      </c>
      <c r="BM661" t="s">
        <v>13327</v>
      </c>
      <c r="BN661" t="s">
        <v>74</v>
      </c>
      <c r="BO661" t="s">
        <v>2977</v>
      </c>
      <c r="BP661" t="s">
        <v>74</v>
      </c>
      <c r="BQ661" t="s">
        <v>74</v>
      </c>
      <c r="BR661" t="s">
        <v>106</v>
      </c>
      <c r="BS661" t="s">
        <v>13328</v>
      </c>
      <c r="BT661" t="str">
        <f>HYPERLINK("https%3A%2F%2Fwww.webofscience.com%2Fwos%2Fwoscc%2Ffull-record%2FWOS:000447358600012","View Full Record in Web of Science")</f>
        <v>View Full Record in Web of Science</v>
      </c>
    </row>
    <row r="662" spans="1:72" x14ac:dyDescent="0.25">
      <c r="A662" t="s">
        <v>72</v>
      </c>
      <c r="B662" t="s">
        <v>13329</v>
      </c>
      <c r="C662" t="s">
        <v>74</v>
      </c>
      <c r="D662" t="s">
        <v>74</v>
      </c>
      <c r="E662" t="s">
        <v>74</v>
      </c>
      <c r="F662" t="s">
        <v>13330</v>
      </c>
      <c r="G662" t="s">
        <v>74</v>
      </c>
      <c r="H662" t="s">
        <v>74</v>
      </c>
      <c r="I662" t="s">
        <v>13331</v>
      </c>
      <c r="J662" t="s">
        <v>11244</v>
      </c>
      <c r="K662" t="s">
        <v>74</v>
      </c>
      <c r="L662" t="s">
        <v>74</v>
      </c>
      <c r="M662" t="s">
        <v>78</v>
      </c>
      <c r="N662" t="s">
        <v>79</v>
      </c>
      <c r="O662" t="s">
        <v>74</v>
      </c>
      <c r="P662" t="s">
        <v>74</v>
      </c>
      <c r="Q662" t="s">
        <v>74</v>
      </c>
      <c r="R662" t="s">
        <v>74</v>
      </c>
      <c r="S662" t="s">
        <v>74</v>
      </c>
      <c r="T662" t="s">
        <v>13332</v>
      </c>
      <c r="U662" t="s">
        <v>13131</v>
      </c>
      <c r="V662" t="s">
        <v>13333</v>
      </c>
      <c r="W662" t="s">
        <v>13334</v>
      </c>
      <c r="X662" t="s">
        <v>13335</v>
      </c>
      <c r="Y662" t="s">
        <v>13336</v>
      </c>
      <c r="Z662" t="s">
        <v>13337</v>
      </c>
      <c r="AA662" t="s">
        <v>13338</v>
      </c>
      <c r="AB662" t="s">
        <v>74</v>
      </c>
      <c r="AC662" t="s">
        <v>13339</v>
      </c>
      <c r="AD662" t="s">
        <v>13340</v>
      </c>
      <c r="AE662" t="s">
        <v>13341</v>
      </c>
      <c r="AF662" t="s">
        <v>74</v>
      </c>
      <c r="AG662">
        <v>33</v>
      </c>
      <c r="AH662">
        <v>31</v>
      </c>
      <c r="AI662">
        <v>32</v>
      </c>
      <c r="AJ662">
        <v>0</v>
      </c>
      <c r="AK662">
        <v>12</v>
      </c>
      <c r="AL662" t="s">
        <v>947</v>
      </c>
      <c r="AM662" t="s">
        <v>948</v>
      </c>
      <c r="AN662" t="s">
        <v>2346</v>
      </c>
      <c r="AO662" t="s">
        <v>11254</v>
      </c>
      <c r="AP662" t="s">
        <v>11255</v>
      </c>
      <c r="AQ662" t="s">
        <v>74</v>
      </c>
      <c r="AR662" t="s">
        <v>11256</v>
      </c>
      <c r="AS662" t="s">
        <v>11257</v>
      </c>
      <c r="AT662" t="s">
        <v>1166</v>
      </c>
      <c r="AU662">
        <v>2019</v>
      </c>
      <c r="AV662">
        <v>18</v>
      </c>
      <c r="AW662">
        <v>7</v>
      </c>
      <c r="AX662" t="s">
        <v>74</v>
      </c>
      <c r="AY662" t="s">
        <v>74</v>
      </c>
      <c r="AZ662" t="s">
        <v>74</v>
      </c>
      <c r="BA662" t="s">
        <v>74</v>
      </c>
      <c r="BB662">
        <v>1488</v>
      </c>
      <c r="BC662">
        <v>1498</v>
      </c>
      <c r="BD662" t="s">
        <v>74</v>
      </c>
      <c r="BE662" t="s">
        <v>13342</v>
      </c>
      <c r="BF662" t="str">
        <f>HYPERLINK("http://dx.doi.org/10.1109/TMC.2018.2863292","http://dx.doi.org/10.1109/TMC.2018.2863292")</f>
        <v>http://dx.doi.org/10.1109/TMC.2018.2863292</v>
      </c>
      <c r="BG662" t="s">
        <v>74</v>
      </c>
      <c r="BH662" t="s">
        <v>74</v>
      </c>
      <c r="BI662">
        <v>11</v>
      </c>
      <c r="BJ662" t="s">
        <v>2674</v>
      </c>
      <c r="BK662" t="s">
        <v>902</v>
      </c>
      <c r="BL662" t="s">
        <v>2422</v>
      </c>
      <c r="BM662" t="s">
        <v>13343</v>
      </c>
      <c r="BN662" t="s">
        <v>74</v>
      </c>
      <c r="BO662" t="s">
        <v>74</v>
      </c>
      <c r="BP662" t="s">
        <v>74</v>
      </c>
      <c r="BQ662" t="s">
        <v>74</v>
      </c>
      <c r="BR662" t="s">
        <v>106</v>
      </c>
      <c r="BS662" t="s">
        <v>13344</v>
      </c>
      <c r="BT662" t="str">
        <f>HYPERLINK("https%3A%2F%2Fwww.webofscience.com%2Fwos%2Fwoscc%2Ffull-record%2FWOS:000471044300002","View Full Record in Web of Science")</f>
        <v>View Full Record in Web of Science</v>
      </c>
    </row>
    <row r="663" spans="1:72" x14ac:dyDescent="0.25">
      <c r="A663" t="s">
        <v>108</v>
      </c>
      <c r="B663" t="s">
        <v>13345</v>
      </c>
      <c r="C663" t="s">
        <v>74</v>
      </c>
      <c r="D663" t="s">
        <v>13346</v>
      </c>
      <c r="E663" t="s">
        <v>74</v>
      </c>
      <c r="F663" t="s">
        <v>13347</v>
      </c>
      <c r="G663" t="s">
        <v>74</v>
      </c>
      <c r="H663" t="s">
        <v>74</v>
      </c>
      <c r="I663" t="s">
        <v>13348</v>
      </c>
      <c r="J663" t="s">
        <v>13349</v>
      </c>
      <c r="K663" t="s">
        <v>147</v>
      </c>
      <c r="L663" t="s">
        <v>74</v>
      </c>
      <c r="M663" t="s">
        <v>78</v>
      </c>
      <c r="N663" t="s">
        <v>115</v>
      </c>
      <c r="O663" t="s">
        <v>13350</v>
      </c>
      <c r="P663" t="s">
        <v>13351</v>
      </c>
      <c r="Q663" t="s">
        <v>13352</v>
      </c>
      <c r="R663" t="s">
        <v>13353</v>
      </c>
      <c r="S663" t="s">
        <v>13354</v>
      </c>
      <c r="T663" t="s">
        <v>13355</v>
      </c>
      <c r="U663" t="s">
        <v>74</v>
      </c>
      <c r="V663" t="s">
        <v>13356</v>
      </c>
      <c r="W663" t="s">
        <v>13357</v>
      </c>
      <c r="X663" t="s">
        <v>74</v>
      </c>
      <c r="Y663" t="s">
        <v>8067</v>
      </c>
      <c r="Z663" t="s">
        <v>8068</v>
      </c>
      <c r="AA663" t="s">
        <v>13358</v>
      </c>
      <c r="AB663" t="s">
        <v>13359</v>
      </c>
      <c r="AC663" t="s">
        <v>74</v>
      </c>
      <c r="AD663" t="s">
        <v>74</v>
      </c>
      <c r="AE663" t="s">
        <v>74</v>
      </c>
      <c r="AF663" t="s">
        <v>74</v>
      </c>
      <c r="AG663">
        <v>23</v>
      </c>
      <c r="AH663">
        <v>5</v>
      </c>
      <c r="AI663">
        <v>5</v>
      </c>
      <c r="AJ663">
        <v>0</v>
      </c>
      <c r="AK663">
        <v>7</v>
      </c>
      <c r="AL663" t="s">
        <v>129</v>
      </c>
      <c r="AM663" t="s">
        <v>130</v>
      </c>
      <c r="AN663" t="s">
        <v>131</v>
      </c>
      <c r="AO663" t="s">
        <v>159</v>
      </c>
      <c r="AP663" t="s">
        <v>133</v>
      </c>
      <c r="AQ663" t="s">
        <v>13360</v>
      </c>
      <c r="AR663" t="s">
        <v>161</v>
      </c>
      <c r="AS663" t="s">
        <v>74</v>
      </c>
      <c r="AT663" t="s">
        <v>74</v>
      </c>
      <c r="AU663">
        <v>2018</v>
      </c>
      <c r="AV663">
        <v>10963</v>
      </c>
      <c r="AW663" t="s">
        <v>74</v>
      </c>
      <c r="AX663" t="s">
        <v>13361</v>
      </c>
      <c r="AY663" t="s">
        <v>74</v>
      </c>
      <c r="AZ663" t="s">
        <v>74</v>
      </c>
      <c r="BA663" t="s">
        <v>74</v>
      </c>
      <c r="BB663">
        <v>650</v>
      </c>
      <c r="BC663">
        <v>658</v>
      </c>
      <c r="BD663" t="s">
        <v>74</v>
      </c>
      <c r="BE663" t="s">
        <v>13362</v>
      </c>
      <c r="BF663" t="str">
        <f>HYPERLINK("http://dx.doi.org/10.1007/978-3-319-95171-3_51","http://dx.doi.org/10.1007/978-3-319-95171-3_51")</f>
        <v>http://dx.doi.org/10.1007/978-3-319-95171-3_51</v>
      </c>
      <c r="BG663" t="s">
        <v>74</v>
      </c>
      <c r="BH663" t="s">
        <v>74</v>
      </c>
      <c r="BI663">
        <v>9</v>
      </c>
      <c r="BJ663" t="s">
        <v>925</v>
      </c>
      <c r="BK663" t="s">
        <v>203</v>
      </c>
      <c r="BL663" t="s">
        <v>103</v>
      </c>
      <c r="BM663" t="s">
        <v>13363</v>
      </c>
      <c r="BN663" t="s">
        <v>74</v>
      </c>
      <c r="BO663" t="s">
        <v>74</v>
      </c>
      <c r="BP663" t="s">
        <v>74</v>
      </c>
      <c r="BQ663" t="s">
        <v>74</v>
      </c>
      <c r="BR663" t="s">
        <v>106</v>
      </c>
      <c r="BS663" t="s">
        <v>13364</v>
      </c>
      <c r="BT663" t="str">
        <f>HYPERLINK("https%3A%2F%2Fwww.webofscience.com%2Fwos%2Fwoscc%2Ffull-record%2FWOS:000460578500051","View Full Record in Web of Science")</f>
        <v>View Full Record in Web of Science</v>
      </c>
    </row>
    <row r="664" spans="1:72" x14ac:dyDescent="0.25">
      <c r="A664" t="s">
        <v>108</v>
      </c>
      <c r="B664" t="s">
        <v>13365</v>
      </c>
      <c r="C664" t="s">
        <v>74</v>
      </c>
      <c r="D664" t="s">
        <v>13366</v>
      </c>
      <c r="E664" t="s">
        <v>74</v>
      </c>
      <c r="F664" t="s">
        <v>13367</v>
      </c>
      <c r="G664" t="s">
        <v>74</v>
      </c>
      <c r="H664" t="s">
        <v>74</v>
      </c>
      <c r="I664" t="s">
        <v>13368</v>
      </c>
      <c r="J664" t="s">
        <v>13369</v>
      </c>
      <c r="K664" t="s">
        <v>74</v>
      </c>
      <c r="L664" t="s">
        <v>74</v>
      </c>
      <c r="M664" t="s">
        <v>78</v>
      </c>
      <c r="N664" t="s">
        <v>115</v>
      </c>
      <c r="O664" t="s">
        <v>13370</v>
      </c>
      <c r="P664" t="s">
        <v>13371</v>
      </c>
      <c r="Q664" t="s">
        <v>13372</v>
      </c>
      <c r="R664" t="s">
        <v>13373</v>
      </c>
      <c r="S664" t="s">
        <v>74</v>
      </c>
      <c r="T664" t="s">
        <v>13374</v>
      </c>
      <c r="U664" t="s">
        <v>74</v>
      </c>
      <c r="V664" t="s">
        <v>13375</v>
      </c>
      <c r="W664" t="s">
        <v>13376</v>
      </c>
      <c r="X664" t="s">
        <v>13377</v>
      </c>
      <c r="Y664" t="s">
        <v>13378</v>
      </c>
      <c r="Z664" t="s">
        <v>13379</v>
      </c>
      <c r="AA664" t="s">
        <v>74</v>
      </c>
      <c r="AB664" t="s">
        <v>74</v>
      </c>
      <c r="AC664" t="s">
        <v>74</v>
      </c>
      <c r="AD664" t="s">
        <v>74</v>
      </c>
      <c r="AE664" t="s">
        <v>74</v>
      </c>
      <c r="AF664" t="s">
        <v>74</v>
      </c>
      <c r="AG664">
        <v>33</v>
      </c>
      <c r="AH664">
        <v>4</v>
      </c>
      <c r="AI664">
        <v>5</v>
      </c>
      <c r="AJ664">
        <v>0</v>
      </c>
      <c r="AK664">
        <v>1</v>
      </c>
      <c r="AL664" t="s">
        <v>465</v>
      </c>
      <c r="AM664" t="s">
        <v>92</v>
      </c>
      <c r="AN664" t="s">
        <v>480</v>
      </c>
      <c r="AO664" t="s">
        <v>74</v>
      </c>
      <c r="AP664" t="s">
        <v>74</v>
      </c>
      <c r="AQ664" t="s">
        <v>13380</v>
      </c>
      <c r="AR664" t="s">
        <v>74</v>
      </c>
      <c r="AS664" t="s">
        <v>74</v>
      </c>
      <c r="AT664" t="s">
        <v>74</v>
      </c>
      <c r="AU664">
        <v>2016</v>
      </c>
      <c r="AV664" t="s">
        <v>74</v>
      </c>
      <c r="AW664" t="s">
        <v>74</v>
      </c>
      <c r="AX664" t="s">
        <v>74</v>
      </c>
      <c r="AY664" t="s">
        <v>74</v>
      </c>
      <c r="AZ664" t="s">
        <v>74</v>
      </c>
      <c r="BA664" t="s">
        <v>74</v>
      </c>
      <c r="BB664">
        <v>398</v>
      </c>
      <c r="BC664">
        <v>403</v>
      </c>
      <c r="BD664" t="s">
        <v>74</v>
      </c>
      <c r="BE664" t="s">
        <v>13381</v>
      </c>
      <c r="BF664" t="str">
        <f>HYPERLINK("http://dx.doi.org/10.1109/CSCI.2016.81","http://dx.doi.org/10.1109/CSCI.2016.81")</f>
        <v>http://dx.doi.org/10.1109/CSCI.2016.81</v>
      </c>
      <c r="BG664" t="s">
        <v>74</v>
      </c>
      <c r="BH664" t="s">
        <v>74</v>
      </c>
      <c r="BI664">
        <v>6</v>
      </c>
      <c r="BJ664" t="s">
        <v>1399</v>
      </c>
      <c r="BK664" t="s">
        <v>203</v>
      </c>
      <c r="BL664" t="s">
        <v>103</v>
      </c>
      <c r="BM664" t="s">
        <v>13382</v>
      </c>
      <c r="BN664" t="s">
        <v>74</v>
      </c>
      <c r="BO664" t="s">
        <v>74</v>
      </c>
      <c r="BP664" t="s">
        <v>74</v>
      </c>
      <c r="BQ664" t="s">
        <v>74</v>
      </c>
      <c r="BR664" t="s">
        <v>106</v>
      </c>
      <c r="BS664" t="s">
        <v>13383</v>
      </c>
      <c r="BT664" t="str">
        <f>HYPERLINK("https%3A%2F%2Fwww.webofscience.com%2Fwos%2Fwoscc%2Ffull-record%2FWOS:000405582400074","View Full Record in Web of Science")</f>
        <v>View Full Record in Web of Science</v>
      </c>
    </row>
    <row r="665" spans="1:72" x14ac:dyDescent="0.25">
      <c r="A665" t="s">
        <v>72</v>
      </c>
      <c r="B665" t="s">
        <v>13384</v>
      </c>
      <c r="C665" t="s">
        <v>74</v>
      </c>
      <c r="D665" t="s">
        <v>74</v>
      </c>
      <c r="E665" t="s">
        <v>74</v>
      </c>
      <c r="F665" t="s">
        <v>13385</v>
      </c>
      <c r="G665" t="s">
        <v>74</v>
      </c>
      <c r="H665" t="s">
        <v>74</v>
      </c>
      <c r="I665" t="s">
        <v>13386</v>
      </c>
      <c r="J665" t="s">
        <v>13387</v>
      </c>
      <c r="K665" t="s">
        <v>74</v>
      </c>
      <c r="L665" t="s">
        <v>74</v>
      </c>
      <c r="M665" t="s">
        <v>78</v>
      </c>
      <c r="N665" t="s">
        <v>79</v>
      </c>
      <c r="O665" t="s">
        <v>74</v>
      </c>
      <c r="P665" t="s">
        <v>74</v>
      </c>
      <c r="Q665" t="s">
        <v>74</v>
      </c>
      <c r="R665" t="s">
        <v>74</v>
      </c>
      <c r="S665" t="s">
        <v>74</v>
      </c>
      <c r="T665" t="s">
        <v>13388</v>
      </c>
      <c r="U665" t="s">
        <v>74</v>
      </c>
      <c r="V665" t="s">
        <v>13389</v>
      </c>
      <c r="W665" t="s">
        <v>13390</v>
      </c>
      <c r="X665" t="s">
        <v>13391</v>
      </c>
      <c r="Y665" t="s">
        <v>13392</v>
      </c>
      <c r="Z665" t="s">
        <v>13393</v>
      </c>
      <c r="AA665" t="s">
        <v>13394</v>
      </c>
      <c r="AB665" t="s">
        <v>13395</v>
      </c>
      <c r="AC665" t="s">
        <v>74</v>
      </c>
      <c r="AD665" t="s">
        <v>74</v>
      </c>
      <c r="AE665" t="s">
        <v>74</v>
      </c>
      <c r="AF665" t="s">
        <v>74</v>
      </c>
      <c r="AG665">
        <v>45</v>
      </c>
      <c r="AH665">
        <v>0</v>
      </c>
      <c r="AI665">
        <v>0</v>
      </c>
      <c r="AJ665">
        <v>2</v>
      </c>
      <c r="AK665">
        <v>2</v>
      </c>
      <c r="AL665" t="s">
        <v>736</v>
      </c>
      <c r="AM665" t="s">
        <v>737</v>
      </c>
      <c r="AN665" t="s">
        <v>738</v>
      </c>
      <c r="AO665" t="s">
        <v>13396</v>
      </c>
      <c r="AP665" t="s">
        <v>13397</v>
      </c>
      <c r="AQ665" t="s">
        <v>74</v>
      </c>
      <c r="AR665" t="s">
        <v>13387</v>
      </c>
      <c r="AS665" t="s">
        <v>13398</v>
      </c>
      <c r="AT665" t="s">
        <v>223</v>
      </c>
      <c r="AU665">
        <v>2026</v>
      </c>
      <c r="AV665">
        <v>195</v>
      </c>
      <c r="AW665" t="s">
        <v>74</v>
      </c>
      <c r="AX665" t="s">
        <v>74</v>
      </c>
      <c r="AY665" t="s">
        <v>74</v>
      </c>
      <c r="AZ665" t="s">
        <v>74</v>
      </c>
      <c r="BA665" t="s">
        <v>74</v>
      </c>
      <c r="BB665" t="s">
        <v>74</v>
      </c>
      <c r="BC665" t="s">
        <v>74</v>
      </c>
      <c r="BD665">
        <v>108258</v>
      </c>
      <c r="BE665" t="s">
        <v>13399</v>
      </c>
      <c r="BF665" t="str">
        <f>HYPERLINK("http://dx.doi.org/10.1016/j.neunet.2025.108258","http://dx.doi.org/10.1016/j.neunet.2025.108258")</f>
        <v>http://dx.doi.org/10.1016/j.neunet.2025.108258</v>
      </c>
      <c r="BG665" t="s">
        <v>74</v>
      </c>
      <c r="BH665" t="s">
        <v>663</v>
      </c>
      <c r="BI665">
        <v>15</v>
      </c>
      <c r="BJ665" t="s">
        <v>9332</v>
      </c>
      <c r="BK665" t="s">
        <v>902</v>
      </c>
      <c r="BL665" t="s">
        <v>5836</v>
      </c>
      <c r="BM665" t="s">
        <v>13400</v>
      </c>
      <c r="BN665">
        <v>41202704</v>
      </c>
      <c r="BO665" t="s">
        <v>74</v>
      </c>
      <c r="BP665" t="s">
        <v>74</v>
      </c>
      <c r="BQ665" t="s">
        <v>74</v>
      </c>
      <c r="BR665" t="s">
        <v>106</v>
      </c>
      <c r="BS665" t="s">
        <v>13401</v>
      </c>
      <c r="BT665" t="str">
        <f>HYPERLINK("https%3A%2F%2Fwww.webofscience.com%2Fwos%2Fwoscc%2Ffull-record%2FWOS:001615125100001","View Full Record in Web of Science")</f>
        <v>View Full Record in Web of Science</v>
      </c>
    </row>
    <row r="666" spans="1:72" x14ac:dyDescent="0.25">
      <c r="A666" t="s">
        <v>72</v>
      </c>
      <c r="B666" t="s">
        <v>13402</v>
      </c>
      <c r="C666" t="s">
        <v>74</v>
      </c>
      <c r="D666" t="s">
        <v>74</v>
      </c>
      <c r="E666" t="s">
        <v>74</v>
      </c>
      <c r="F666" t="s">
        <v>13403</v>
      </c>
      <c r="G666" t="s">
        <v>74</v>
      </c>
      <c r="H666" t="s">
        <v>74</v>
      </c>
      <c r="I666" t="s">
        <v>13404</v>
      </c>
      <c r="J666" t="s">
        <v>2058</v>
      </c>
      <c r="K666" t="s">
        <v>74</v>
      </c>
      <c r="L666" t="s">
        <v>74</v>
      </c>
      <c r="M666" t="s">
        <v>78</v>
      </c>
      <c r="N666" t="s">
        <v>79</v>
      </c>
      <c r="O666" t="s">
        <v>74</v>
      </c>
      <c r="P666" t="s">
        <v>74</v>
      </c>
      <c r="Q666" t="s">
        <v>74</v>
      </c>
      <c r="R666" t="s">
        <v>74</v>
      </c>
      <c r="S666" t="s">
        <v>74</v>
      </c>
      <c r="T666" t="s">
        <v>13405</v>
      </c>
      <c r="U666" t="s">
        <v>13406</v>
      </c>
      <c r="V666" t="s">
        <v>13407</v>
      </c>
      <c r="W666" t="s">
        <v>13408</v>
      </c>
      <c r="X666" t="s">
        <v>13409</v>
      </c>
      <c r="Y666" t="s">
        <v>13410</v>
      </c>
      <c r="Z666" t="s">
        <v>13411</v>
      </c>
      <c r="AA666" t="s">
        <v>13412</v>
      </c>
      <c r="AB666" t="s">
        <v>13413</v>
      </c>
      <c r="AC666" t="s">
        <v>74</v>
      </c>
      <c r="AD666" t="s">
        <v>74</v>
      </c>
      <c r="AE666" t="s">
        <v>74</v>
      </c>
      <c r="AF666" t="s">
        <v>74</v>
      </c>
      <c r="AG666">
        <v>73</v>
      </c>
      <c r="AH666">
        <v>5</v>
      </c>
      <c r="AI666">
        <v>6</v>
      </c>
      <c r="AJ666">
        <v>0</v>
      </c>
      <c r="AK666">
        <v>27</v>
      </c>
      <c r="AL666" t="s">
        <v>1272</v>
      </c>
      <c r="AM666" t="s">
        <v>1273</v>
      </c>
      <c r="AN666" t="s">
        <v>1274</v>
      </c>
      <c r="AO666" t="s">
        <v>74</v>
      </c>
      <c r="AP666" t="s">
        <v>2070</v>
      </c>
      <c r="AQ666" t="s">
        <v>74</v>
      </c>
      <c r="AR666" t="s">
        <v>2071</v>
      </c>
      <c r="AS666" t="s">
        <v>2072</v>
      </c>
      <c r="AT666" t="s">
        <v>565</v>
      </c>
      <c r="AU666">
        <v>2021</v>
      </c>
      <c r="AV666">
        <v>11</v>
      </c>
      <c r="AW666">
        <v>16</v>
      </c>
      <c r="AX666" t="s">
        <v>74</v>
      </c>
      <c r="AY666" t="s">
        <v>74</v>
      </c>
      <c r="AZ666" t="s">
        <v>74</v>
      </c>
      <c r="BA666" t="s">
        <v>74</v>
      </c>
      <c r="BB666" t="s">
        <v>74</v>
      </c>
      <c r="BC666" t="s">
        <v>74</v>
      </c>
      <c r="BD666">
        <v>7418</v>
      </c>
      <c r="BE666" t="s">
        <v>13414</v>
      </c>
      <c r="BF666" t="str">
        <f>HYPERLINK("http://dx.doi.org/10.3390/app11167418","http://dx.doi.org/10.3390/app11167418")</f>
        <v>http://dx.doi.org/10.3390/app11167418</v>
      </c>
      <c r="BG666" t="s">
        <v>74</v>
      </c>
      <c r="BH666" t="s">
        <v>74</v>
      </c>
      <c r="BI666">
        <v>22</v>
      </c>
      <c r="BJ666" t="s">
        <v>2075</v>
      </c>
      <c r="BK666" t="s">
        <v>902</v>
      </c>
      <c r="BL666" t="s">
        <v>2076</v>
      </c>
      <c r="BM666" t="s">
        <v>13415</v>
      </c>
      <c r="BN666" t="s">
        <v>74</v>
      </c>
      <c r="BO666" t="s">
        <v>398</v>
      </c>
      <c r="BP666" t="s">
        <v>74</v>
      </c>
      <c r="BQ666" t="s">
        <v>74</v>
      </c>
      <c r="BR666" t="s">
        <v>106</v>
      </c>
      <c r="BS666" t="s">
        <v>13416</v>
      </c>
      <c r="BT666" t="str">
        <f>HYPERLINK("https%3A%2F%2Fwww.webofscience.com%2Fwos%2Fwoscc%2Ffull-record%2FWOS:000688662200001","View Full Record in Web of Science")</f>
        <v>View Full Record in Web of Science</v>
      </c>
    </row>
    <row r="667" spans="1:72" x14ac:dyDescent="0.25">
      <c r="A667" t="s">
        <v>108</v>
      </c>
      <c r="B667" t="s">
        <v>13417</v>
      </c>
      <c r="C667" t="s">
        <v>74</v>
      </c>
      <c r="D667" t="s">
        <v>13418</v>
      </c>
      <c r="E667" t="s">
        <v>74</v>
      </c>
      <c r="F667" t="s">
        <v>13419</v>
      </c>
      <c r="G667" t="s">
        <v>74</v>
      </c>
      <c r="H667" t="s">
        <v>74</v>
      </c>
      <c r="I667" t="s">
        <v>13420</v>
      </c>
      <c r="J667" t="s">
        <v>13421</v>
      </c>
      <c r="K667" t="s">
        <v>5618</v>
      </c>
      <c r="L667" t="s">
        <v>74</v>
      </c>
      <c r="M667" t="s">
        <v>78</v>
      </c>
      <c r="N667" t="s">
        <v>115</v>
      </c>
      <c r="O667" t="s">
        <v>13422</v>
      </c>
      <c r="P667" t="s">
        <v>13423</v>
      </c>
      <c r="Q667" t="s">
        <v>1051</v>
      </c>
      <c r="R667" t="s">
        <v>74</v>
      </c>
      <c r="S667" t="s">
        <v>74</v>
      </c>
      <c r="T667" t="s">
        <v>13424</v>
      </c>
      <c r="U667" t="s">
        <v>74</v>
      </c>
      <c r="V667" t="s">
        <v>13425</v>
      </c>
      <c r="W667" t="s">
        <v>13426</v>
      </c>
      <c r="X667" t="s">
        <v>13427</v>
      </c>
      <c r="Y667" t="s">
        <v>74</v>
      </c>
      <c r="Z667" t="s">
        <v>13428</v>
      </c>
      <c r="AA667" t="s">
        <v>13429</v>
      </c>
      <c r="AB667" t="s">
        <v>74</v>
      </c>
      <c r="AC667" t="s">
        <v>74</v>
      </c>
      <c r="AD667" t="s">
        <v>74</v>
      </c>
      <c r="AE667" t="s">
        <v>74</v>
      </c>
      <c r="AF667" t="s">
        <v>74</v>
      </c>
      <c r="AG667">
        <v>17</v>
      </c>
      <c r="AH667">
        <v>0</v>
      </c>
      <c r="AI667">
        <v>0</v>
      </c>
      <c r="AJ667">
        <v>0</v>
      </c>
      <c r="AK667">
        <v>2</v>
      </c>
      <c r="AL667" t="s">
        <v>1668</v>
      </c>
      <c r="AM667" t="s">
        <v>1669</v>
      </c>
      <c r="AN667" t="s">
        <v>1670</v>
      </c>
      <c r="AO667" t="s">
        <v>5626</v>
      </c>
      <c r="AP667" t="s">
        <v>74</v>
      </c>
      <c r="AQ667" t="s">
        <v>13430</v>
      </c>
      <c r="AR667" t="s">
        <v>5628</v>
      </c>
      <c r="AS667" t="s">
        <v>74</v>
      </c>
      <c r="AT667" t="s">
        <v>74</v>
      </c>
      <c r="AU667">
        <v>2010</v>
      </c>
      <c r="AV667" t="s">
        <v>74</v>
      </c>
      <c r="AW667" t="s">
        <v>74</v>
      </c>
      <c r="AX667" t="s">
        <v>74</v>
      </c>
      <c r="AY667" t="s">
        <v>74</v>
      </c>
      <c r="AZ667" t="s">
        <v>74</v>
      </c>
      <c r="BA667" t="s">
        <v>74</v>
      </c>
      <c r="BB667" t="s">
        <v>74</v>
      </c>
      <c r="BC667" t="s">
        <v>74</v>
      </c>
      <c r="BD667" t="s">
        <v>74</v>
      </c>
      <c r="BE667" t="s">
        <v>74</v>
      </c>
      <c r="BF667" t="s">
        <v>74</v>
      </c>
      <c r="BG667" t="s">
        <v>74</v>
      </c>
      <c r="BH667" t="s">
        <v>74</v>
      </c>
      <c r="BI667">
        <v>10</v>
      </c>
      <c r="BJ667" t="s">
        <v>318</v>
      </c>
      <c r="BK667" t="s">
        <v>1042</v>
      </c>
      <c r="BL667" t="s">
        <v>318</v>
      </c>
      <c r="BM667" t="s">
        <v>13431</v>
      </c>
      <c r="BN667" t="s">
        <v>74</v>
      </c>
      <c r="BO667" t="s">
        <v>74</v>
      </c>
      <c r="BP667" t="s">
        <v>74</v>
      </c>
      <c r="BQ667" t="s">
        <v>74</v>
      </c>
      <c r="BR667" t="s">
        <v>106</v>
      </c>
      <c r="BS667" t="s">
        <v>13432</v>
      </c>
      <c r="BT667" t="str">
        <f>HYPERLINK("https%3A%2F%2Fwww.webofscience.com%2Fwos%2Fwoscc%2Ffull-record%2FWOS:000318781703087","View Full Record in Web of Science")</f>
        <v>View Full Record in Web of Science</v>
      </c>
    </row>
    <row r="668" spans="1:72" x14ac:dyDescent="0.25">
      <c r="A668" t="s">
        <v>108</v>
      </c>
      <c r="B668" t="s">
        <v>13433</v>
      </c>
      <c r="C668" t="s">
        <v>74</v>
      </c>
      <c r="D668" t="s">
        <v>13434</v>
      </c>
      <c r="E668" t="s">
        <v>74</v>
      </c>
      <c r="F668" t="s">
        <v>13433</v>
      </c>
      <c r="G668" t="s">
        <v>74</v>
      </c>
      <c r="H668" t="s">
        <v>74</v>
      </c>
      <c r="I668" t="s">
        <v>13435</v>
      </c>
      <c r="J668" t="s">
        <v>13436</v>
      </c>
      <c r="K668" t="s">
        <v>74</v>
      </c>
      <c r="L668" t="s">
        <v>74</v>
      </c>
      <c r="M668" t="s">
        <v>78</v>
      </c>
      <c r="N668" t="s">
        <v>115</v>
      </c>
      <c r="O668" t="s">
        <v>13437</v>
      </c>
      <c r="P668" t="s">
        <v>13438</v>
      </c>
      <c r="Q668" t="s">
        <v>13439</v>
      </c>
      <c r="R668" t="s">
        <v>465</v>
      </c>
      <c r="S668" t="s">
        <v>74</v>
      </c>
      <c r="T668" t="s">
        <v>13440</v>
      </c>
      <c r="U668" t="s">
        <v>74</v>
      </c>
      <c r="V668" t="s">
        <v>13441</v>
      </c>
      <c r="W668" t="s">
        <v>13442</v>
      </c>
      <c r="X668" t="s">
        <v>74</v>
      </c>
      <c r="Y668" t="s">
        <v>13443</v>
      </c>
      <c r="Z668" t="s">
        <v>74</v>
      </c>
      <c r="AA668" t="s">
        <v>74</v>
      </c>
      <c r="AB668" t="s">
        <v>74</v>
      </c>
      <c r="AC668" t="s">
        <v>74</v>
      </c>
      <c r="AD668" t="s">
        <v>74</v>
      </c>
      <c r="AE668" t="s">
        <v>74</v>
      </c>
      <c r="AF668" t="s">
        <v>74</v>
      </c>
      <c r="AG668">
        <v>0</v>
      </c>
      <c r="AH668">
        <v>1</v>
      </c>
      <c r="AI668">
        <v>1</v>
      </c>
      <c r="AJ668">
        <v>0</v>
      </c>
      <c r="AK668">
        <v>0</v>
      </c>
      <c r="AL668" t="s">
        <v>465</v>
      </c>
      <c r="AM668" t="s">
        <v>92</v>
      </c>
      <c r="AN668" t="s">
        <v>480</v>
      </c>
      <c r="AO668" t="s">
        <v>74</v>
      </c>
      <c r="AP668" t="s">
        <v>74</v>
      </c>
      <c r="AQ668" t="s">
        <v>13444</v>
      </c>
      <c r="AR668" t="s">
        <v>74</v>
      </c>
      <c r="AS668" t="s">
        <v>74</v>
      </c>
      <c r="AT668" t="s">
        <v>74</v>
      </c>
      <c r="AU668">
        <v>1998</v>
      </c>
      <c r="AV668" t="s">
        <v>74</v>
      </c>
      <c r="AW668" t="s">
        <v>74</v>
      </c>
      <c r="AX668" t="s">
        <v>74</v>
      </c>
      <c r="AY668" t="s">
        <v>74</v>
      </c>
      <c r="AZ668" t="s">
        <v>74</v>
      </c>
      <c r="BA668" t="s">
        <v>74</v>
      </c>
      <c r="BB668">
        <v>375</v>
      </c>
      <c r="BC668">
        <v>383</v>
      </c>
      <c r="BD668" t="s">
        <v>74</v>
      </c>
      <c r="BE668" t="s">
        <v>74</v>
      </c>
      <c r="BF668" t="s">
        <v>74</v>
      </c>
      <c r="BG668" t="s">
        <v>74</v>
      </c>
      <c r="BH668" t="s">
        <v>74</v>
      </c>
      <c r="BI668">
        <v>9</v>
      </c>
      <c r="BJ668" t="s">
        <v>1796</v>
      </c>
      <c r="BK668" t="s">
        <v>203</v>
      </c>
      <c r="BL668" t="s">
        <v>953</v>
      </c>
      <c r="BM668" t="s">
        <v>13445</v>
      </c>
      <c r="BN668" t="s">
        <v>74</v>
      </c>
      <c r="BO668" t="s">
        <v>74</v>
      </c>
      <c r="BP668" t="s">
        <v>74</v>
      </c>
      <c r="BQ668" t="s">
        <v>74</v>
      </c>
      <c r="BR668" t="s">
        <v>106</v>
      </c>
      <c r="BS668" t="s">
        <v>13446</v>
      </c>
      <c r="BT668" t="str">
        <f>HYPERLINK("https%3A%2F%2Fwww.webofscience.com%2Fwos%2Fwoscc%2Ffull-record%2FWOS:000076648800052","View Full Record in Web of Science")</f>
        <v>View Full Record in Web of Science</v>
      </c>
    </row>
    <row r="669" spans="1:72" x14ac:dyDescent="0.25">
      <c r="A669" t="s">
        <v>108</v>
      </c>
      <c r="B669" t="s">
        <v>13447</v>
      </c>
      <c r="C669" t="s">
        <v>74</v>
      </c>
      <c r="D669" t="s">
        <v>74</v>
      </c>
      <c r="E669" t="s">
        <v>322</v>
      </c>
      <c r="F669" t="s">
        <v>13448</v>
      </c>
      <c r="G669" t="s">
        <v>74</v>
      </c>
      <c r="H669" t="s">
        <v>74</v>
      </c>
      <c r="I669" t="s">
        <v>13449</v>
      </c>
      <c r="J669" t="s">
        <v>7829</v>
      </c>
      <c r="K669" t="s">
        <v>74</v>
      </c>
      <c r="L669" t="s">
        <v>74</v>
      </c>
      <c r="M669" t="s">
        <v>78</v>
      </c>
      <c r="N669" t="s">
        <v>115</v>
      </c>
      <c r="O669" t="s">
        <v>7830</v>
      </c>
      <c r="P669" t="s">
        <v>7831</v>
      </c>
      <c r="Q669" t="s">
        <v>7832</v>
      </c>
      <c r="R669" t="s">
        <v>7833</v>
      </c>
      <c r="S669" t="s">
        <v>74</v>
      </c>
      <c r="T669" t="s">
        <v>13450</v>
      </c>
      <c r="U669" t="s">
        <v>74</v>
      </c>
      <c r="V669" t="s">
        <v>13451</v>
      </c>
      <c r="W669" t="s">
        <v>13452</v>
      </c>
      <c r="X669" t="s">
        <v>13453</v>
      </c>
      <c r="Y669" t="s">
        <v>13454</v>
      </c>
      <c r="Z669" t="s">
        <v>13455</v>
      </c>
      <c r="AA669" t="s">
        <v>74</v>
      </c>
      <c r="AB669" t="s">
        <v>13456</v>
      </c>
      <c r="AC669" t="s">
        <v>13457</v>
      </c>
      <c r="AD669" t="s">
        <v>13458</v>
      </c>
      <c r="AE669" t="s">
        <v>13459</v>
      </c>
      <c r="AF669" t="s">
        <v>74</v>
      </c>
      <c r="AG669">
        <v>8</v>
      </c>
      <c r="AH669">
        <v>16</v>
      </c>
      <c r="AI669">
        <v>20</v>
      </c>
      <c r="AJ669">
        <v>1</v>
      </c>
      <c r="AK669">
        <v>2</v>
      </c>
      <c r="AL669" t="s">
        <v>291</v>
      </c>
      <c r="AM669" t="s">
        <v>92</v>
      </c>
      <c r="AN669" t="s">
        <v>341</v>
      </c>
      <c r="AO669" t="s">
        <v>74</v>
      </c>
      <c r="AP669" t="s">
        <v>74</v>
      </c>
      <c r="AQ669" t="s">
        <v>7843</v>
      </c>
      <c r="AR669" t="s">
        <v>74</v>
      </c>
      <c r="AS669" t="s">
        <v>74</v>
      </c>
      <c r="AT669" t="s">
        <v>74</v>
      </c>
      <c r="AU669">
        <v>2013</v>
      </c>
      <c r="AV669" t="s">
        <v>74</v>
      </c>
      <c r="AW669" t="s">
        <v>74</v>
      </c>
      <c r="AX669" t="s">
        <v>74</v>
      </c>
      <c r="AY669" t="s">
        <v>74</v>
      </c>
      <c r="AZ669" t="s">
        <v>74</v>
      </c>
      <c r="BA669" t="s">
        <v>74</v>
      </c>
      <c r="BB669">
        <v>1514</v>
      </c>
      <c r="BC669">
        <v>1517</v>
      </c>
      <c r="BD669" t="s">
        <v>74</v>
      </c>
      <c r="BE669" t="s">
        <v>74</v>
      </c>
      <c r="BF669" t="s">
        <v>74</v>
      </c>
      <c r="BG669" t="s">
        <v>74</v>
      </c>
      <c r="BH669" t="s">
        <v>74</v>
      </c>
      <c r="BI669">
        <v>4</v>
      </c>
      <c r="BJ669" t="s">
        <v>461</v>
      </c>
      <c r="BK669" t="s">
        <v>203</v>
      </c>
      <c r="BL669" t="s">
        <v>103</v>
      </c>
      <c r="BM669" t="s">
        <v>7844</v>
      </c>
      <c r="BN669" t="s">
        <v>74</v>
      </c>
      <c r="BO669" t="s">
        <v>74</v>
      </c>
      <c r="BP669" t="s">
        <v>74</v>
      </c>
      <c r="BQ669" t="s">
        <v>74</v>
      </c>
      <c r="BR669" t="s">
        <v>106</v>
      </c>
      <c r="BS669" t="s">
        <v>13460</v>
      </c>
      <c r="BT669" t="str">
        <f>HYPERLINK("https%3A%2F%2Fwww.webofscience.com%2Fwos%2Fwoscc%2Ffull-record%2FWOS:000502730600189","View Full Record in Web of Science")</f>
        <v>View Full Record in Web of Science</v>
      </c>
    </row>
    <row r="670" spans="1:72" x14ac:dyDescent="0.25">
      <c r="A670" t="s">
        <v>108</v>
      </c>
      <c r="B670" t="s">
        <v>13461</v>
      </c>
      <c r="C670" t="s">
        <v>74</v>
      </c>
      <c r="D670" t="s">
        <v>74</v>
      </c>
      <c r="E670" t="s">
        <v>465</v>
      </c>
      <c r="F670" t="s">
        <v>13462</v>
      </c>
      <c r="G670" t="s">
        <v>74</v>
      </c>
      <c r="H670" t="s">
        <v>74</v>
      </c>
      <c r="I670" t="s">
        <v>13463</v>
      </c>
      <c r="J670" t="s">
        <v>13464</v>
      </c>
      <c r="K670" t="s">
        <v>13465</v>
      </c>
      <c r="L670" t="s">
        <v>74</v>
      </c>
      <c r="M670" t="s">
        <v>78</v>
      </c>
      <c r="N670" t="s">
        <v>115</v>
      </c>
      <c r="O670" t="s">
        <v>13466</v>
      </c>
      <c r="P670" t="s">
        <v>13467</v>
      </c>
      <c r="Q670" t="s">
        <v>13468</v>
      </c>
      <c r="R670" t="s">
        <v>74</v>
      </c>
      <c r="S670" t="s">
        <v>74</v>
      </c>
      <c r="T670" t="s">
        <v>13469</v>
      </c>
      <c r="U670" t="s">
        <v>74</v>
      </c>
      <c r="V670" t="s">
        <v>13470</v>
      </c>
      <c r="W670" t="s">
        <v>13471</v>
      </c>
      <c r="X670" t="s">
        <v>13472</v>
      </c>
      <c r="Y670" t="s">
        <v>13473</v>
      </c>
      <c r="Z670" t="s">
        <v>13474</v>
      </c>
      <c r="AA670" t="s">
        <v>74</v>
      </c>
      <c r="AB670" t="s">
        <v>74</v>
      </c>
      <c r="AC670" t="s">
        <v>74</v>
      </c>
      <c r="AD670" t="s">
        <v>74</v>
      </c>
      <c r="AE670" t="s">
        <v>74</v>
      </c>
      <c r="AF670" t="s">
        <v>74</v>
      </c>
      <c r="AG670">
        <v>7</v>
      </c>
      <c r="AH670">
        <v>1</v>
      </c>
      <c r="AI670">
        <v>1</v>
      </c>
      <c r="AJ670">
        <v>2</v>
      </c>
      <c r="AK670">
        <v>13</v>
      </c>
      <c r="AL670" t="s">
        <v>465</v>
      </c>
      <c r="AM670" t="s">
        <v>92</v>
      </c>
      <c r="AN670" t="s">
        <v>480</v>
      </c>
      <c r="AO670" t="s">
        <v>13475</v>
      </c>
      <c r="AP670" t="s">
        <v>74</v>
      </c>
      <c r="AQ670" t="s">
        <v>13476</v>
      </c>
      <c r="AR670" t="s">
        <v>13477</v>
      </c>
      <c r="AS670" t="s">
        <v>74</v>
      </c>
      <c r="AT670" t="s">
        <v>74</v>
      </c>
      <c r="AU670">
        <v>2022</v>
      </c>
      <c r="AV670" t="s">
        <v>74</v>
      </c>
      <c r="AW670" t="s">
        <v>74</v>
      </c>
      <c r="AX670" t="s">
        <v>74</v>
      </c>
      <c r="AY670" t="s">
        <v>74</v>
      </c>
      <c r="AZ670" t="s">
        <v>74</v>
      </c>
      <c r="BA670" t="s">
        <v>74</v>
      </c>
      <c r="BB670" t="s">
        <v>74</v>
      </c>
      <c r="BC670" t="s">
        <v>74</v>
      </c>
      <c r="BD670" t="s">
        <v>74</v>
      </c>
      <c r="BE670" t="s">
        <v>13478</v>
      </c>
      <c r="BF670" t="str">
        <f>HYPERLINK("http://dx.doi.org/10.1109/SCISISIS55246.2022.10002120","http://dx.doi.org/10.1109/SCISISIS55246.2022.10002120")</f>
        <v>http://dx.doi.org/10.1109/SCISISIS55246.2022.10002120</v>
      </c>
      <c r="BG670" t="s">
        <v>74</v>
      </c>
      <c r="BH670" t="s">
        <v>74</v>
      </c>
      <c r="BI670">
        <v>4</v>
      </c>
      <c r="BJ670" t="s">
        <v>13479</v>
      </c>
      <c r="BK670" t="s">
        <v>203</v>
      </c>
      <c r="BL670" t="s">
        <v>13480</v>
      </c>
      <c r="BM670" t="s">
        <v>13481</v>
      </c>
      <c r="BN670" t="s">
        <v>74</v>
      </c>
      <c r="BO670" t="s">
        <v>74</v>
      </c>
      <c r="BP670" t="s">
        <v>74</v>
      </c>
      <c r="BQ670" t="s">
        <v>74</v>
      </c>
      <c r="BR670" t="s">
        <v>106</v>
      </c>
      <c r="BS670" t="s">
        <v>13482</v>
      </c>
      <c r="BT670" t="str">
        <f>HYPERLINK("https%3A%2F%2Fwww.webofscience.com%2Fwos%2Fwoscc%2Ffull-record%2FWOS:000932791900194","View Full Record in Web of Science")</f>
        <v>View Full Record in Web of Science</v>
      </c>
    </row>
    <row r="671" spans="1:72" x14ac:dyDescent="0.25">
      <c r="A671" t="s">
        <v>108</v>
      </c>
      <c r="B671" t="s">
        <v>13483</v>
      </c>
      <c r="C671" t="s">
        <v>74</v>
      </c>
      <c r="D671" t="s">
        <v>74</v>
      </c>
      <c r="E671" t="s">
        <v>273</v>
      </c>
      <c r="F671" t="s">
        <v>13484</v>
      </c>
      <c r="G671" t="s">
        <v>74</v>
      </c>
      <c r="H671" t="s">
        <v>74</v>
      </c>
      <c r="I671" t="s">
        <v>13485</v>
      </c>
      <c r="J671" t="s">
        <v>9724</v>
      </c>
      <c r="K671" t="s">
        <v>74</v>
      </c>
      <c r="L671" t="s">
        <v>74</v>
      </c>
      <c r="M671" t="s">
        <v>78</v>
      </c>
      <c r="N671" t="s">
        <v>115</v>
      </c>
      <c r="O671" t="s">
        <v>9725</v>
      </c>
      <c r="P671" t="s">
        <v>9726</v>
      </c>
      <c r="Q671" t="s">
        <v>7587</v>
      </c>
      <c r="R671" t="s">
        <v>9727</v>
      </c>
      <c r="S671" t="s">
        <v>74</v>
      </c>
      <c r="T671" t="s">
        <v>13486</v>
      </c>
      <c r="U671" t="s">
        <v>74</v>
      </c>
      <c r="V671" t="s">
        <v>13487</v>
      </c>
      <c r="W671" t="s">
        <v>13488</v>
      </c>
      <c r="X671" t="s">
        <v>74</v>
      </c>
      <c r="Y671" t="s">
        <v>13489</v>
      </c>
      <c r="Z671" t="s">
        <v>13490</v>
      </c>
      <c r="AA671" t="s">
        <v>74</v>
      </c>
      <c r="AB671" t="s">
        <v>74</v>
      </c>
      <c r="AC671" t="s">
        <v>74</v>
      </c>
      <c r="AD671" t="s">
        <v>74</v>
      </c>
      <c r="AE671" t="s">
        <v>74</v>
      </c>
      <c r="AF671" t="s">
        <v>74</v>
      </c>
      <c r="AG671">
        <v>9</v>
      </c>
      <c r="AH671">
        <v>39</v>
      </c>
      <c r="AI671">
        <v>50</v>
      </c>
      <c r="AJ671">
        <v>0</v>
      </c>
      <c r="AK671">
        <v>12</v>
      </c>
      <c r="AL671" t="s">
        <v>291</v>
      </c>
      <c r="AM671" t="s">
        <v>92</v>
      </c>
      <c r="AN671" t="s">
        <v>292</v>
      </c>
      <c r="AO671" t="s">
        <v>74</v>
      </c>
      <c r="AP671" t="s">
        <v>74</v>
      </c>
      <c r="AQ671" t="s">
        <v>9738</v>
      </c>
      <c r="AR671" t="s">
        <v>74</v>
      </c>
      <c r="AS671" t="s">
        <v>74</v>
      </c>
      <c r="AT671" t="s">
        <v>74</v>
      </c>
      <c r="AU671">
        <v>2016</v>
      </c>
      <c r="AV671" t="s">
        <v>74</v>
      </c>
      <c r="AW671" t="s">
        <v>74</v>
      </c>
      <c r="AX671" t="s">
        <v>74</v>
      </c>
      <c r="AY671" t="s">
        <v>74</v>
      </c>
      <c r="AZ671" t="s">
        <v>74</v>
      </c>
      <c r="BA671" t="s">
        <v>74</v>
      </c>
      <c r="BB671">
        <v>1129</v>
      </c>
      <c r="BC671">
        <v>1132</v>
      </c>
      <c r="BD671" t="s">
        <v>74</v>
      </c>
      <c r="BE671" t="s">
        <v>13491</v>
      </c>
      <c r="BF671" t="str">
        <f>HYPERLINK("http://dx.doi.org/10.1145/2911451.2911464","http://dx.doi.org/10.1145/2911451.2911464")</f>
        <v>http://dx.doi.org/10.1145/2911451.2911464</v>
      </c>
      <c r="BG671" t="s">
        <v>74</v>
      </c>
      <c r="BH671" t="s">
        <v>74</v>
      </c>
      <c r="BI671">
        <v>4</v>
      </c>
      <c r="BJ671" t="s">
        <v>852</v>
      </c>
      <c r="BK671" t="s">
        <v>203</v>
      </c>
      <c r="BL671" t="s">
        <v>103</v>
      </c>
      <c r="BM671" t="s">
        <v>9740</v>
      </c>
      <c r="BN671" t="s">
        <v>74</v>
      </c>
      <c r="BO671" t="s">
        <v>74</v>
      </c>
      <c r="BP671" t="s">
        <v>74</v>
      </c>
      <c r="BQ671" t="s">
        <v>74</v>
      </c>
      <c r="BR671" t="s">
        <v>106</v>
      </c>
      <c r="BS671" t="s">
        <v>13492</v>
      </c>
      <c r="BT671" t="str">
        <f>HYPERLINK("https%3A%2F%2Fwww.webofscience.com%2Fwos%2Fwoscc%2Ffull-record%2FWOS:000455100800192","View Full Record in Web of Science")</f>
        <v>View Full Record in Web of Science</v>
      </c>
    </row>
    <row r="672" spans="1:72" x14ac:dyDescent="0.25">
      <c r="A672" t="s">
        <v>72</v>
      </c>
      <c r="B672" t="s">
        <v>13493</v>
      </c>
      <c r="C672" t="s">
        <v>74</v>
      </c>
      <c r="D672" t="s">
        <v>74</v>
      </c>
      <c r="E672" t="s">
        <v>74</v>
      </c>
      <c r="F672" t="s">
        <v>13494</v>
      </c>
      <c r="G672" t="s">
        <v>74</v>
      </c>
      <c r="H672" t="s">
        <v>74</v>
      </c>
      <c r="I672" t="s">
        <v>13495</v>
      </c>
      <c r="J672" t="s">
        <v>9816</v>
      </c>
      <c r="K672" t="s">
        <v>74</v>
      </c>
      <c r="L672" t="s">
        <v>74</v>
      </c>
      <c r="M672" t="s">
        <v>78</v>
      </c>
      <c r="N672" t="s">
        <v>79</v>
      </c>
      <c r="O672" t="s">
        <v>74</v>
      </c>
      <c r="P672" t="s">
        <v>74</v>
      </c>
      <c r="Q672" t="s">
        <v>74</v>
      </c>
      <c r="R672" t="s">
        <v>74</v>
      </c>
      <c r="S672" t="s">
        <v>74</v>
      </c>
      <c r="T672" t="s">
        <v>13496</v>
      </c>
      <c r="U672" t="s">
        <v>74</v>
      </c>
      <c r="V672" t="s">
        <v>13497</v>
      </c>
      <c r="W672" t="s">
        <v>13498</v>
      </c>
      <c r="X672" t="s">
        <v>13499</v>
      </c>
      <c r="Y672" t="s">
        <v>13500</v>
      </c>
      <c r="Z672" t="s">
        <v>13501</v>
      </c>
      <c r="AA672" t="s">
        <v>74</v>
      </c>
      <c r="AB672" t="s">
        <v>74</v>
      </c>
      <c r="AC672" t="s">
        <v>74</v>
      </c>
      <c r="AD672" t="s">
        <v>74</v>
      </c>
      <c r="AE672" t="s">
        <v>74</v>
      </c>
      <c r="AF672" t="s">
        <v>74</v>
      </c>
      <c r="AG672">
        <v>7</v>
      </c>
      <c r="AH672">
        <v>0</v>
      </c>
      <c r="AI672">
        <v>0</v>
      </c>
      <c r="AJ672">
        <v>0</v>
      </c>
      <c r="AK672">
        <v>14</v>
      </c>
      <c r="AL672" t="s">
        <v>13502</v>
      </c>
      <c r="AM672" t="s">
        <v>9823</v>
      </c>
      <c r="AN672" t="s">
        <v>13503</v>
      </c>
      <c r="AO672" t="s">
        <v>9825</v>
      </c>
      <c r="AP672" t="s">
        <v>74</v>
      </c>
      <c r="AQ672" t="s">
        <v>74</v>
      </c>
      <c r="AR672" t="s">
        <v>9827</v>
      </c>
      <c r="AS672" t="s">
        <v>9828</v>
      </c>
      <c r="AT672" t="s">
        <v>1375</v>
      </c>
      <c r="AU672">
        <v>2011</v>
      </c>
      <c r="AV672" t="s">
        <v>13504</v>
      </c>
      <c r="AW672">
        <v>6</v>
      </c>
      <c r="AX672" t="s">
        <v>74</v>
      </c>
      <c r="AY672" t="s">
        <v>74</v>
      </c>
      <c r="AZ672" t="s">
        <v>74</v>
      </c>
      <c r="BA672" t="s">
        <v>74</v>
      </c>
      <c r="BB672">
        <v>1329</v>
      </c>
      <c r="BC672">
        <v>1332</v>
      </c>
      <c r="BD672" t="s">
        <v>74</v>
      </c>
      <c r="BE672" t="s">
        <v>13505</v>
      </c>
      <c r="BF672" t="str">
        <f>HYPERLINK("http://dx.doi.org/10.1587/transinf.E94.D.1329","http://dx.doi.org/10.1587/transinf.E94.D.1329")</f>
        <v>http://dx.doi.org/10.1587/transinf.E94.D.1329</v>
      </c>
      <c r="BG672" t="s">
        <v>74</v>
      </c>
      <c r="BH672" t="s">
        <v>74</v>
      </c>
      <c r="BI672">
        <v>4</v>
      </c>
      <c r="BJ672" t="s">
        <v>2540</v>
      </c>
      <c r="BK672" t="s">
        <v>902</v>
      </c>
      <c r="BL672" t="s">
        <v>103</v>
      </c>
      <c r="BM672" t="s">
        <v>13506</v>
      </c>
      <c r="BN672" t="s">
        <v>74</v>
      </c>
      <c r="BO672" t="s">
        <v>372</v>
      </c>
      <c r="BP672" t="s">
        <v>74</v>
      </c>
      <c r="BQ672" t="s">
        <v>74</v>
      </c>
      <c r="BR672" t="s">
        <v>106</v>
      </c>
      <c r="BS672" t="s">
        <v>13507</v>
      </c>
      <c r="BT672" t="str">
        <f>HYPERLINK("https%3A%2F%2Fwww.webofscience.com%2Fwos%2Fwoscc%2Ffull-record%2FWOS:000292480800028","View Full Record in Web of Science")</f>
        <v>View Full Record in Web of Science</v>
      </c>
    </row>
    <row r="673" spans="1:72" x14ac:dyDescent="0.25">
      <c r="A673" t="s">
        <v>72</v>
      </c>
      <c r="B673" t="s">
        <v>13508</v>
      </c>
      <c r="C673" t="s">
        <v>74</v>
      </c>
      <c r="D673" t="s">
        <v>74</v>
      </c>
      <c r="E673" t="s">
        <v>74</v>
      </c>
      <c r="F673" t="s">
        <v>13509</v>
      </c>
      <c r="G673" t="s">
        <v>74</v>
      </c>
      <c r="H673" t="s">
        <v>74</v>
      </c>
      <c r="I673" t="s">
        <v>13510</v>
      </c>
      <c r="J673" t="s">
        <v>13511</v>
      </c>
      <c r="K673" t="s">
        <v>74</v>
      </c>
      <c r="L673" t="s">
        <v>74</v>
      </c>
      <c r="M673" t="s">
        <v>78</v>
      </c>
      <c r="N673" t="s">
        <v>79</v>
      </c>
      <c r="O673" t="s">
        <v>74</v>
      </c>
      <c r="P673" t="s">
        <v>74</v>
      </c>
      <c r="Q673" t="s">
        <v>74</v>
      </c>
      <c r="R673" t="s">
        <v>74</v>
      </c>
      <c r="S673" t="s">
        <v>74</v>
      </c>
      <c r="T673" t="s">
        <v>13512</v>
      </c>
      <c r="U673" t="s">
        <v>13513</v>
      </c>
      <c r="V673" t="s">
        <v>13514</v>
      </c>
      <c r="W673" t="s">
        <v>13515</v>
      </c>
      <c r="X673" t="s">
        <v>13516</v>
      </c>
      <c r="Y673" t="s">
        <v>13517</v>
      </c>
      <c r="Z673" t="s">
        <v>13518</v>
      </c>
      <c r="AA673" t="s">
        <v>13519</v>
      </c>
      <c r="AB673" t="s">
        <v>74</v>
      </c>
      <c r="AC673" t="s">
        <v>74</v>
      </c>
      <c r="AD673" t="s">
        <v>74</v>
      </c>
      <c r="AE673" t="s">
        <v>74</v>
      </c>
      <c r="AF673" t="s">
        <v>74</v>
      </c>
      <c r="AG673">
        <v>21</v>
      </c>
      <c r="AH673">
        <v>0</v>
      </c>
      <c r="AI673">
        <v>0</v>
      </c>
      <c r="AJ673">
        <v>0</v>
      </c>
      <c r="AK673">
        <v>7</v>
      </c>
      <c r="AL673" t="s">
        <v>13520</v>
      </c>
      <c r="AM673" t="s">
        <v>13521</v>
      </c>
      <c r="AN673" t="s">
        <v>13522</v>
      </c>
      <c r="AO673" t="s">
        <v>13523</v>
      </c>
      <c r="AP673" t="s">
        <v>13524</v>
      </c>
      <c r="AQ673" t="s">
        <v>74</v>
      </c>
      <c r="AR673" t="s">
        <v>13525</v>
      </c>
      <c r="AS673" t="s">
        <v>13526</v>
      </c>
      <c r="AT673" t="s">
        <v>223</v>
      </c>
      <c r="AU673">
        <v>2017</v>
      </c>
      <c r="AV673">
        <v>18</v>
      </c>
      <c r="AW673">
        <v>2</v>
      </c>
      <c r="AX673" t="s">
        <v>74</v>
      </c>
      <c r="AY673" t="s">
        <v>74</v>
      </c>
      <c r="AZ673" t="s">
        <v>74</v>
      </c>
      <c r="BA673" t="s">
        <v>74</v>
      </c>
      <c r="BB673">
        <v>237</v>
      </c>
      <c r="BC673">
        <v>246</v>
      </c>
      <c r="BD673" t="s">
        <v>74</v>
      </c>
      <c r="BE673" t="s">
        <v>13527</v>
      </c>
      <c r="BF673" t="str">
        <f>HYPERLINK("http://dx.doi.org/10.6138/JIT.2017.18.2.20140907","http://dx.doi.org/10.6138/JIT.2017.18.2.20140907")</f>
        <v>http://dx.doi.org/10.6138/JIT.2017.18.2.20140907</v>
      </c>
      <c r="BG673" t="s">
        <v>74</v>
      </c>
      <c r="BH673" t="s">
        <v>74</v>
      </c>
      <c r="BI673">
        <v>10</v>
      </c>
      <c r="BJ673" t="s">
        <v>2674</v>
      </c>
      <c r="BK673" t="s">
        <v>902</v>
      </c>
      <c r="BL673" t="s">
        <v>2422</v>
      </c>
      <c r="BM673" t="s">
        <v>13528</v>
      </c>
      <c r="BN673" t="s">
        <v>74</v>
      </c>
      <c r="BO673" t="s">
        <v>74</v>
      </c>
      <c r="BP673" t="s">
        <v>74</v>
      </c>
      <c r="BQ673" t="s">
        <v>74</v>
      </c>
      <c r="BR673" t="s">
        <v>106</v>
      </c>
      <c r="BS673" t="s">
        <v>13529</v>
      </c>
      <c r="BT673" t="str">
        <f>HYPERLINK("https%3A%2F%2Fwww.webofscience.com%2Fwos%2Fwoscc%2Ffull-record%2FWOS:000399522700003","View Full Record in Web of Science")</f>
        <v>View Full Record in Web of Science</v>
      </c>
    </row>
    <row r="674" spans="1:72" x14ac:dyDescent="0.25">
      <c r="A674" t="s">
        <v>72</v>
      </c>
      <c r="B674" t="s">
        <v>13530</v>
      </c>
      <c r="C674" t="s">
        <v>74</v>
      </c>
      <c r="D674" t="s">
        <v>74</v>
      </c>
      <c r="E674" t="s">
        <v>74</v>
      </c>
      <c r="F674" t="s">
        <v>13530</v>
      </c>
      <c r="G674" t="s">
        <v>74</v>
      </c>
      <c r="H674" t="s">
        <v>74</v>
      </c>
      <c r="I674" t="s">
        <v>13531</v>
      </c>
      <c r="J674" t="s">
        <v>3129</v>
      </c>
      <c r="K674" t="s">
        <v>74</v>
      </c>
      <c r="L674" t="s">
        <v>74</v>
      </c>
      <c r="M674" t="s">
        <v>78</v>
      </c>
      <c r="N674" t="s">
        <v>79</v>
      </c>
      <c r="O674" t="s">
        <v>74</v>
      </c>
      <c r="P674" t="s">
        <v>74</v>
      </c>
      <c r="Q674" t="s">
        <v>74</v>
      </c>
      <c r="R674" t="s">
        <v>74</v>
      </c>
      <c r="S674" t="s">
        <v>74</v>
      </c>
      <c r="T674" t="s">
        <v>74</v>
      </c>
      <c r="U674" t="s">
        <v>13532</v>
      </c>
      <c r="V674" t="s">
        <v>74</v>
      </c>
      <c r="W674" t="s">
        <v>13533</v>
      </c>
      <c r="X674" t="s">
        <v>13534</v>
      </c>
      <c r="Y674" t="s">
        <v>74</v>
      </c>
      <c r="Z674" t="s">
        <v>74</v>
      </c>
      <c r="AA674" t="s">
        <v>74</v>
      </c>
      <c r="AB674" t="s">
        <v>74</v>
      </c>
      <c r="AC674" t="s">
        <v>74</v>
      </c>
      <c r="AD674" t="s">
        <v>74</v>
      </c>
      <c r="AE674" t="s">
        <v>74</v>
      </c>
      <c r="AF674" t="s">
        <v>74</v>
      </c>
      <c r="AG674">
        <v>36</v>
      </c>
      <c r="AH674">
        <v>5</v>
      </c>
      <c r="AI674">
        <v>11</v>
      </c>
      <c r="AJ674">
        <v>0</v>
      </c>
      <c r="AK674">
        <v>3</v>
      </c>
      <c r="AL674" t="s">
        <v>178</v>
      </c>
      <c r="AM674" t="s">
        <v>92</v>
      </c>
      <c r="AN674" t="s">
        <v>179</v>
      </c>
      <c r="AO674" t="s">
        <v>3137</v>
      </c>
      <c r="AP674" t="s">
        <v>3138</v>
      </c>
      <c r="AQ674" t="s">
        <v>74</v>
      </c>
      <c r="AR674" t="s">
        <v>3139</v>
      </c>
      <c r="AS674" t="s">
        <v>3140</v>
      </c>
      <c r="AT674" t="s">
        <v>74</v>
      </c>
      <c r="AU674">
        <v>1990</v>
      </c>
      <c r="AV674">
        <v>38</v>
      </c>
      <c r="AW674">
        <v>3</v>
      </c>
      <c r="AX674" t="s">
        <v>74</v>
      </c>
      <c r="AY674" t="s">
        <v>74</v>
      </c>
      <c r="AZ674" t="s">
        <v>74</v>
      </c>
      <c r="BA674" t="s">
        <v>74</v>
      </c>
      <c r="BB674">
        <v>27</v>
      </c>
      <c r="BC674">
        <v>37</v>
      </c>
      <c r="BD674" t="s">
        <v>74</v>
      </c>
      <c r="BE674" t="s">
        <v>13535</v>
      </c>
      <c r="BF674" t="str">
        <f>HYPERLINK("http://dx.doi.org/10.1007/BF02298179","http://dx.doi.org/10.1007/BF02298179")</f>
        <v>http://dx.doi.org/10.1007/BF02298179</v>
      </c>
      <c r="BG674" t="s">
        <v>74</v>
      </c>
      <c r="BH674" t="s">
        <v>74</v>
      </c>
      <c r="BI674">
        <v>11</v>
      </c>
      <c r="BJ674" t="s">
        <v>318</v>
      </c>
      <c r="BK674" t="s">
        <v>250</v>
      </c>
      <c r="BL674" t="s">
        <v>318</v>
      </c>
      <c r="BM674" t="s">
        <v>13536</v>
      </c>
      <c r="BN674" t="s">
        <v>74</v>
      </c>
      <c r="BO674" t="s">
        <v>74</v>
      </c>
      <c r="BP674" t="s">
        <v>74</v>
      </c>
      <c r="BQ674" t="s">
        <v>74</v>
      </c>
      <c r="BR674" t="s">
        <v>106</v>
      </c>
      <c r="BS674" t="s">
        <v>13537</v>
      </c>
      <c r="BT674" t="str">
        <f>HYPERLINK("https%3A%2F%2Fwww.webofscience.com%2Fwos%2Fwoscc%2Ffull-record%2FWOS:A1990FE30100003","View Full Record in Web of Science")</f>
        <v>View Full Record in Web of Science</v>
      </c>
    </row>
    <row r="675" spans="1:72" x14ac:dyDescent="0.25">
      <c r="A675" t="s">
        <v>72</v>
      </c>
      <c r="B675" t="s">
        <v>13538</v>
      </c>
      <c r="C675" t="s">
        <v>74</v>
      </c>
      <c r="D675" t="s">
        <v>74</v>
      </c>
      <c r="E675" t="s">
        <v>74</v>
      </c>
      <c r="F675" t="s">
        <v>13539</v>
      </c>
      <c r="G675" t="s">
        <v>74</v>
      </c>
      <c r="H675" t="s">
        <v>74</v>
      </c>
      <c r="I675" t="s">
        <v>13540</v>
      </c>
      <c r="J675" t="s">
        <v>12234</v>
      </c>
      <c r="K675" t="s">
        <v>74</v>
      </c>
      <c r="L675" t="s">
        <v>74</v>
      </c>
      <c r="M675" t="s">
        <v>78</v>
      </c>
      <c r="N675" t="s">
        <v>79</v>
      </c>
      <c r="O675" t="s">
        <v>74</v>
      </c>
      <c r="P675" t="s">
        <v>74</v>
      </c>
      <c r="Q675" t="s">
        <v>74</v>
      </c>
      <c r="R675" t="s">
        <v>74</v>
      </c>
      <c r="S675" t="s">
        <v>74</v>
      </c>
      <c r="T675" t="s">
        <v>13541</v>
      </c>
      <c r="U675" t="s">
        <v>13542</v>
      </c>
      <c r="V675" t="s">
        <v>13543</v>
      </c>
      <c r="W675" t="s">
        <v>13544</v>
      </c>
      <c r="X675" t="s">
        <v>13545</v>
      </c>
      <c r="Y675" t="s">
        <v>13546</v>
      </c>
      <c r="Z675" t="s">
        <v>13547</v>
      </c>
      <c r="AA675" t="s">
        <v>12920</v>
      </c>
      <c r="AB675" t="s">
        <v>74</v>
      </c>
      <c r="AC675" t="s">
        <v>74</v>
      </c>
      <c r="AD675" t="s">
        <v>74</v>
      </c>
      <c r="AE675" t="s">
        <v>74</v>
      </c>
      <c r="AF675" t="s">
        <v>74</v>
      </c>
      <c r="AG675">
        <v>72</v>
      </c>
      <c r="AH675">
        <v>0</v>
      </c>
      <c r="AI675">
        <v>0</v>
      </c>
      <c r="AJ675">
        <v>0</v>
      </c>
      <c r="AK675">
        <v>0</v>
      </c>
      <c r="AL675" t="s">
        <v>1272</v>
      </c>
      <c r="AM675" t="s">
        <v>1273</v>
      </c>
      <c r="AN675" t="s">
        <v>1274</v>
      </c>
      <c r="AO675" t="s">
        <v>74</v>
      </c>
      <c r="AP675" t="s">
        <v>12247</v>
      </c>
      <c r="AQ675" t="s">
        <v>74</v>
      </c>
      <c r="AR675" t="s">
        <v>12248</v>
      </c>
      <c r="AS675" t="s">
        <v>12249</v>
      </c>
      <c r="AT675" t="s">
        <v>13548</v>
      </c>
      <c r="AU675">
        <v>2026</v>
      </c>
      <c r="AV675">
        <v>18</v>
      </c>
      <c r="AW675">
        <v>9</v>
      </c>
      <c r="AX675" t="s">
        <v>74</v>
      </c>
      <c r="AY675" t="s">
        <v>74</v>
      </c>
      <c r="AZ675" t="s">
        <v>74</v>
      </c>
      <c r="BA675" t="s">
        <v>74</v>
      </c>
      <c r="BB675" t="s">
        <v>74</v>
      </c>
      <c r="BC675" t="s">
        <v>74</v>
      </c>
      <c r="BD675">
        <v>4152</v>
      </c>
      <c r="BE675" t="s">
        <v>13549</v>
      </c>
      <c r="BF675" t="str">
        <f>HYPERLINK("http://dx.doi.org/10.3390/su18094152","http://dx.doi.org/10.3390/su18094152")</f>
        <v>http://dx.doi.org/10.3390/su18094152</v>
      </c>
      <c r="BG675" t="s">
        <v>74</v>
      </c>
      <c r="BH675" t="s">
        <v>8420</v>
      </c>
      <c r="BI675">
        <v>23</v>
      </c>
      <c r="BJ675" t="s">
        <v>12252</v>
      </c>
      <c r="BK675" t="s">
        <v>745</v>
      </c>
      <c r="BL675" t="s">
        <v>10608</v>
      </c>
      <c r="BM675" t="s">
        <v>13550</v>
      </c>
      <c r="BN675" t="s">
        <v>74</v>
      </c>
      <c r="BO675" t="s">
        <v>372</v>
      </c>
      <c r="BP675" t="s">
        <v>74</v>
      </c>
      <c r="BQ675" t="s">
        <v>74</v>
      </c>
      <c r="BR675" t="s">
        <v>106</v>
      </c>
      <c r="BS675" t="s">
        <v>13551</v>
      </c>
      <c r="BT675" t="str">
        <f>HYPERLINK("https%3A%2F%2Fwww.webofscience.com%2Fwos%2Fwoscc%2Ffull-record%2FWOS:001764011500001","View Full Record in Web of Science")</f>
        <v>View Full Record in Web of Science</v>
      </c>
    </row>
    <row r="676" spans="1:72" x14ac:dyDescent="0.25">
      <c r="A676" t="s">
        <v>72</v>
      </c>
      <c r="B676" t="s">
        <v>13552</v>
      </c>
      <c r="C676" t="s">
        <v>74</v>
      </c>
      <c r="D676" t="s">
        <v>74</v>
      </c>
      <c r="E676" t="s">
        <v>74</v>
      </c>
      <c r="F676" t="s">
        <v>13553</v>
      </c>
      <c r="G676" t="s">
        <v>74</v>
      </c>
      <c r="H676" t="s">
        <v>74</v>
      </c>
      <c r="I676" t="s">
        <v>13554</v>
      </c>
      <c r="J676" t="s">
        <v>13555</v>
      </c>
      <c r="K676" t="s">
        <v>74</v>
      </c>
      <c r="L676" t="s">
        <v>74</v>
      </c>
      <c r="M676" t="s">
        <v>78</v>
      </c>
      <c r="N676" t="s">
        <v>79</v>
      </c>
      <c r="O676" t="s">
        <v>74</v>
      </c>
      <c r="P676" t="s">
        <v>74</v>
      </c>
      <c r="Q676" t="s">
        <v>74</v>
      </c>
      <c r="R676" t="s">
        <v>74</v>
      </c>
      <c r="S676" t="s">
        <v>74</v>
      </c>
      <c r="T676" t="s">
        <v>13556</v>
      </c>
      <c r="U676" t="s">
        <v>74</v>
      </c>
      <c r="V676" t="s">
        <v>13557</v>
      </c>
      <c r="W676" t="s">
        <v>13558</v>
      </c>
      <c r="X676" t="s">
        <v>13559</v>
      </c>
      <c r="Y676" t="s">
        <v>13560</v>
      </c>
      <c r="Z676" t="s">
        <v>13561</v>
      </c>
      <c r="AA676" t="s">
        <v>74</v>
      </c>
      <c r="AB676" t="s">
        <v>74</v>
      </c>
      <c r="AC676" t="s">
        <v>74</v>
      </c>
      <c r="AD676" t="s">
        <v>74</v>
      </c>
      <c r="AE676" t="s">
        <v>74</v>
      </c>
      <c r="AF676" t="s">
        <v>74</v>
      </c>
      <c r="AG676">
        <v>35</v>
      </c>
      <c r="AH676">
        <v>4</v>
      </c>
      <c r="AI676">
        <v>5</v>
      </c>
      <c r="AJ676">
        <v>9</v>
      </c>
      <c r="AK676">
        <v>16</v>
      </c>
      <c r="AL676" t="s">
        <v>13562</v>
      </c>
      <c r="AM676" t="s">
        <v>13563</v>
      </c>
      <c r="AN676" t="s">
        <v>13564</v>
      </c>
      <c r="AO676" t="s">
        <v>13565</v>
      </c>
      <c r="AP676" t="s">
        <v>13566</v>
      </c>
      <c r="AQ676" t="s">
        <v>74</v>
      </c>
      <c r="AR676" t="s">
        <v>13567</v>
      </c>
      <c r="AS676" t="s">
        <v>13568</v>
      </c>
      <c r="AT676" t="s">
        <v>565</v>
      </c>
      <c r="AU676">
        <v>2025</v>
      </c>
      <c r="AV676">
        <v>12</v>
      </c>
      <c r="AW676">
        <v>8</v>
      </c>
      <c r="AX676" t="s">
        <v>74</v>
      </c>
      <c r="AY676" t="s">
        <v>74</v>
      </c>
      <c r="AZ676" t="s">
        <v>74</v>
      </c>
      <c r="BA676" t="s">
        <v>74</v>
      </c>
      <c r="BB676">
        <v>191</v>
      </c>
      <c r="BC676">
        <v>201</v>
      </c>
      <c r="BD676" t="s">
        <v>74</v>
      </c>
      <c r="BE676" t="s">
        <v>13569</v>
      </c>
      <c r="BF676" t="str">
        <f>HYPERLINK("http://dx.doi.org/10.21833/ijaas.2025.08.018","http://dx.doi.org/10.21833/ijaas.2025.08.018")</f>
        <v>http://dx.doi.org/10.21833/ijaas.2025.08.018</v>
      </c>
      <c r="BG676" t="s">
        <v>74</v>
      </c>
      <c r="BH676" t="s">
        <v>74</v>
      </c>
      <c r="BI676">
        <v>11</v>
      </c>
      <c r="BJ676" t="s">
        <v>5861</v>
      </c>
      <c r="BK676" t="s">
        <v>102</v>
      </c>
      <c r="BL676" t="s">
        <v>5862</v>
      </c>
      <c r="BM676" t="s">
        <v>13570</v>
      </c>
      <c r="BN676" t="s">
        <v>74</v>
      </c>
      <c r="BO676" t="s">
        <v>372</v>
      </c>
      <c r="BP676" t="s">
        <v>74</v>
      </c>
      <c r="BQ676" t="s">
        <v>74</v>
      </c>
      <c r="BR676" t="s">
        <v>106</v>
      </c>
      <c r="BS676" t="s">
        <v>13571</v>
      </c>
      <c r="BT676" t="str">
        <f>HYPERLINK("https%3A%2F%2Fwww.webofscience.com%2Fwos%2Fwoscc%2Ffull-record%2FWOS:001554717800018","View Full Record in Web of Science")</f>
        <v>View Full Record in Web of Science</v>
      </c>
    </row>
    <row r="677" spans="1:72" x14ac:dyDescent="0.25">
      <c r="A677" t="s">
        <v>72</v>
      </c>
      <c r="B677" t="s">
        <v>13572</v>
      </c>
      <c r="C677" t="s">
        <v>74</v>
      </c>
      <c r="D677" t="s">
        <v>74</v>
      </c>
      <c r="E677" t="s">
        <v>74</v>
      </c>
      <c r="F677" t="s">
        <v>13573</v>
      </c>
      <c r="G677" t="s">
        <v>74</v>
      </c>
      <c r="H677" t="s">
        <v>74</v>
      </c>
      <c r="I677" t="s">
        <v>13574</v>
      </c>
      <c r="J677" t="s">
        <v>1259</v>
      </c>
      <c r="K677" t="s">
        <v>74</v>
      </c>
      <c r="L677" t="s">
        <v>74</v>
      </c>
      <c r="M677" t="s">
        <v>78</v>
      </c>
      <c r="N677" t="s">
        <v>79</v>
      </c>
      <c r="O677" t="s">
        <v>74</v>
      </c>
      <c r="P677" t="s">
        <v>74</v>
      </c>
      <c r="Q677" t="s">
        <v>74</v>
      </c>
      <c r="R677" t="s">
        <v>74</v>
      </c>
      <c r="S677" t="s">
        <v>74</v>
      </c>
      <c r="T677" t="s">
        <v>13575</v>
      </c>
      <c r="U677" t="s">
        <v>2407</v>
      </c>
      <c r="V677" t="s">
        <v>13576</v>
      </c>
      <c r="W677" t="s">
        <v>13577</v>
      </c>
      <c r="X677" t="s">
        <v>13578</v>
      </c>
      <c r="Y677" t="s">
        <v>13579</v>
      </c>
      <c r="Z677" t="s">
        <v>13580</v>
      </c>
      <c r="AA677" t="s">
        <v>13581</v>
      </c>
      <c r="AB677" t="s">
        <v>13582</v>
      </c>
      <c r="AC677" t="s">
        <v>13583</v>
      </c>
      <c r="AD677" t="s">
        <v>13584</v>
      </c>
      <c r="AE677" t="s">
        <v>13585</v>
      </c>
      <c r="AF677" t="s">
        <v>74</v>
      </c>
      <c r="AG677">
        <v>38</v>
      </c>
      <c r="AH677">
        <v>3</v>
      </c>
      <c r="AI677">
        <v>3</v>
      </c>
      <c r="AJ677">
        <v>0</v>
      </c>
      <c r="AK677">
        <v>8</v>
      </c>
      <c r="AL677" t="s">
        <v>1272</v>
      </c>
      <c r="AM677" t="s">
        <v>1273</v>
      </c>
      <c r="AN677" t="s">
        <v>3098</v>
      </c>
      <c r="AO677" t="s">
        <v>74</v>
      </c>
      <c r="AP677" t="s">
        <v>1275</v>
      </c>
      <c r="AQ677" t="s">
        <v>74</v>
      </c>
      <c r="AR677" t="s">
        <v>1276</v>
      </c>
      <c r="AS677" t="s">
        <v>1277</v>
      </c>
      <c r="AT677" t="s">
        <v>12047</v>
      </c>
      <c r="AU677">
        <v>2019</v>
      </c>
      <c r="AV677">
        <v>19</v>
      </c>
      <c r="AW677">
        <v>20</v>
      </c>
      <c r="AX677" t="s">
        <v>74</v>
      </c>
      <c r="AY677" t="s">
        <v>74</v>
      </c>
      <c r="AZ677" t="s">
        <v>74</v>
      </c>
      <c r="BA677" t="s">
        <v>74</v>
      </c>
      <c r="BB677" t="s">
        <v>74</v>
      </c>
      <c r="BC677" t="s">
        <v>74</v>
      </c>
      <c r="BD677">
        <v>4489</v>
      </c>
      <c r="BE677" t="s">
        <v>13586</v>
      </c>
      <c r="BF677" t="str">
        <f>HYPERLINK("http://dx.doi.org/10.3390/s19204489","http://dx.doi.org/10.3390/s19204489")</f>
        <v>http://dx.doi.org/10.3390/s19204489</v>
      </c>
      <c r="BG677" t="s">
        <v>74</v>
      </c>
      <c r="BH677" t="s">
        <v>74</v>
      </c>
      <c r="BI677">
        <v>20</v>
      </c>
      <c r="BJ677" t="s">
        <v>1280</v>
      </c>
      <c r="BK677" t="s">
        <v>902</v>
      </c>
      <c r="BL677" t="s">
        <v>1281</v>
      </c>
      <c r="BM677" t="s">
        <v>13587</v>
      </c>
      <c r="BN677" t="s">
        <v>74</v>
      </c>
      <c r="BO677" t="s">
        <v>398</v>
      </c>
      <c r="BP677" t="s">
        <v>74</v>
      </c>
      <c r="BQ677" t="s">
        <v>74</v>
      </c>
      <c r="BR677" t="s">
        <v>106</v>
      </c>
      <c r="BS677" t="s">
        <v>13588</v>
      </c>
      <c r="BT677" t="str">
        <f>HYPERLINK("https%3A%2F%2Fwww.webofscience.com%2Fwos%2Fwoscc%2Ffull-record%2FWOS:000497864700137","View Full Record in Web of Science")</f>
        <v>View Full Record in Web of Science</v>
      </c>
    </row>
    <row r="678" spans="1:72" x14ac:dyDescent="0.25">
      <c r="A678" t="s">
        <v>72</v>
      </c>
      <c r="B678" t="s">
        <v>13589</v>
      </c>
      <c r="C678" t="s">
        <v>74</v>
      </c>
      <c r="D678" t="s">
        <v>74</v>
      </c>
      <c r="E678" t="s">
        <v>74</v>
      </c>
      <c r="F678" t="s">
        <v>13590</v>
      </c>
      <c r="G678" t="s">
        <v>74</v>
      </c>
      <c r="H678" t="s">
        <v>74</v>
      </c>
      <c r="I678" t="s">
        <v>13591</v>
      </c>
      <c r="J678" t="s">
        <v>377</v>
      </c>
      <c r="K678" t="s">
        <v>74</v>
      </c>
      <c r="L678" t="s">
        <v>74</v>
      </c>
      <c r="M678" t="s">
        <v>78</v>
      </c>
      <c r="N678" t="s">
        <v>79</v>
      </c>
      <c r="O678" t="s">
        <v>74</v>
      </c>
      <c r="P678" t="s">
        <v>74</v>
      </c>
      <c r="Q678" t="s">
        <v>74</v>
      </c>
      <c r="R678" t="s">
        <v>74</v>
      </c>
      <c r="S678" t="s">
        <v>74</v>
      </c>
      <c r="T678" t="s">
        <v>13592</v>
      </c>
      <c r="U678" t="s">
        <v>13593</v>
      </c>
      <c r="V678" t="s">
        <v>13594</v>
      </c>
      <c r="W678" t="s">
        <v>13595</v>
      </c>
      <c r="X678" t="s">
        <v>8993</v>
      </c>
      <c r="Y678" t="s">
        <v>13596</v>
      </c>
      <c r="Z678" t="s">
        <v>13597</v>
      </c>
      <c r="AA678" t="s">
        <v>74</v>
      </c>
      <c r="AB678" t="s">
        <v>74</v>
      </c>
      <c r="AC678" t="s">
        <v>74</v>
      </c>
      <c r="AD678" t="s">
        <v>74</v>
      </c>
      <c r="AE678" t="s">
        <v>74</v>
      </c>
      <c r="AF678" t="s">
        <v>74</v>
      </c>
      <c r="AG678">
        <v>39</v>
      </c>
      <c r="AH678">
        <v>1</v>
      </c>
      <c r="AI678">
        <v>1</v>
      </c>
      <c r="AJ678">
        <v>1</v>
      </c>
      <c r="AK678">
        <v>2</v>
      </c>
      <c r="AL678" t="s">
        <v>389</v>
      </c>
      <c r="AM678" t="s">
        <v>390</v>
      </c>
      <c r="AN678" t="s">
        <v>391</v>
      </c>
      <c r="AO678" t="s">
        <v>74</v>
      </c>
      <c r="AP678" t="s">
        <v>392</v>
      </c>
      <c r="AQ678" t="s">
        <v>74</v>
      </c>
      <c r="AR678" t="s">
        <v>393</v>
      </c>
      <c r="AS678" t="s">
        <v>394</v>
      </c>
      <c r="AT678" t="s">
        <v>13598</v>
      </c>
      <c r="AU678">
        <v>2026</v>
      </c>
      <c r="AV678">
        <v>10</v>
      </c>
      <c r="AW678" t="s">
        <v>74</v>
      </c>
      <c r="AX678" t="s">
        <v>74</v>
      </c>
      <c r="AY678" t="s">
        <v>74</v>
      </c>
      <c r="AZ678" t="s">
        <v>74</v>
      </c>
      <c r="BA678" t="s">
        <v>74</v>
      </c>
      <c r="BB678" t="s">
        <v>74</v>
      </c>
      <c r="BC678" t="s">
        <v>74</v>
      </c>
      <c r="BD678">
        <v>1683580</v>
      </c>
      <c r="BE678" t="s">
        <v>13599</v>
      </c>
      <c r="BF678" t="str">
        <f>HYPERLINK("http://dx.doi.org/10.3389/feduc.2025.1683580","http://dx.doi.org/10.3389/feduc.2025.1683580")</f>
        <v>http://dx.doi.org/10.3389/feduc.2025.1683580</v>
      </c>
      <c r="BG678" t="s">
        <v>74</v>
      </c>
      <c r="BH678" t="s">
        <v>74</v>
      </c>
      <c r="BI678">
        <v>11</v>
      </c>
      <c r="BJ678" t="s">
        <v>318</v>
      </c>
      <c r="BK678" t="s">
        <v>102</v>
      </c>
      <c r="BL678" t="s">
        <v>318</v>
      </c>
      <c r="BM678" t="s">
        <v>13600</v>
      </c>
      <c r="BN678" t="s">
        <v>74</v>
      </c>
      <c r="BO678" t="s">
        <v>398</v>
      </c>
      <c r="BP678" t="s">
        <v>74</v>
      </c>
      <c r="BQ678" t="s">
        <v>74</v>
      </c>
      <c r="BR678" t="s">
        <v>106</v>
      </c>
      <c r="BS678" t="s">
        <v>13601</v>
      </c>
      <c r="BT678" t="str">
        <f>HYPERLINK("https%3A%2F%2Fwww.webofscience.com%2Fwos%2Fwoscc%2Ffull-record%2FWOS:001672879300001","View Full Record in Web of Science")</f>
        <v>View Full Record in Web of Science</v>
      </c>
    </row>
    <row r="679" spans="1:72" x14ac:dyDescent="0.25">
      <c r="A679" t="s">
        <v>72</v>
      </c>
      <c r="B679" t="s">
        <v>13602</v>
      </c>
      <c r="C679" t="s">
        <v>74</v>
      </c>
      <c r="D679" t="s">
        <v>74</v>
      </c>
      <c r="E679" t="s">
        <v>74</v>
      </c>
      <c r="F679" t="s">
        <v>13602</v>
      </c>
      <c r="G679" t="s">
        <v>74</v>
      </c>
      <c r="H679" t="s">
        <v>74</v>
      </c>
      <c r="I679" t="s">
        <v>13603</v>
      </c>
      <c r="J679" t="s">
        <v>13604</v>
      </c>
      <c r="K679" t="s">
        <v>74</v>
      </c>
      <c r="L679" t="s">
        <v>74</v>
      </c>
      <c r="M679" t="s">
        <v>78</v>
      </c>
      <c r="N679" t="s">
        <v>79</v>
      </c>
      <c r="O679" t="s">
        <v>74</v>
      </c>
      <c r="P679" t="s">
        <v>74</v>
      </c>
      <c r="Q679" t="s">
        <v>74</v>
      </c>
      <c r="R679" t="s">
        <v>74</v>
      </c>
      <c r="S679" t="s">
        <v>74</v>
      </c>
      <c r="T679" t="s">
        <v>74</v>
      </c>
      <c r="U679" t="s">
        <v>13605</v>
      </c>
      <c r="V679" t="s">
        <v>13606</v>
      </c>
      <c r="W679" t="s">
        <v>13607</v>
      </c>
      <c r="X679" t="s">
        <v>13608</v>
      </c>
      <c r="Y679" t="s">
        <v>74</v>
      </c>
      <c r="Z679" t="s">
        <v>74</v>
      </c>
      <c r="AA679" t="s">
        <v>74</v>
      </c>
      <c r="AB679" t="s">
        <v>74</v>
      </c>
      <c r="AC679" t="s">
        <v>74</v>
      </c>
      <c r="AD679" t="s">
        <v>74</v>
      </c>
      <c r="AE679" t="s">
        <v>74</v>
      </c>
      <c r="AF679" t="s">
        <v>74</v>
      </c>
      <c r="AG679">
        <v>11</v>
      </c>
      <c r="AH679">
        <v>4</v>
      </c>
      <c r="AI679">
        <v>4</v>
      </c>
      <c r="AJ679">
        <v>0</v>
      </c>
      <c r="AK679">
        <v>1</v>
      </c>
      <c r="AL679" t="s">
        <v>13609</v>
      </c>
      <c r="AM679" t="s">
        <v>4550</v>
      </c>
      <c r="AN679" t="s">
        <v>13610</v>
      </c>
      <c r="AO679" t="s">
        <v>13611</v>
      </c>
      <c r="AP679" t="s">
        <v>74</v>
      </c>
      <c r="AQ679" t="s">
        <v>74</v>
      </c>
      <c r="AR679" t="s">
        <v>13612</v>
      </c>
      <c r="AS679" t="s">
        <v>13613</v>
      </c>
      <c r="AT679" t="s">
        <v>1950</v>
      </c>
      <c r="AU679">
        <v>1996</v>
      </c>
      <c r="AV679">
        <v>48</v>
      </c>
      <c r="AW679">
        <v>1</v>
      </c>
      <c r="AX679" t="s">
        <v>74</v>
      </c>
      <c r="AY679" t="s">
        <v>74</v>
      </c>
      <c r="AZ679" t="s">
        <v>74</v>
      </c>
      <c r="BA679" t="s">
        <v>74</v>
      </c>
      <c r="BB679">
        <v>53</v>
      </c>
      <c r="BC679">
        <v>58</v>
      </c>
      <c r="BD679" t="s">
        <v>74</v>
      </c>
      <c r="BE679" t="s">
        <v>13614</v>
      </c>
      <c r="BF679" t="str">
        <f>HYPERLINK("http://dx.doi.org/10.1006/jvbe.1996.0004","http://dx.doi.org/10.1006/jvbe.1996.0004")</f>
        <v>http://dx.doi.org/10.1006/jvbe.1996.0004</v>
      </c>
      <c r="BG679" t="s">
        <v>74</v>
      </c>
      <c r="BH679" t="s">
        <v>74</v>
      </c>
      <c r="BI679">
        <v>6</v>
      </c>
      <c r="BJ679" t="s">
        <v>10400</v>
      </c>
      <c r="BK679" t="s">
        <v>250</v>
      </c>
      <c r="BL679" t="s">
        <v>251</v>
      </c>
      <c r="BM679" t="s">
        <v>13615</v>
      </c>
      <c r="BN679" t="s">
        <v>74</v>
      </c>
      <c r="BO679" t="s">
        <v>74</v>
      </c>
      <c r="BP679" t="s">
        <v>74</v>
      </c>
      <c r="BQ679" t="s">
        <v>74</v>
      </c>
      <c r="BR679" t="s">
        <v>106</v>
      </c>
      <c r="BS679" t="s">
        <v>13616</v>
      </c>
      <c r="BT679" t="str">
        <f>HYPERLINK("https%3A%2F%2Fwww.webofscience.com%2Fwos%2Fwoscc%2Ffull-record%2FWOS:A1996TU65800004","View Full Record in Web of Science")</f>
        <v>View Full Record in Web of Science</v>
      </c>
    </row>
    <row r="680" spans="1:72" x14ac:dyDescent="0.25">
      <c r="A680" t="s">
        <v>72</v>
      </c>
      <c r="B680" t="s">
        <v>13617</v>
      </c>
      <c r="C680" t="s">
        <v>74</v>
      </c>
      <c r="D680" t="s">
        <v>74</v>
      </c>
      <c r="E680" t="s">
        <v>74</v>
      </c>
      <c r="F680" t="s">
        <v>13618</v>
      </c>
      <c r="G680" t="s">
        <v>74</v>
      </c>
      <c r="H680" t="s">
        <v>74</v>
      </c>
      <c r="I680" t="s">
        <v>13619</v>
      </c>
      <c r="J680" t="s">
        <v>7583</v>
      </c>
      <c r="K680" t="s">
        <v>74</v>
      </c>
      <c r="L680" t="s">
        <v>74</v>
      </c>
      <c r="M680" t="s">
        <v>78</v>
      </c>
      <c r="N680" t="s">
        <v>79</v>
      </c>
      <c r="O680" t="s">
        <v>74</v>
      </c>
      <c r="P680" t="s">
        <v>74</v>
      </c>
      <c r="Q680" t="s">
        <v>74</v>
      </c>
      <c r="R680" t="s">
        <v>74</v>
      </c>
      <c r="S680" t="s">
        <v>74</v>
      </c>
      <c r="T680" t="s">
        <v>13620</v>
      </c>
      <c r="U680" t="s">
        <v>13621</v>
      </c>
      <c r="V680" t="s">
        <v>13622</v>
      </c>
      <c r="W680" t="s">
        <v>13623</v>
      </c>
      <c r="X680" t="s">
        <v>13624</v>
      </c>
      <c r="Y680" t="s">
        <v>13625</v>
      </c>
      <c r="Z680" t="s">
        <v>13626</v>
      </c>
      <c r="AA680" t="s">
        <v>13627</v>
      </c>
      <c r="AB680" t="s">
        <v>13628</v>
      </c>
      <c r="AC680" t="s">
        <v>13629</v>
      </c>
      <c r="AD680" t="s">
        <v>13630</v>
      </c>
      <c r="AE680" t="s">
        <v>13631</v>
      </c>
      <c r="AF680" t="s">
        <v>74</v>
      </c>
      <c r="AG680">
        <v>45</v>
      </c>
      <c r="AH680">
        <v>65</v>
      </c>
      <c r="AI680">
        <v>72</v>
      </c>
      <c r="AJ680">
        <v>0</v>
      </c>
      <c r="AK680">
        <v>96</v>
      </c>
      <c r="AL680" t="s">
        <v>178</v>
      </c>
      <c r="AM680" t="s">
        <v>92</v>
      </c>
      <c r="AN680" t="s">
        <v>179</v>
      </c>
      <c r="AO680" t="s">
        <v>7598</v>
      </c>
      <c r="AP680" t="s">
        <v>7599</v>
      </c>
      <c r="AQ680" t="s">
        <v>74</v>
      </c>
      <c r="AR680" t="s">
        <v>7600</v>
      </c>
      <c r="AS680" t="s">
        <v>7601</v>
      </c>
      <c r="AT680" t="s">
        <v>1375</v>
      </c>
      <c r="AU680">
        <v>2019</v>
      </c>
      <c r="AV680">
        <v>24</v>
      </c>
      <c r="AW680">
        <v>3</v>
      </c>
      <c r="AX680" t="s">
        <v>74</v>
      </c>
      <c r="AY680" t="s">
        <v>74</v>
      </c>
      <c r="AZ680" t="s">
        <v>247</v>
      </c>
      <c r="BA680" t="s">
        <v>74</v>
      </c>
      <c r="BB680">
        <v>1018</v>
      </c>
      <c r="BC680">
        <v>1033</v>
      </c>
      <c r="BD680" t="s">
        <v>74</v>
      </c>
      <c r="BE680" t="s">
        <v>13632</v>
      </c>
      <c r="BF680" t="str">
        <f>HYPERLINK("http://dx.doi.org/10.1007/s11036-018-1059-2","http://dx.doi.org/10.1007/s11036-018-1059-2")</f>
        <v>http://dx.doi.org/10.1007/s11036-018-1059-2</v>
      </c>
      <c r="BG680" t="s">
        <v>74</v>
      </c>
      <c r="BH680" t="s">
        <v>74</v>
      </c>
      <c r="BI680">
        <v>16</v>
      </c>
      <c r="BJ680" t="s">
        <v>7603</v>
      </c>
      <c r="BK680" t="s">
        <v>902</v>
      </c>
      <c r="BL680" t="s">
        <v>2422</v>
      </c>
      <c r="BM680" t="s">
        <v>13633</v>
      </c>
      <c r="BN680" t="s">
        <v>74</v>
      </c>
      <c r="BO680" t="s">
        <v>74</v>
      </c>
      <c r="BP680" t="s">
        <v>74</v>
      </c>
      <c r="BQ680" t="s">
        <v>74</v>
      </c>
      <c r="BR680" t="s">
        <v>106</v>
      </c>
      <c r="BS680" t="s">
        <v>13634</v>
      </c>
      <c r="BT680" t="str">
        <f>HYPERLINK("https%3A%2F%2Fwww.webofscience.com%2Fwos%2Fwoscc%2Ffull-record%2FWOS:000469238500026","View Full Record in Web of Science")</f>
        <v>View Full Record in Web of Science</v>
      </c>
    </row>
    <row r="681" spans="1:72" x14ac:dyDescent="0.25">
      <c r="A681" t="s">
        <v>72</v>
      </c>
      <c r="B681" t="s">
        <v>13635</v>
      </c>
      <c r="C681" t="s">
        <v>74</v>
      </c>
      <c r="D681" t="s">
        <v>74</v>
      </c>
      <c r="E681" t="s">
        <v>74</v>
      </c>
      <c r="F681" t="s">
        <v>13636</v>
      </c>
      <c r="G681" t="s">
        <v>74</v>
      </c>
      <c r="H681" t="s">
        <v>74</v>
      </c>
      <c r="I681" t="s">
        <v>13637</v>
      </c>
      <c r="J681" t="s">
        <v>7278</v>
      </c>
      <c r="K681" t="s">
        <v>74</v>
      </c>
      <c r="L681" t="s">
        <v>74</v>
      </c>
      <c r="M681" t="s">
        <v>78</v>
      </c>
      <c r="N681" t="s">
        <v>79</v>
      </c>
      <c r="O681" t="s">
        <v>74</v>
      </c>
      <c r="P681" t="s">
        <v>74</v>
      </c>
      <c r="Q681" t="s">
        <v>74</v>
      </c>
      <c r="R681" t="s">
        <v>74</v>
      </c>
      <c r="S681" t="s">
        <v>74</v>
      </c>
      <c r="T681" t="s">
        <v>13638</v>
      </c>
      <c r="U681" t="s">
        <v>74</v>
      </c>
      <c r="V681" t="s">
        <v>13639</v>
      </c>
      <c r="W681" t="s">
        <v>13640</v>
      </c>
      <c r="X681" t="s">
        <v>13641</v>
      </c>
      <c r="Y681" t="s">
        <v>13642</v>
      </c>
      <c r="Z681" t="s">
        <v>13643</v>
      </c>
      <c r="AA681" t="s">
        <v>13644</v>
      </c>
      <c r="AB681" t="s">
        <v>13645</v>
      </c>
      <c r="AC681" t="s">
        <v>13646</v>
      </c>
      <c r="AD681" t="s">
        <v>13647</v>
      </c>
      <c r="AE681" t="s">
        <v>13648</v>
      </c>
      <c r="AF681" t="s">
        <v>74</v>
      </c>
      <c r="AG681">
        <v>43</v>
      </c>
      <c r="AH681">
        <v>57</v>
      </c>
      <c r="AI681">
        <v>65</v>
      </c>
      <c r="AJ681">
        <v>1</v>
      </c>
      <c r="AK681">
        <v>29</v>
      </c>
      <c r="AL681" t="s">
        <v>895</v>
      </c>
      <c r="AM681" t="s">
        <v>896</v>
      </c>
      <c r="AN681" t="s">
        <v>897</v>
      </c>
      <c r="AO681" t="s">
        <v>7291</v>
      </c>
      <c r="AP681" t="s">
        <v>7292</v>
      </c>
      <c r="AQ681" t="s">
        <v>74</v>
      </c>
      <c r="AR681" t="s">
        <v>7293</v>
      </c>
      <c r="AS681" t="s">
        <v>7294</v>
      </c>
      <c r="AT681" t="s">
        <v>1166</v>
      </c>
      <c r="AU681">
        <v>2015</v>
      </c>
      <c r="AV681">
        <v>17</v>
      </c>
      <c r="AW681">
        <v>7</v>
      </c>
      <c r="AX681" t="s">
        <v>74</v>
      </c>
      <c r="AY681" t="s">
        <v>74</v>
      </c>
      <c r="AZ681" t="s">
        <v>74</v>
      </c>
      <c r="BA681" t="s">
        <v>74</v>
      </c>
      <c r="BB681">
        <v>1031</v>
      </c>
      <c r="BC681">
        <v>1044</v>
      </c>
      <c r="BD681" t="s">
        <v>74</v>
      </c>
      <c r="BE681" t="s">
        <v>13649</v>
      </c>
      <c r="BF681" t="str">
        <f>HYPERLINK("http://dx.doi.org/10.1109/TMM.2015.2430819","http://dx.doi.org/10.1109/TMM.2015.2430819")</f>
        <v>http://dx.doi.org/10.1109/TMM.2015.2430819</v>
      </c>
      <c r="BG681" t="s">
        <v>74</v>
      </c>
      <c r="BH681" t="s">
        <v>74</v>
      </c>
      <c r="BI681">
        <v>14</v>
      </c>
      <c r="BJ681" t="s">
        <v>7296</v>
      </c>
      <c r="BK681" t="s">
        <v>902</v>
      </c>
      <c r="BL681" t="s">
        <v>2422</v>
      </c>
      <c r="BM681" t="s">
        <v>13650</v>
      </c>
      <c r="BN681" t="s">
        <v>74</v>
      </c>
      <c r="BO681" t="s">
        <v>74</v>
      </c>
      <c r="BP681" t="s">
        <v>74</v>
      </c>
      <c r="BQ681" t="s">
        <v>74</v>
      </c>
      <c r="BR681" t="s">
        <v>106</v>
      </c>
      <c r="BS681" t="s">
        <v>13651</v>
      </c>
      <c r="BT681" t="str">
        <f>HYPERLINK("https%3A%2F%2Fwww.webofscience.com%2Fwos%2Fwoscc%2Ffull-record%2FWOS:000356522300010","View Full Record in Web of Science")</f>
        <v>View Full Record in Web of Science</v>
      </c>
    </row>
    <row r="682" spans="1:72" x14ac:dyDescent="0.25">
      <c r="A682" t="s">
        <v>108</v>
      </c>
      <c r="B682" t="s">
        <v>13652</v>
      </c>
      <c r="C682" t="s">
        <v>74</v>
      </c>
      <c r="D682" t="s">
        <v>74</v>
      </c>
      <c r="E682" t="s">
        <v>322</v>
      </c>
      <c r="F682" t="s">
        <v>13653</v>
      </c>
      <c r="G682" t="s">
        <v>74</v>
      </c>
      <c r="H682" t="s">
        <v>74</v>
      </c>
      <c r="I682" t="s">
        <v>13654</v>
      </c>
      <c r="J682" t="s">
        <v>13655</v>
      </c>
      <c r="K682" t="s">
        <v>74</v>
      </c>
      <c r="L682" t="s">
        <v>74</v>
      </c>
      <c r="M682" t="s">
        <v>78</v>
      </c>
      <c r="N682" t="s">
        <v>115</v>
      </c>
      <c r="O682" t="s">
        <v>13656</v>
      </c>
      <c r="P682" t="s">
        <v>13657</v>
      </c>
      <c r="Q682" t="s">
        <v>13658</v>
      </c>
      <c r="R682" t="s">
        <v>13659</v>
      </c>
      <c r="S682" t="s">
        <v>74</v>
      </c>
      <c r="T682" t="s">
        <v>13660</v>
      </c>
      <c r="U682" t="s">
        <v>74</v>
      </c>
      <c r="V682" t="s">
        <v>13661</v>
      </c>
      <c r="W682" t="s">
        <v>13662</v>
      </c>
      <c r="X682" t="s">
        <v>8113</v>
      </c>
      <c r="Y682" t="s">
        <v>13663</v>
      </c>
      <c r="Z682" t="s">
        <v>13664</v>
      </c>
      <c r="AA682" t="s">
        <v>13665</v>
      </c>
      <c r="AB682" t="s">
        <v>13666</v>
      </c>
      <c r="AC682" t="s">
        <v>13667</v>
      </c>
      <c r="AD682" t="s">
        <v>13668</v>
      </c>
      <c r="AE682" t="s">
        <v>13669</v>
      </c>
      <c r="AF682" t="s">
        <v>74</v>
      </c>
      <c r="AG682">
        <v>40</v>
      </c>
      <c r="AH682">
        <v>19</v>
      </c>
      <c r="AI682">
        <v>22</v>
      </c>
      <c r="AJ682">
        <v>0</v>
      </c>
      <c r="AK682">
        <v>12</v>
      </c>
      <c r="AL682" t="s">
        <v>291</v>
      </c>
      <c r="AM682" t="s">
        <v>92</v>
      </c>
      <c r="AN682" t="s">
        <v>292</v>
      </c>
      <c r="AO682" t="s">
        <v>74</v>
      </c>
      <c r="AP682" t="s">
        <v>74</v>
      </c>
      <c r="AQ682" t="s">
        <v>13670</v>
      </c>
      <c r="AR682" t="s">
        <v>74</v>
      </c>
      <c r="AS682" t="s">
        <v>74</v>
      </c>
      <c r="AT682" t="s">
        <v>74</v>
      </c>
      <c r="AU682">
        <v>2017</v>
      </c>
      <c r="AV682" t="s">
        <v>74</v>
      </c>
      <c r="AW682" t="s">
        <v>74</v>
      </c>
      <c r="AX682" t="s">
        <v>74</v>
      </c>
      <c r="AY682" t="s">
        <v>74</v>
      </c>
      <c r="AZ682" t="s">
        <v>74</v>
      </c>
      <c r="BA682" t="s">
        <v>74</v>
      </c>
      <c r="BB682">
        <v>71</v>
      </c>
      <c r="BC682">
        <v>79</v>
      </c>
      <c r="BD682" t="s">
        <v>74</v>
      </c>
      <c r="BE682" t="s">
        <v>13671</v>
      </c>
      <c r="BF682" t="str">
        <f>HYPERLINK("http://dx.doi.org/10.1145/3018661.3018693","http://dx.doi.org/10.1145/3018661.3018693")</f>
        <v>http://dx.doi.org/10.1145/3018661.3018693</v>
      </c>
      <c r="BG682" t="s">
        <v>74</v>
      </c>
      <c r="BH682" t="s">
        <v>74</v>
      </c>
      <c r="BI682">
        <v>9</v>
      </c>
      <c r="BJ682" t="s">
        <v>13672</v>
      </c>
      <c r="BK682" t="s">
        <v>203</v>
      </c>
      <c r="BL682" t="s">
        <v>103</v>
      </c>
      <c r="BM682" t="s">
        <v>13673</v>
      </c>
      <c r="BN682" t="s">
        <v>74</v>
      </c>
      <c r="BO682" t="s">
        <v>74</v>
      </c>
      <c r="BP682" t="s">
        <v>74</v>
      </c>
      <c r="BQ682" t="s">
        <v>74</v>
      </c>
      <c r="BR682" t="s">
        <v>106</v>
      </c>
      <c r="BS682" t="s">
        <v>13674</v>
      </c>
      <c r="BT682" t="str">
        <f>HYPERLINK("https%3A%2F%2Fwww.webofscience.com%2Fwos%2Fwoscc%2Ffull-record%2FWOS:000455803400009","View Full Record in Web of Science")</f>
        <v>View Full Record in Web of Science</v>
      </c>
    </row>
    <row r="683" spans="1:72" x14ac:dyDescent="0.25">
      <c r="A683" t="s">
        <v>108</v>
      </c>
      <c r="B683" t="s">
        <v>13675</v>
      </c>
      <c r="C683" t="s">
        <v>74</v>
      </c>
      <c r="D683" t="s">
        <v>13676</v>
      </c>
      <c r="E683" t="s">
        <v>74</v>
      </c>
      <c r="F683" t="s">
        <v>13677</v>
      </c>
      <c r="G683" t="s">
        <v>74</v>
      </c>
      <c r="H683" t="s">
        <v>74</v>
      </c>
      <c r="I683" t="s">
        <v>13678</v>
      </c>
      <c r="J683" t="s">
        <v>13679</v>
      </c>
      <c r="K683" t="s">
        <v>114</v>
      </c>
      <c r="L683" t="s">
        <v>74</v>
      </c>
      <c r="M683" t="s">
        <v>78</v>
      </c>
      <c r="N683" t="s">
        <v>115</v>
      </c>
      <c r="O683" t="s">
        <v>13680</v>
      </c>
      <c r="P683" t="s">
        <v>13681</v>
      </c>
      <c r="Q683" t="s">
        <v>450</v>
      </c>
      <c r="R683" t="s">
        <v>74</v>
      </c>
      <c r="S683" t="s">
        <v>74</v>
      </c>
      <c r="T683" t="s">
        <v>13682</v>
      </c>
      <c r="U683" t="s">
        <v>74</v>
      </c>
      <c r="V683" t="s">
        <v>13683</v>
      </c>
      <c r="W683" t="s">
        <v>13684</v>
      </c>
      <c r="X683" t="s">
        <v>13685</v>
      </c>
      <c r="Y683" t="s">
        <v>13686</v>
      </c>
      <c r="Z683" t="s">
        <v>13687</v>
      </c>
      <c r="AA683" t="s">
        <v>13688</v>
      </c>
      <c r="AB683" t="s">
        <v>13689</v>
      </c>
      <c r="AC683" t="s">
        <v>13690</v>
      </c>
      <c r="AD683" t="s">
        <v>13691</v>
      </c>
      <c r="AE683" t="s">
        <v>13692</v>
      </c>
      <c r="AF683" t="s">
        <v>74</v>
      </c>
      <c r="AG683">
        <v>20</v>
      </c>
      <c r="AH683">
        <v>2</v>
      </c>
      <c r="AI683">
        <v>2</v>
      </c>
      <c r="AJ683">
        <v>0</v>
      </c>
      <c r="AK683">
        <v>5</v>
      </c>
      <c r="AL683" t="s">
        <v>129</v>
      </c>
      <c r="AM683" t="s">
        <v>130</v>
      </c>
      <c r="AN683" t="s">
        <v>131</v>
      </c>
      <c r="AO683" t="s">
        <v>159</v>
      </c>
      <c r="AP683" t="s">
        <v>133</v>
      </c>
      <c r="AQ683" t="s">
        <v>13693</v>
      </c>
      <c r="AR683" t="s">
        <v>135</v>
      </c>
      <c r="AS683" t="s">
        <v>74</v>
      </c>
      <c r="AT683" t="s">
        <v>74</v>
      </c>
      <c r="AU683">
        <v>2017</v>
      </c>
      <c r="AV683">
        <v>10604</v>
      </c>
      <c r="AW683" t="s">
        <v>74</v>
      </c>
      <c r="AX683" t="s">
        <v>74</v>
      </c>
      <c r="AY683" t="s">
        <v>74</v>
      </c>
      <c r="AZ683" t="s">
        <v>74</v>
      </c>
      <c r="BA683" t="s">
        <v>74</v>
      </c>
      <c r="BB683">
        <v>119</v>
      </c>
      <c r="BC683">
        <v>131</v>
      </c>
      <c r="BD683" t="s">
        <v>74</v>
      </c>
      <c r="BE683" t="s">
        <v>13694</v>
      </c>
      <c r="BF683" t="str">
        <f>HYPERLINK("http://dx.doi.org/10.1007/978-3-319-69179-4_9","http://dx.doi.org/10.1007/978-3-319-69179-4_9")</f>
        <v>http://dx.doi.org/10.1007/978-3-319-69179-4_9</v>
      </c>
      <c r="BG683" t="s">
        <v>74</v>
      </c>
      <c r="BH683" t="s">
        <v>74</v>
      </c>
      <c r="BI683">
        <v>13</v>
      </c>
      <c r="BJ683" t="s">
        <v>461</v>
      </c>
      <c r="BK683" t="s">
        <v>203</v>
      </c>
      <c r="BL683" t="s">
        <v>103</v>
      </c>
      <c r="BM683" t="s">
        <v>13695</v>
      </c>
      <c r="BN683" t="s">
        <v>74</v>
      </c>
      <c r="BO683" t="s">
        <v>346</v>
      </c>
      <c r="BP683" t="s">
        <v>74</v>
      </c>
      <c r="BQ683" t="s">
        <v>74</v>
      </c>
      <c r="BR683" t="s">
        <v>106</v>
      </c>
      <c r="BS683" t="s">
        <v>13696</v>
      </c>
      <c r="BT683" t="str">
        <f>HYPERLINK("https%3A%2F%2Fwww.webofscience.com%2Fwos%2Fwoscc%2Ffull-record%2FWOS:000449973300009","View Full Record in Web of Science")</f>
        <v>View Full Record in Web of Science</v>
      </c>
    </row>
    <row r="684" spans="1:72" x14ac:dyDescent="0.25">
      <c r="A684" t="s">
        <v>108</v>
      </c>
      <c r="B684" t="s">
        <v>13697</v>
      </c>
      <c r="C684" t="s">
        <v>74</v>
      </c>
      <c r="D684" t="s">
        <v>74</v>
      </c>
      <c r="E684" t="s">
        <v>13285</v>
      </c>
      <c r="F684" t="s">
        <v>13698</v>
      </c>
      <c r="G684" t="s">
        <v>74</v>
      </c>
      <c r="H684" t="s">
        <v>74</v>
      </c>
      <c r="I684" t="s">
        <v>13699</v>
      </c>
      <c r="J684" t="s">
        <v>13700</v>
      </c>
      <c r="K684" t="s">
        <v>13701</v>
      </c>
      <c r="L684" t="s">
        <v>74</v>
      </c>
      <c r="M684" t="s">
        <v>78</v>
      </c>
      <c r="N684" t="s">
        <v>115</v>
      </c>
      <c r="O684" t="s">
        <v>13702</v>
      </c>
      <c r="P684" t="s">
        <v>13703</v>
      </c>
      <c r="Q684" t="s">
        <v>8090</v>
      </c>
      <c r="R684" t="s">
        <v>74</v>
      </c>
      <c r="S684" t="s">
        <v>74</v>
      </c>
      <c r="T684" t="s">
        <v>13704</v>
      </c>
      <c r="U684" t="s">
        <v>74</v>
      </c>
      <c r="V684" t="s">
        <v>13705</v>
      </c>
      <c r="W684" t="s">
        <v>13706</v>
      </c>
      <c r="X684" t="s">
        <v>10759</v>
      </c>
      <c r="Y684" t="s">
        <v>13707</v>
      </c>
      <c r="Z684" t="s">
        <v>13708</v>
      </c>
      <c r="AA684" t="s">
        <v>74</v>
      </c>
      <c r="AB684" t="s">
        <v>74</v>
      </c>
      <c r="AC684" t="s">
        <v>74</v>
      </c>
      <c r="AD684" t="s">
        <v>74</v>
      </c>
      <c r="AE684" t="s">
        <v>74</v>
      </c>
      <c r="AF684" t="s">
        <v>74</v>
      </c>
      <c r="AG684">
        <v>16</v>
      </c>
      <c r="AH684">
        <v>2</v>
      </c>
      <c r="AI684">
        <v>4</v>
      </c>
      <c r="AJ684">
        <v>0</v>
      </c>
      <c r="AK684">
        <v>0</v>
      </c>
      <c r="AL684" t="s">
        <v>2605</v>
      </c>
      <c r="AM684" t="s">
        <v>2606</v>
      </c>
      <c r="AN684" t="s">
        <v>2607</v>
      </c>
      <c r="AO684" t="s">
        <v>6960</v>
      </c>
      <c r="AP684" t="s">
        <v>74</v>
      </c>
      <c r="AQ684" t="s">
        <v>13709</v>
      </c>
      <c r="AR684" t="s">
        <v>6962</v>
      </c>
      <c r="AS684" t="s">
        <v>74</v>
      </c>
      <c r="AT684" t="s">
        <v>74</v>
      </c>
      <c r="AU684">
        <v>2016</v>
      </c>
      <c r="AV684">
        <v>52</v>
      </c>
      <c r="AW684" t="s">
        <v>74</v>
      </c>
      <c r="AX684" t="s">
        <v>74</v>
      </c>
      <c r="AY684" t="s">
        <v>74</v>
      </c>
      <c r="AZ684" t="s">
        <v>74</v>
      </c>
      <c r="BA684" t="s">
        <v>74</v>
      </c>
      <c r="BB684">
        <v>137</v>
      </c>
      <c r="BC684">
        <v>143</v>
      </c>
      <c r="BD684" t="s">
        <v>74</v>
      </c>
      <c r="BE684" t="s">
        <v>74</v>
      </c>
      <c r="BF684" t="s">
        <v>74</v>
      </c>
      <c r="BG684" t="s">
        <v>74</v>
      </c>
      <c r="BH684" t="s">
        <v>74</v>
      </c>
      <c r="BI684">
        <v>7</v>
      </c>
      <c r="BJ684" t="s">
        <v>13710</v>
      </c>
      <c r="BK684" t="s">
        <v>203</v>
      </c>
      <c r="BL684" t="s">
        <v>953</v>
      </c>
      <c r="BM684" t="s">
        <v>13711</v>
      </c>
      <c r="BN684" t="s">
        <v>74</v>
      </c>
      <c r="BO684" t="s">
        <v>74</v>
      </c>
      <c r="BP684" t="s">
        <v>74</v>
      </c>
      <c r="BQ684" t="s">
        <v>74</v>
      </c>
      <c r="BR684" t="s">
        <v>106</v>
      </c>
      <c r="BS684" t="s">
        <v>13712</v>
      </c>
      <c r="BT684" t="str">
        <f>HYPERLINK("https%3A%2F%2Fwww.webofscience.com%2Fwos%2Fwoscc%2Ffull-record%2FWOS:000391704500027","View Full Record in Web of Science")</f>
        <v>View Full Record in Web of Science</v>
      </c>
    </row>
    <row r="685" spans="1:72" x14ac:dyDescent="0.25">
      <c r="A685" t="s">
        <v>72</v>
      </c>
      <c r="B685" t="s">
        <v>13713</v>
      </c>
      <c r="C685" t="s">
        <v>74</v>
      </c>
      <c r="D685" t="s">
        <v>74</v>
      </c>
      <c r="E685" t="s">
        <v>74</v>
      </c>
      <c r="F685" t="s">
        <v>13714</v>
      </c>
      <c r="G685" t="s">
        <v>74</v>
      </c>
      <c r="H685" t="s">
        <v>74</v>
      </c>
      <c r="I685" t="s">
        <v>13715</v>
      </c>
      <c r="J685" t="s">
        <v>13716</v>
      </c>
      <c r="K685" t="s">
        <v>74</v>
      </c>
      <c r="L685" t="s">
        <v>74</v>
      </c>
      <c r="M685" t="s">
        <v>78</v>
      </c>
      <c r="N685" t="s">
        <v>79</v>
      </c>
      <c r="O685" t="s">
        <v>74</v>
      </c>
      <c r="P685" t="s">
        <v>74</v>
      </c>
      <c r="Q685" t="s">
        <v>74</v>
      </c>
      <c r="R685" t="s">
        <v>74</v>
      </c>
      <c r="S685" t="s">
        <v>74</v>
      </c>
      <c r="T685" t="s">
        <v>13717</v>
      </c>
      <c r="U685" t="s">
        <v>13718</v>
      </c>
      <c r="V685" t="s">
        <v>13719</v>
      </c>
      <c r="W685" t="s">
        <v>13720</v>
      </c>
      <c r="X685" t="s">
        <v>13721</v>
      </c>
      <c r="Y685" t="s">
        <v>13722</v>
      </c>
      <c r="Z685" t="s">
        <v>13723</v>
      </c>
      <c r="AA685" t="s">
        <v>74</v>
      </c>
      <c r="AB685" t="s">
        <v>13724</v>
      </c>
      <c r="AC685" t="s">
        <v>13725</v>
      </c>
      <c r="AD685" t="s">
        <v>13726</v>
      </c>
      <c r="AE685" t="s">
        <v>13727</v>
      </c>
      <c r="AF685" t="s">
        <v>74</v>
      </c>
      <c r="AG685">
        <v>64</v>
      </c>
      <c r="AH685">
        <v>10</v>
      </c>
      <c r="AI685">
        <v>11</v>
      </c>
      <c r="AJ685">
        <v>1</v>
      </c>
      <c r="AK685">
        <v>93</v>
      </c>
      <c r="AL685" t="s">
        <v>362</v>
      </c>
      <c r="AM685" t="s">
        <v>363</v>
      </c>
      <c r="AN685" t="s">
        <v>364</v>
      </c>
      <c r="AO685" t="s">
        <v>13728</v>
      </c>
      <c r="AP685" t="s">
        <v>13729</v>
      </c>
      <c r="AQ685" t="s">
        <v>74</v>
      </c>
      <c r="AR685" t="s">
        <v>13730</v>
      </c>
      <c r="AS685" t="s">
        <v>13731</v>
      </c>
      <c r="AT685" t="s">
        <v>1166</v>
      </c>
      <c r="AU685">
        <v>2023</v>
      </c>
      <c r="AV685">
        <v>96</v>
      </c>
      <c r="AW685" t="s">
        <v>74</v>
      </c>
      <c r="AX685" t="s">
        <v>74</v>
      </c>
      <c r="AY685" t="s">
        <v>74</v>
      </c>
      <c r="AZ685" t="s">
        <v>74</v>
      </c>
      <c r="BA685" t="s">
        <v>74</v>
      </c>
      <c r="BB685" t="s">
        <v>74</v>
      </c>
      <c r="BC685" t="s">
        <v>74</v>
      </c>
      <c r="BD685">
        <v>103477</v>
      </c>
      <c r="BE685" t="s">
        <v>13732</v>
      </c>
      <c r="BF685" t="str">
        <f>HYPERLINK("http://dx.doi.org/10.1016/j.ergon.2023.103477","http://dx.doi.org/10.1016/j.ergon.2023.103477")</f>
        <v>http://dx.doi.org/10.1016/j.ergon.2023.103477</v>
      </c>
      <c r="BG685" t="s">
        <v>74</v>
      </c>
      <c r="BH685" t="s">
        <v>13733</v>
      </c>
      <c r="BI685">
        <v>10</v>
      </c>
      <c r="BJ685" t="s">
        <v>13734</v>
      </c>
      <c r="BK685" t="s">
        <v>745</v>
      </c>
      <c r="BL685" t="s">
        <v>1737</v>
      </c>
      <c r="BM685" t="s">
        <v>13735</v>
      </c>
      <c r="BN685" t="s">
        <v>74</v>
      </c>
      <c r="BO685" t="s">
        <v>74</v>
      </c>
      <c r="BP685" t="s">
        <v>74</v>
      </c>
      <c r="BQ685" t="s">
        <v>74</v>
      </c>
      <c r="BR685" t="s">
        <v>106</v>
      </c>
      <c r="BS685" t="s">
        <v>13736</v>
      </c>
      <c r="BT685" t="str">
        <f>HYPERLINK("https%3A%2F%2Fwww.webofscience.com%2Fwos%2Fwoscc%2Ffull-record%2FWOS:001024393300001","View Full Record in Web of Science")</f>
        <v>View Full Record in Web of Science</v>
      </c>
    </row>
    <row r="686" spans="1:72" x14ac:dyDescent="0.25">
      <c r="A686" t="s">
        <v>72</v>
      </c>
      <c r="B686" t="s">
        <v>13737</v>
      </c>
      <c r="C686" t="s">
        <v>74</v>
      </c>
      <c r="D686" t="s">
        <v>74</v>
      </c>
      <c r="E686" t="s">
        <v>74</v>
      </c>
      <c r="F686" t="s">
        <v>13738</v>
      </c>
      <c r="G686" t="s">
        <v>74</v>
      </c>
      <c r="H686" t="s">
        <v>74</v>
      </c>
      <c r="I686" t="s">
        <v>13739</v>
      </c>
      <c r="J686" t="s">
        <v>13740</v>
      </c>
      <c r="K686" t="s">
        <v>74</v>
      </c>
      <c r="L686" t="s">
        <v>74</v>
      </c>
      <c r="M686" t="s">
        <v>78</v>
      </c>
      <c r="N686" t="s">
        <v>79</v>
      </c>
      <c r="O686" t="s">
        <v>74</v>
      </c>
      <c r="P686" t="s">
        <v>74</v>
      </c>
      <c r="Q686" t="s">
        <v>74</v>
      </c>
      <c r="R686" t="s">
        <v>74</v>
      </c>
      <c r="S686" t="s">
        <v>74</v>
      </c>
      <c r="T686" t="s">
        <v>74</v>
      </c>
      <c r="U686" t="s">
        <v>13741</v>
      </c>
      <c r="V686" t="s">
        <v>13742</v>
      </c>
      <c r="W686" t="s">
        <v>13743</v>
      </c>
      <c r="X686" t="s">
        <v>13744</v>
      </c>
      <c r="Y686" t="s">
        <v>13745</v>
      </c>
      <c r="Z686" t="s">
        <v>13746</v>
      </c>
      <c r="AA686" t="s">
        <v>74</v>
      </c>
      <c r="AB686" t="s">
        <v>74</v>
      </c>
      <c r="AC686" t="s">
        <v>13747</v>
      </c>
      <c r="AD686" t="s">
        <v>13747</v>
      </c>
      <c r="AE686" t="s">
        <v>13748</v>
      </c>
      <c r="AF686" t="s">
        <v>74</v>
      </c>
      <c r="AG686">
        <v>31</v>
      </c>
      <c r="AH686">
        <v>15</v>
      </c>
      <c r="AI686">
        <v>23</v>
      </c>
      <c r="AJ686">
        <v>0</v>
      </c>
      <c r="AK686">
        <v>18</v>
      </c>
      <c r="AL686" t="s">
        <v>13749</v>
      </c>
      <c r="AM686" t="s">
        <v>13750</v>
      </c>
      <c r="AN686" t="s">
        <v>13751</v>
      </c>
      <c r="AO686" t="s">
        <v>13752</v>
      </c>
      <c r="AP686" t="s">
        <v>74</v>
      </c>
      <c r="AQ686" t="s">
        <v>74</v>
      </c>
      <c r="AR686" t="s">
        <v>13753</v>
      </c>
      <c r="AS686" t="s">
        <v>13754</v>
      </c>
      <c r="AT686" t="s">
        <v>1375</v>
      </c>
      <c r="AU686">
        <v>2014</v>
      </c>
      <c r="AV686">
        <v>13</v>
      </c>
      <c r="AW686">
        <v>2</v>
      </c>
      <c r="AX686" t="s">
        <v>74</v>
      </c>
      <c r="AY686" t="s">
        <v>74</v>
      </c>
      <c r="AZ686" t="s">
        <v>74</v>
      </c>
      <c r="BA686" t="s">
        <v>74</v>
      </c>
      <c r="BB686">
        <v>331</v>
      </c>
      <c r="BC686">
        <v>337</v>
      </c>
      <c r="BD686" t="s">
        <v>74</v>
      </c>
      <c r="BE686" t="s">
        <v>13755</v>
      </c>
      <c r="BF686" t="str">
        <f>HYPERLINK("http://dx.doi.org/10.1187/cbe.13-06-0124","http://dx.doi.org/10.1187/cbe.13-06-0124")</f>
        <v>http://dx.doi.org/10.1187/cbe.13-06-0124</v>
      </c>
      <c r="BG686" t="s">
        <v>74</v>
      </c>
      <c r="BH686" t="s">
        <v>74</v>
      </c>
      <c r="BI686">
        <v>7</v>
      </c>
      <c r="BJ686" t="s">
        <v>2397</v>
      </c>
      <c r="BK686" t="s">
        <v>745</v>
      </c>
      <c r="BL686" t="s">
        <v>318</v>
      </c>
      <c r="BM686" t="s">
        <v>13756</v>
      </c>
      <c r="BN686">
        <v>26086663</v>
      </c>
      <c r="BO686" t="s">
        <v>105</v>
      </c>
      <c r="BP686" t="s">
        <v>74</v>
      </c>
      <c r="BQ686" t="s">
        <v>74</v>
      </c>
      <c r="BR686" t="s">
        <v>106</v>
      </c>
      <c r="BS686" t="s">
        <v>13757</v>
      </c>
      <c r="BT686" t="str">
        <f>HYPERLINK("https%3A%2F%2Fwww.webofscience.com%2Fwos%2Fwoscc%2Ffull-record%2FWOS:000339812800015","View Full Record in Web of Science")</f>
        <v>View Full Record in Web of Science</v>
      </c>
    </row>
    <row r="687" spans="1:72" x14ac:dyDescent="0.25">
      <c r="A687" t="s">
        <v>72</v>
      </c>
      <c r="B687" t="s">
        <v>13758</v>
      </c>
      <c r="C687" t="s">
        <v>74</v>
      </c>
      <c r="D687" t="s">
        <v>74</v>
      </c>
      <c r="E687" t="s">
        <v>74</v>
      </c>
      <c r="F687" t="s">
        <v>13759</v>
      </c>
      <c r="G687" t="s">
        <v>74</v>
      </c>
      <c r="H687" t="s">
        <v>74</v>
      </c>
      <c r="I687" t="s">
        <v>13760</v>
      </c>
      <c r="J687" t="s">
        <v>13761</v>
      </c>
      <c r="K687" t="s">
        <v>74</v>
      </c>
      <c r="L687" t="s">
        <v>74</v>
      </c>
      <c r="M687" t="s">
        <v>78</v>
      </c>
      <c r="N687" t="s">
        <v>79</v>
      </c>
      <c r="O687" t="s">
        <v>74</v>
      </c>
      <c r="P687" t="s">
        <v>74</v>
      </c>
      <c r="Q687" t="s">
        <v>74</v>
      </c>
      <c r="R687" t="s">
        <v>74</v>
      </c>
      <c r="S687" t="s">
        <v>74</v>
      </c>
      <c r="T687" t="s">
        <v>13762</v>
      </c>
      <c r="U687" t="s">
        <v>13763</v>
      </c>
      <c r="V687" t="s">
        <v>13764</v>
      </c>
      <c r="W687" t="s">
        <v>13765</v>
      </c>
      <c r="X687" t="s">
        <v>13766</v>
      </c>
      <c r="Y687" t="s">
        <v>13767</v>
      </c>
      <c r="Z687" t="s">
        <v>13768</v>
      </c>
      <c r="AA687" t="s">
        <v>74</v>
      </c>
      <c r="AB687" t="s">
        <v>13769</v>
      </c>
      <c r="AC687" t="s">
        <v>13770</v>
      </c>
      <c r="AD687" t="s">
        <v>13771</v>
      </c>
      <c r="AE687" t="s">
        <v>13772</v>
      </c>
      <c r="AF687" t="s">
        <v>74</v>
      </c>
      <c r="AG687">
        <v>46</v>
      </c>
      <c r="AH687">
        <v>0</v>
      </c>
      <c r="AI687">
        <v>0</v>
      </c>
      <c r="AJ687">
        <v>11</v>
      </c>
      <c r="AK687">
        <v>14</v>
      </c>
      <c r="AL687" t="s">
        <v>1136</v>
      </c>
      <c r="AM687" t="s">
        <v>1137</v>
      </c>
      <c r="AN687" t="s">
        <v>1138</v>
      </c>
      <c r="AO687" t="s">
        <v>13773</v>
      </c>
      <c r="AP687" t="s">
        <v>74</v>
      </c>
      <c r="AQ687" t="s">
        <v>74</v>
      </c>
      <c r="AR687" t="s">
        <v>13761</v>
      </c>
      <c r="AS687" t="s">
        <v>13774</v>
      </c>
      <c r="AT687" t="s">
        <v>4318</v>
      </c>
      <c r="AU687">
        <v>2025</v>
      </c>
      <c r="AV687">
        <v>15</v>
      </c>
      <c r="AW687">
        <v>4</v>
      </c>
      <c r="AX687" t="s">
        <v>74</v>
      </c>
      <c r="AY687" t="s">
        <v>74</v>
      </c>
      <c r="AZ687" t="s">
        <v>74</v>
      </c>
      <c r="BA687" t="s">
        <v>74</v>
      </c>
      <c r="BB687" t="s">
        <v>74</v>
      </c>
      <c r="BC687" t="s">
        <v>74</v>
      </c>
      <c r="BD687">
        <v>2.1582440251403252E+16</v>
      </c>
      <c r="BE687" t="s">
        <v>13775</v>
      </c>
      <c r="BF687" t="str">
        <f>HYPERLINK("http://dx.doi.org/10.1177/21582440251403253","http://dx.doi.org/10.1177/21582440251403253")</f>
        <v>http://dx.doi.org/10.1177/21582440251403253</v>
      </c>
      <c r="BG687" t="s">
        <v>74</v>
      </c>
      <c r="BH687" t="s">
        <v>74</v>
      </c>
      <c r="BI687">
        <v>14</v>
      </c>
      <c r="BJ687" t="s">
        <v>2611</v>
      </c>
      <c r="BK687" t="s">
        <v>250</v>
      </c>
      <c r="BL687" t="s">
        <v>2612</v>
      </c>
      <c r="BM687" t="s">
        <v>13776</v>
      </c>
      <c r="BN687" t="s">
        <v>74</v>
      </c>
      <c r="BO687" t="s">
        <v>398</v>
      </c>
      <c r="BP687" t="s">
        <v>74</v>
      </c>
      <c r="BQ687" t="s">
        <v>74</v>
      </c>
      <c r="BR687" t="s">
        <v>106</v>
      </c>
      <c r="BS687" t="s">
        <v>13777</v>
      </c>
      <c r="BT687" t="str">
        <f>HYPERLINK("https%3A%2F%2Fwww.webofscience.com%2Fwos%2Fwoscc%2Ffull-record%2FWOS:001631426900001","View Full Record in Web of Science")</f>
        <v>View Full Record in Web of Science</v>
      </c>
    </row>
    <row r="688" spans="1:72" x14ac:dyDescent="0.25">
      <c r="A688" t="s">
        <v>72</v>
      </c>
      <c r="B688" t="s">
        <v>13778</v>
      </c>
      <c r="C688" t="s">
        <v>74</v>
      </c>
      <c r="D688" t="s">
        <v>74</v>
      </c>
      <c r="E688" t="s">
        <v>74</v>
      </c>
      <c r="F688" t="s">
        <v>13779</v>
      </c>
      <c r="G688" t="s">
        <v>74</v>
      </c>
      <c r="H688" t="s">
        <v>74</v>
      </c>
      <c r="I688" t="s">
        <v>13780</v>
      </c>
      <c r="J688" t="s">
        <v>3461</v>
      </c>
      <c r="K688" t="s">
        <v>74</v>
      </c>
      <c r="L688" t="s">
        <v>74</v>
      </c>
      <c r="M688" t="s">
        <v>78</v>
      </c>
      <c r="N688" t="s">
        <v>79</v>
      </c>
      <c r="O688" t="s">
        <v>74</v>
      </c>
      <c r="P688" t="s">
        <v>74</v>
      </c>
      <c r="Q688" t="s">
        <v>74</v>
      </c>
      <c r="R688" t="s">
        <v>74</v>
      </c>
      <c r="S688" t="s">
        <v>74</v>
      </c>
      <c r="T688" t="s">
        <v>74</v>
      </c>
      <c r="U688" t="s">
        <v>74</v>
      </c>
      <c r="V688" t="s">
        <v>13781</v>
      </c>
      <c r="W688" t="s">
        <v>13782</v>
      </c>
      <c r="X688" t="s">
        <v>13783</v>
      </c>
      <c r="Y688" t="s">
        <v>13784</v>
      </c>
      <c r="Z688" t="s">
        <v>13785</v>
      </c>
      <c r="AA688" t="s">
        <v>13786</v>
      </c>
      <c r="AB688" t="s">
        <v>13787</v>
      </c>
      <c r="AC688" t="s">
        <v>13788</v>
      </c>
      <c r="AD688" t="s">
        <v>13789</v>
      </c>
      <c r="AE688" t="s">
        <v>13790</v>
      </c>
      <c r="AF688" t="s">
        <v>74</v>
      </c>
      <c r="AG688">
        <v>48</v>
      </c>
      <c r="AH688">
        <v>6</v>
      </c>
      <c r="AI688">
        <v>7</v>
      </c>
      <c r="AJ688">
        <v>0</v>
      </c>
      <c r="AK688">
        <v>2</v>
      </c>
      <c r="AL688" t="s">
        <v>291</v>
      </c>
      <c r="AM688" t="s">
        <v>92</v>
      </c>
      <c r="AN688" t="s">
        <v>2534</v>
      </c>
      <c r="AO688" t="s">
        <v>3472</v>
      </c>
      <c r="AP688" t="s">
        <v>3473</v>
      </c>
      <c r="AQ688" t="s">
        <v>74</v>
      </c>
      <c r="AR688" t="s">
        <v>3474</v>
      </c>
      <c r="AS688" t="s">
        <v>3475</v>
      </c>
      <c r="AT688" t="s">
        <v>1251</v>
      </c>
      <c r="AU688">
        <v>2025</v>
      </c>
      <c r="AV688">
        <v>16</v>
      </c>
      <c r="AW688">
        <v>2</v>
      </c>
      <c r="AX688" t="s">
        <v>74</v>
      </c>
      <c r="AY688" t="s">
        <v>74</v>
      </c>
      <c r="AZ688" t="s">
        <v>74</v>
      </c>
      <c r="BA688" t="s">
        <v>74</v>
      </c>
      <c r="BB688" t="s">
        <v>74</v>
      </c>
      <c r="BC688" t="s">
        <v>74</v>
      </c>
      <c r="BD688">
        <v>35</v>
      </c>
      <c r="BE688" t="s">
        <v>13791</v>
      </c>
      <c r="BF688" t="str">
        <f>HYPERLINK("http://dx.doi.org/10.1145/3709004","http://dx.doi.org/10.1145/3709004")</f>
        <v>http://dx.doi.org/10.1145/3709004</v>
      </c>
      <c r="BG688" t="s">
        <v>74</v>
      </c>
      <c r="BH688" t="s">
        <v>74</v>
      </c>
      <c r="BI688">
        <v>26</v>
      </c>
      <c r="BJ688" t="s">
        <v>202</v>
      </c>
      <c r="BK688" t="s">
        <v>902</v>
      </c>
      <c r="BL688" t="s">
        <v>103</v>
      </c>
      <c r="BM688" t="s">
        <v>13792</v>
      </c>
      <c r="BN688" t="s">
        <v>74</v>
      </c>
      <c r="BO688" t="s">
        <v>74</v>
      </c>
      <c r="BP688" t="s">
        <v>74</v>
      </c>
      <c r="BQ688" t="s">
        <v>74</v>
      </c>
      <c r="BR688" t="s">
        <v>106</v>
      </c>
      <c r="BS688" t="s">
        <v>13793</v>
      </c>
      <c r="BT688" t="str">
        <f>HYPERLINK("https%3A%2F%2Fwww.webofscience.com%2Fwos%2Fwoscc%2Ffull-record%2FWOS:001480916600002","View Full Record in Web of Science")</f>
        <v>View Full Record in Web of Science</v>
      </c>
    </row>
    <row r="689" spans="1:72" x14ac:dyDescent="0.25">
      <c r="A689" t="s">
        <v>108</v>
      </c>
      <c r="B689" t="s">
        <v>13794</v>
      </c>
      <c r="C689" t="s">
        <v>74</v>
      </c>
      <c r="D689" t="s">
        <v>13795</v>
      </c>
      <c r="E689" t="s">
        <v>74</v>
      </c>
      <c r="F689" t="s">
        <v>13796</v>
      </c>
      <c r="G689" t="s">
        <v>74</v>
      </c>
      <c r="H689" t="s">
        <v>74</v>
      </c>
      <c r="I689" t="s">
        <v>13797</v>
      </c>
      <c r="J689" t="s">
        <v>13798</v>
      </c>
      <c r="K689" t="s">
        <v>147</v>
      </c>
      <c r="L689" t="s">
        <v>74</v>
      </c>
      <c r="M689" t="s">
        <v>78</v>
      </c>
      <c r="N689" t="s">
        <v>115</v>
      </c>
      <c r="O689" t="s">
        <v>13799</v>
      </c>
      <c r="P689" t="s">
        <v>13800</v>
      </c>
      <c r="Q689" t="s">
        <v>754</v>
      </c>
      <c r="R689" t="s">
        <v>13801</v>
      </c>
      <c r="S689" t="s">
        <v>74</v>
      </c>
      <c r="T689" t="s">
        <v>13802</v>
      </c>
      <c r="U689" t="s">
        <v>74</v>
      </c>
      <c r="V689" t="s">
        <v>13803</v>
      </c>
      <c r="W689" t="s">
        <v>13804</v>
      </c>
      <c r="X689" t="s">
        <v>13805</v>
      </c>
      <c r="Y689" t="s">
        <v>13806</v>
      </c>
      <c r="Z689" t="s">
        <v>74</v>
      </c>
      <c r="AA689" t="s">
        <v>13807</v>
      </c>
      <c r="AB689" t="s">
        <v>74</v>
      </c>
      <c r="AC689" t="s">
        <v>74</v>
      </c>
      <c r="AD689" t="s">
        <v>74</v>
      </c>
      <c r="AE689" t="s">
        <v>74</v>
      </c>
      <c r="AF689" t="s">
        <v>74</v>
      </c>
      <c r="AG689">
        <v>4</v>
      </c>
      <c r="AH689">
        <v>0</v>
      </c>
      <c r="AI689">
        <v>0</v>
      </c>
      <c r="AJ689">
        <v>0</v>
      </c>
      <c r="AK689">
        <v>11</v>
      </c>
      <c r="AL689" t="s">
        <v>197</v>
      </c>
      <c r="AM689" t="s">
        <v>198</v>
      </c>
      <c r="AN689" t="s">
        <v>199</v>
      </c>
      <c r="AO689" t="s">
        <v>159</v>
      </c>
      <c r="AP689" t="s">
        <v>74</v>
      </c>
      <c r="AQ689" t="s">
        <v>13808</v>
      </c>
      <c r="AR689" t="s">
        <v>161</v>
      </c>
      <c r="AS689" t="s">
        <v>74</v>
      </c>
      <c r="AT689" t="s">
        <v>74</v>
      </c>
      <c r="AU689">
        <v>2014</v>
      </c>
      <c r="AV689">
        <v>8474</v>
      </c>
      <c r="AW689" t="s">
        <v>74</v>
      </c>
      <c r="AX689" t="s">
        <v>74</v>
      </c>
      <c r="AY689" t="s">
        <v>74</v>
      </c>
      <c r="AZ689" t="s">
        <v>74</v>
      </c>
      <c r="BA689" t="s">
        <v>74</v>
      </c>
      <c r="BB689">
        <v>613</v>
      </c>
      <c r="BC689" t="s">
        <v>5459</v>
      </c>
      <c r="BD689" t="s">
        <v>74</v>
      </c>
      <c r="BE689" t="s">
        <v>74</v>
      </c>
      <c r="BF689" t="s">
        <v>74</v>
      </c>
      <c r="BG689" t="s">
        <v>74</v>
      </c>
      <c r="BH689" t="s">
        <v>74</v>
      </c>
      <c r="BI689">
        <v>2</v>
      </c>
      <c r="BJ689" t="s">
        <v>1399</v>
      </c>
      <c r="BK689" t="s">
        <v>203</v>
      </c>
      <c r="BL689" t="s">
        <v>103</v>
      </c>
      <c r="BM689" t="s">
        <v>13809</v>
      </c>
      <c r="BN689" t="s">
        <v>74</v>
      </c>
      <c r="BO689" t="s">
        <v>74</v>
      </c>
      <c r="BP689" t="s">
        <v>74</v>
      </c>
      <c r="BQ689" t="s">
        <v>74</v>
      </c>
      <c r="BR689" t="s">
        <v>106</v>
      </c>
      <c r="BS689" t="s">
        <v>13810</v>
      </c>
      <c r="BT689" t="str">
        <f>HYPERLINK("https%3A%2F%2Fwww.webofscience.com%2Fwos%2Fwoscc%2Ffull-record%2FWOS:000343081600078","View Full Record in Web of Science")</f>
        <v>View Full Record in Web of Science</v>
      </c>
    </row>
    <row r="690" spans="1:72" x14ac:dyDescent="0.25">
      <c r="A690" t="s">
        <v>72</v>
      </c>
      <c r="B690" t="s">
        <v>13811</v>
      </c>
      <c r="C690" t="s">
        <v>74</v>
      </c>
      <c r="D690" t="s">
        <v>74</v>
      </c>
      <c r="E690" t="s">
        <v>74</v>
      </c>
      <c r="F690" t="s">
        <v>13812</v>
      </c>
      <c r="G690" t="s">
        <v>74</v>
      </c>
      <c r="H690" t="s">
        <v>74</v>
      </c>
      <c r="I690" t="s">
        <v>13813</v>
      </c>
      <c r="J690" t="s">
        <v>13814</v>
      </c>
      <c r="K690" t="s">
        <v>74</v>
      </c>
      <c r="L690" t="s">
        <v>74</v>
      </c>
      <c r="M690" t="s">
        <v>12912</v>
      </c>
      <c r="N690" t="s">
        <v>79</v>
      </c>
      <c r="O690" t="s">
        <v>74</v>
      </c>
      <c r="P690" t="s">
        <v>74</v>
      </c>
      <c r="Q690" t="s">
        <v>74</v>
      </c>
      <c r="R690" t="s">
        <v>74</v>
      </c>
      <c r="S690" t="s">
        <v>74</v>
      </c>
      <c r="T690" t="s">
        <v>13815</v>
      </c>
      <c r="U690" t="s">
        <v>74</v>
      </c>
      <c r="V690" t="s">
        <v>13816</v>
      </c>
      <c r="W690" t="s">
        <v>13817</v>
      </c>
      <c r="X690" t="s">
        <v>13818</v>
      </c>
      <c r="Y690" t="s">
        <v>13819</v>
      </c>
      <c r="Z690" t="s">
        <v>13820</v>
      </c>
      <c r="AA690" t="s">
        <v>13821</v>
      </c>
      <c r="AB690" t="s">
        <v>13822</v>
      </c>
      <c r="AC690" t="s">
        <v>74</v>
      </c>
      <c r="AD690" t="s">
        <v>74</v>
      </c>
      <c r="AE690" t="s">
        <v>74</v>
      </c>
      <c r="AF690" t="s">
        <v>74</v>
      </c>
      <c r="AG690">
        <v>0</v>
      </c>
      <c r="AH690">
        <v>0</v>
      </c>
      <c r="AI690">
        <v>0</v>
      </c>
      <c r="AJ690">
        <v>0</v>
      </c>
      <c r="AK690">
        <v>1</v>
      </c>
      <c r="AL690" t="s">
        <v>13823</v>
      </c>
      <c r="AM690" t="s">
        <v>13824</v>
      </c>
      <c r="AN690" t="s">
        <v>13825</v>
      </c>
      <c r="AO690" t="s">
        <v>13826</v>
      </c>
      <c r="AP690" t="s">
        <v>13827</v>
      </c>
      <c r="AQ690" t="s">
        <v>74</v>
      </c>
      <c r="AR690" t="s">
        <v>13828</v>
      </c>
      <c r="AS690" t="s">
        <v>13829</v>
      </c>
      <c r="AT690" t="s">
        <v>246</v>
      </c>
      <c r="AU690">
        <v>2015</v>
      </c>
      <c r="AV690" t="s">
        <v>74</v>
      </c>
      <c r="AW690">
        <v>21</v>
      </c>
      <c r="AX690" t="s">
        <v>74</v>
      </c>
      <c r="AY690" t="s">
        <v>74</v>
      </c>
      <c r="AZ690" t="s">
        <v>74</v>
      </c>
      <c r="BA690" t="s">
        <v>74</v>
      </c>
      <c r="BB690" t="s">
        <v>74</v>
      </c>
      <c r="BC690" t="s">
        <v>74</v>
      </c>
      <c r="BD690">
        <v>416750</v>
      </c>
      <c r="BE690" t="s">
        <v>74</v>
      </c>
      <c r="BF690" t="s">
        <v>74</v>
      </c>
      <c r="BG690" t="s">
        <v>74</v>
      </c>
      <c r="BH690" t="s">
        <v>74</v>
      </c>
      <c r="BI690">
        <v>8</v>
      </c>
      <c r="BJ690" t="s">
        <v>13264</v>
      </c>
      <c r="BK690" t="s">
        <v>102</v>
      </c>
      <c r="BL690" t="s">
        <v>13265</v>
      </c>
      <c r="BM690" t="s">
        <v>13830</v>
      </c>
      <c r="BN690" t="s">
        <v>74</v>
      </c>
      <c r="BO690" t="s">
        <v>74</v>
      </c>
      <c r="BP690" t="s">
        <v>74</v>
      </c>
      <c r="BQ690" t="s">
        <v>74</v>
      </c>
      <c r="BR690" t="s">
        <v>106</v>
      </c>
      <c r="BS690" t="s">
        <v>13831</v>
      </c>
      <c r="BT690" t="str">
        <f>HYPERLINK("https%3A%2F%2Fwww.webofscience.com%2Fwos%2Fwoscc%2Ffull-record%2FWOS:000420748500042","View Full Record in Web of Science")</f>
        <v>View Full Record in Web of Science</v>
      </c>
    </row>
    <row r="691" spans="1:72" x14ac:dyDescent="0.25">
      <c r="A691" t="s">
        <v>108</v>
      </c>
      <c r="B691" t="s">
        <v>13832</v>
      </c>
      <c r="C691" t="s">
        <v>74</v>
      </c>
      <c r="D691" t="s">
        <v>13833</v>
      </c>
      <c r="E691" t="s">
        <v>74</v>
      </c>
      <c r="F691" t="s">
        <v>13834</v>
      </c>
      <c r="G691" t="s">
        <v>74</v>
      </c>
      <c r="H691" t="s">
        <v>74</v>
      </c>
      <c r="I691" t="s">
        <v>13835</v>
      </c>
      <c r="J691" t="s">
        <v>13836</v>
      </c>
      <c r="K691" t="s">
        <v>114</v>
      </c>
      <c r="L691" t="s">
        <v>74</v>
      </c>
      <c r="M691" t="s">
        <v>78</v>
      </c>
      <c r="N691" t="s">
        <v>115</v>
      </c>
      <c r="O691" t="s">
        <v>13837</v>
      </c>
      <c r="P691" t="s">
        <v>13838</v>
      </c>
      <c r="Q691" t="s">
        <v>13839</v>
      </c>
      <c r="R691" t="s">
        <v>13840</v>
      </c>
      <c r="S691" t="s">
        <v>74</v>
      </c>
      <c r="T691" t="s">
        <v>13841</v>
      </c>
      <c r="U691" t="s">
        <v>74</v>
      </c>
      <c r="V691" t="s">
        <v>13842</v>
      </c>
      <c r="W691" t="s">
        <v>13843</v>
      </c>
      <c r="X691" t="s">
        <v>13844</v>
      </c>
      <c r="Y691" t="s">
        <v>13845</v>
      </c>
      <c r="Z691" t="s">
        <v>13846</v>
      </c>
      <c r="AA691" t="s">
        <v>13847</v>
      </c>
      <c r="AB691" t="s">
        <v>74</v>
      </c>
      <c r="AC691" t="s">
        <v>74</v>
      </c>
      <c r="AD691" t="s">
        <v>74</v>
      </c>
      <c r="AE691" t="s">
        <v>74</v>
      </c>
      <c r="AF691" t="s">
        <v>74</v>
      </c>
      <c r="AG691">
        <v>13</v>
      </c>
      <c r="AH691">
        <v>0</v>
      </c>
      <c r="AI691">
        <v>0</v>
      </c>
      <c r="AJ691">
        <v>0</v>
      </c>
      <c r="AK691">
        <v>0</v>
      </c>
      <c r="AL691" t="s">
        <v>129</v>
      </c>
      <c r="AM691" t="s">
        <v>130</v>
      </c>
      <c r="AN691" t="s">
        <v>131</v>
      </c>
      <c r="AO691" t="s">
        <v>159</v>
      </c>
      <c r="AP691" t="s">
        <v>133</v>
      </c>
      <c r="AQ691" t="s">
        <v>13848</v>
      </c>
      <c r="AR691" t="s">
        <v>135</v>
      </c>
      <c r="AS691" t="s">
        <v>74</v>
      </c>
      <c r="AT691" t="s">
        <v>74</v>
      </c>
      <c r="AU691">
        <v>2019</v>
      </c>
      <c r="AV691">
        <v>11919</v>
      </c>
      <c r="AW691" t="s">
        <v>74</v>
      </c>
      <c r="AX691" t="s">
        <v>74</v>
      </c>
      <c r="AY691" t="s">
        <v>74</v>
      </c>
      <c r="AZ691" t="s">
        <v>74</v>
      </c>
      <c r="BA691" t="s">
        <v>74</v>
      </c>
      <c r="BB691">
        <v>418</v>
      </c>
      <c r="BC691">
        <v>430</v>
      </c>
      <c r="BD691" t="s">
        <v>74</v>
      </c>
      <c r="BE691" t="s">
        <v>13849</v>
      </c>
      <c r="BF691" t="str">
        <f>HYPERLINK("http://dx.doi.org/10.1007/978-3-030-35288-2_34","http://dx.doi.org/10.1007/978-3-030-35288-2_34")</f>
        <v>http://dx.doi.org/10.1007/978-3-030-35288-2_34</v>
      </c>
      <c r="BG691" t="s">
        <v>74</v>
      </c>
      <c r="BH691" t="s">
        <v>74</v>
      </c>
      <c r="BI691">
        <v>13</v>
      </c>
      <c r="BJ691" t="s">
        <v>2837</v>
      </c>
      <c r="BK691" t="s">
        <v>203</v>
      </c>
      <c r="BL691" t="s">
        <v>103</v>
      </c>
      <c r="BM691" t="s">
        <v>13850</v>
      </c>
      <c r="BN691" t="s">
        <v>74</v>
      </c>
      <c r="BO691" t="s">
        <v>346</v>
      </c>
      <c r="BP691" t="s">
        <v>74</v>
      </c>
      <c r="BQ691" t="s">
        <v>74</v>
      </c>
      <c r="BR691" t="s">
        <v>106</v>
      </c>
      <c r="BS691" t="s">
        <v>13851</v>
      </c>
      <c r="BT691" t="str">
        <f>HYPERLINK("https%3A%2F%2Fwww.webofscience.com%2Fwos%2Fwoscc%2Ffull-record%2FWOS:000927874400034","View Full Record in Web of Science")</f>
        <v>View Full Record in Web of Science</v>
      </c>
    </row>
    <row r="692" spans="1:72" x14ac:dyDescent="0.25">
      <c r="A692" t="s">
        <v>72</v>
      </c>
      <c r="B692" t="s">
        <v>13852</v>
      </c>
      <c r="C692" t="s">
        <v>74</v>
      </c>
      <c r="D692" t="s">
        <v>74</v>
      </c>
      <c r="E692" t="s">
        <v>74</v>
      </c>
      <c r="F692" t="s">
        <v>13853</v>
      </c>
      <c r="G692" t="s">
        <v>74</v>
      </c>
      <c r="H692" t="s">
        <v>74</v>
      </c>
      <c r="I692" t="s">
        <v>13854</v>
      </c>
      <c r="J692" t="s">
        <v>11151</v>
      </c>
      <c r="K692" t="s">
        <v>74</v>
      </c>
      <c r="L692" t="s">
        <v>74</v>
      </c>
      <c r="M692" t="s">
        <v>78</v>
      </c>
      <c r="N692" t="s">
        <v>79</v>
      </c>
      <c r="O692" t="s">
        <v>74</v>
      </c>
      <c r="P692" t="s">
        <v>74</v>
      </c>
      <c r="Q692" t="s">
        <v>74</v>
      </c>
      <c r="R692" t="s">
        <v>74</v>
      </c>
      <c r="S692" t="s">
        <v>74</v>
      </c>
      <c r="T692" t="s">
        <v>13855</v>
      </c>
      <c r="U692" t="s">
        <v>13856</v>
      </c>
      <c r="V692" t="s">
        <v>13857</v>
      </c>
      <c r="W692" t="s">
        <v>13858</v>
      </c>
      <c r="X692" t="s">
        <v>13859</v>
      </c>
      <c r="Y692" t="s">
        <v>11157</v>
      </c>
      <c r="Z692" t="s">
        <v>13860</v>
      </c>
      <c r="AA692" t="s">
        <v>11159</v>
      </c>
      <c r="AB692" t="s">
        <v>74</v>
      </c>
      <c r="AC692" t="s">
        <v>74</v>
      </c>
      <c r="AD692" t="s">
        <v>74</v>
      </c>
      <c r="AE692" t="s">
        <v>74</v>
      </c>
      <c r="AF692" t="s">
        <v>74</v>
      </c>
      <c r="AG692">
        <v>31</v>
      </c>
      <c r="AH692">
        <v>0</v>
      </c>
      <c r="AI692">
        <v>0</v>
      </c>
      <c r="AJ692">
        <v>0</v>
      </c>
      <c r="AK692">
        <v>1</v>
      </c>
      <c r="AL692" t="s">
        <v>178</v>
      </c>
      <c r="AM692" t="s">
        <v>92</v>
      </c>
      <c r="AN692" t="s">
        <v>179</v>
      </c>
      <c r="AO692" t="s">
        <v>11163</v>
      </c>
      <c r="AP692" t="s">
        <v>11164</v>
      </c>
      <c r="AQ692" t="s">
        <v>74</v>
      </c>
      <c r="AR692" t="s">
        <v>11165</v>
      </c>
      <c r="AS692" t="s">
        <v>11166</v>
      </c>
      <c r="AT692" t="s">
        <v>1278</v>
      </c>
      <c r="AU692">
        <v>2015</v>
      </c>
      <c r="AV692">
        <v>80</v>
      </c>
      <c r="AW692">
        <v>2</v>
      </c>
      <c r="AX692" t="s">
        <v>74</v>
      </c>
      <c r="AY692" t="s">
        <v>74</v>
      </c>
      <c r="AZ692" t="s">
        <v>74</v>
      </c>
      <c r="BA692" t="s">
        <v>74</v>
      </c>
      <c r="BB692">
        <v>591</v>
      </c>
      <c r="BC692">
        <v>609</v>
      </c>
      <c r="BD692" t="s">
        <v>74</v>
      </c>
      <c r="BE692" t="s">
        <v>13861</v>
      </c>
      <c r="BF692" t="str">
        <f>HYPERLINK("http://dx.doi.org/10.1007/s11277-014-2030-6","http://dx.doi.org/10.1007/s11277-014-2030-6")</f>
        <v>http://dx.doi.org/10.1007/s11277-014-2030-6</v>
      </c>
      <c r="BG692" t="s">
        <v>74</v>
      </c>
      <c r="BH692" t="s">
        <v>74</v>
      </c>
      <c r="BI692">
        <v>19</v>
      </c>
      <c r="BJ692" t="s">
        <v>4177</v>
      </c>
      <c r="BK692" t="s">
        <v>902</v>
      </c>
      <c r="BL692" t="s">
        <v>4177</v>
      </c>
      <c r="BM692" t="s">
        <v>13862</v>
      </c>
      <c r="BN692" t="s">
        <v>74</v>
      </c>
      <c r="BO692" t="s">
        <v>74</v>
      </c>
      <c r="BP692" t="s">
        <v>74</v>
      </c>
      <c r="BQ692" t="s">
        <v>74</v>
      </c>
      <c r="BR692" t="s">
        <v>106</v>
      </c>
      <c r="BS692" t="s">
        <v>13863</v>
      </c>
      <c r="BT692" t="str">
        <f>HYPERLINK("https%3A%2F%2Fwww.webofscience.com%2Fwos%2Fwoscc%2Ffull-record%2FWOS:000348793500010","View Full Record in Web of Science")</f>
        <v>View Full Record in Web of Science</v>
      </c>
    </row>
    <row r="693" spans="1:72" x14ac:dyDescent="0.25">
      <c r="A693" t="s">
        <v>72</v>
      </c>
      <c r="B693" t="s">
        <v>13864</v>
      </c>
      <c r="C693" t="s">
        <v>74</v>
      </c>
      <c r="D693" t="s">
        <v>74</v>
      </c>
      <c r="E693" t="s">
        <v>74</v>
      </c>
      <c r="F693" t="s">
        <v>13865</v>
      </c>
      <c r="G693" t="s">
        <v>74</v>
      </c>
      <c r="H693" t="s">
        <v>74</v>
      </c>
      <c r="I693" t="s">
        <v>13866</v>
      </c>
      <c r="J693" t="s">
        <v>13867</v>
      </c>
      <c r="K693" t="s">
        <v>74</v>
      </c>
      <c r="L693" t="s">
        <v>74</v>
      </c>
      <c r="M693" t="s">
        <v>78</v>
      </c>
      <c r="N693" t="s">
        <v>79</v>
      </c>
      <c r="O693" t="s">
        <v>74</v>
      </c>
      <c r="P693" t="s">
        <v>74</v>
      </c>
      <c r="Q693" t="s">
        <v>74</v>
      </c>
      <c r="R693" t="s">
        <v>74</v>
      </c>
      <c r="S693" t="s">
        <v>74</v>
      </c>
      <c r="T693" t="s">
        <v>13868</v>
      </c>
      <c r="U693" t="s">
        <v>13869</v>
      </c>
      <c r="V693" t="s">
        <v>13870</v>
      </c>
      <c r="W693" t="s">
        <v>13871</v>
      </c>
      <c r="X693" t="s">
        <v>13872</v>
      </c>
      <c r="Y693" t="s">
        <v>13873</v>
      </c>
      <c r="Z693" t="s">
        <v>74</v>
      </c>
      <c r="AA693" t="s">
        <v>12293</v>
      </c>
      <c r="AB693" t="s">
        <v>13874</v>
      </c>
      <c r="AC693" t="s">
        <v>74</v>
      </c>
      <c r="AD693" t="s">
        <v>74</v>
      </c>
      <c r="AE693" t="s">
        <v>74</v>
      </c>
      <c r="AF693" t="s">
        <v>74</v>
      </c>
      <c r="AG693">
        <v>50</v>
      </c>
      <c r="AH693">
        <v>19</v>
      </c>
      <c r="AI693">
        <v>19</v>
      </c>
      <c r="AJ693">
        <v>0</v>
      </c>
      <c r="AK693">
        <v>9</v>
      </c>
      <c r="AL693" t="s">
        <v>4168</v>
      </c>
      <c r="AM693" t="s">
        <v>4169</v>
      </c>
      <c r="AN693" t="s">
        <v>4170</v>
      </c>
      <c r="AO693" t="s">
        <v>13875</v>
      </c>
      <c r="AP693" t="s">
        <v>13876</v>
      </c>
      <c r="AQ693" t="s">
        <v>74</v>
      </c>
      <c r="AR693" t="s">
        <v>13877</v>
      </c>
      <c r="AS693" t="s">
        <v>13878</v>
      </c>
      <c r="AT693" t="s">
        <v>13879</v>
      </c>
      <c r="AU693">
        <v>2015</v>
      </c>
      <c r="AV693">
        <v>11</v>
      </c>
      <c r="AW693">
        <v>4</v>
      </c>
      <c r="AX693" t="s">
        <v>74</v>
      </c>
      <c r="AY693" t="s">
        <v>74</v>
      </c>
      <c r="AZ693" t="s">
        <v>74</v>
      </c>
      <c r="BA693" t="s">
        <v>74</v>
      </c>
      <c r="BB693">
        <v>1</v>
      </c>
      <c r="BC693">
        <v>40</v>
      </c>
      <c r="BD693" t="s">
        <v>74</v>
      </c>
      <c r="BE693" t="s">
        <v>13880</v>
      </c>
      <c r="BF693" t="str">
        <f>HYPERLINK("http://dx.doi.org/10.4018/IJSWIS.2015100101","http://dx.doi.org/10.4018/IJSWIS.2015100101")</f>
        <v>http://dx.doi.org/10.4018/IJSWIS.2015100101</v>
      </c>
      <c r="BG693" t="s">
        <v>74</v>
      </c>
      <c r="BH693" t="s">
        <v>74</v>
      </c>
      <c r="BI693">
        <v>40</v>
      </c>
      <c r="BJ693" t="s">
        <v>202</v>
      </c>
      <c r="BK693" t="s">
        <v>902</v>
      </c>
      <c r="BL693" t="s">
        <v>103</v>
      </c>
      <c r="BM693" t="s">
        <v>13881</v>
      </c>
      <c r="BN693" t="s">
        <v>74</v>
      </c>
      <c r="BO693" t="s">
        <v>1014</v>
      </c>
      <c r="BP693" t="s">
        <v>74</v>
      </c>
      <c r="BQ693" t="s">
        <v>74</v>
      </c>
      <c r="BR693" t="s">
        <v>106</v>
      </c>
      <c r="BS693" t="s">
        <v>13882</v>
      </c>
      <c r="BT693" t="str">
        <f>HYPERLINK("https%3A%2F%2Fwww.webofscience.com%2Fwos%2Fwoscc%2Ffull-record%2FWOS:000370264600001","View Full Record in Web of Science")</f>
        <v>View Full Record in Web of Science</v>
      </c>
    </row>
    <row r="694" spans="1:72" x14ac:dyDescent="0.25">
      <c r="A694" t="s">
        <v>72</v>
      </c>
      <c r="B694" t="s">
        <v>13883</v>
      </c>
      <c r="C694" t="s">
        <v>74</v>
      </c>
      <c r="D694" t="s">
        <v>74</v>
      </c>
      <c r="E694" t="s">
        <v>74</v>
      </c>
      <c r="F694" t="s">
        <v>13884</v>
      </c>
      <c r="G694" t="s">
        <v>74</v>
      </c>
      <c r="H694" t="s">
        <v>74</v>
      </c>
      <c r="I694" t="s">
        <v>13885</v>
      </c>
      <c r="J694" t="s">
        <v>1259</v>
      </c>
      <c r="K694" t="s">
        <v>74</v>
      </c>
      <c r="L694" t="s">
        <v>74</v>
      </c>
      <c r="M694" t="s">
        <v>78</v>
      </c>
      <c r="N694" t="s">
        <v>79</v>
      </c>
      <c r="O694" t="s">
        <v>74</v>
      </c>
      <c r="P694" t="s">
        <v>74</v>
      </c>
      <c r="Q694" t="s">
        <v>74</v>
      </c>
      <c r="R694" t="s">
        <v>74</v>
      </c>
      <c r="S694" t="s">
        <v>74</v>
      </c>
      <c r="T694" t="s">
        <v>13886</v>
      </c>
      <c r="U694" t="s">
        <v>74</v>
      </c>
      <c r="V694" t="s">
        <v>13887</v>
      </c>
      <c r="W694" t="s">
        <v>13888</v>
      </c>
      <c r="X694" t="s">
        <v>13889</v>
      </c>
      <c r="Y694" t="s">
        <v>13890</v>
      </c>
      <c r="Z694" t="s">
        <v>13891</v>
      </c>
      <c r="AA694" t="s">
        <v>74</v>
      </c>
      <c r="AB694" t="s">
        <v>74</v>
      </c>
      <c r="AC694" t="s">
        <v>13892</v>
      </c>
      <c r="AD694" t="s">
        <v>13892</v>
      </c>
      <c r="AE694" t="s">
        <v>13893</v>
      </c>
      <c r="AF694" t="s">
        <v>74</v>
      </c>
      <c r="AG694">
        <v>36</v>
      </c>
      <c r="AH694">
        <v>0</v>
      </c>
      <c r="AI694">
        <v>0</v>
      </c>
      <c r="AJ694">
        <v>0</v>
      </c>
      <c r="AK694">
        <v>0</v>
      </c>
      <c r="AL694" t="s">
        <v>1272</v>
      </c>
      <c r="AM694" t="s">
        <v>1273</v>
      </c>
      <c r="AN694" t="s">
        <v>1274</v>
      </c>
      <c r="AO694" t="s">
        <v>74</v>
      </c>
      <c r="AP694" t="s">
        <v>1275</v>
      </c>
      <c r="AQ694" t="s">
        <v>74</v>
      </c>
      <c r="AR694" t="s">
        <v>1276</v>
      </c>
      <c r="AS694" t="s">
        <v>1277</v>
      </c>
      <c r="AT694" t="s">
        <v>13894</v>
      </c>
      <c r="AU694">
        <v>2026</v>
      </c>
      <c r="AV694">
        <v>26</v>
      </c>
      <c r="AW694">
        <v>10</v>
      </c>
      <c r="AX694" t="s">
        <v>74</v>
      </c>
      <c r="AY694" t="s">
        <v>74</v>
      </c>
      <c r="AZ694" t="s">
        <v>74</v>
      </c>
      <c r="BA694" t="s">
        <v>74</v>
      </c>
      <c r="BB694" t="s">
        <v>74</v>
      </c>
      <c r="BC694" t="s">
        <v>74</v>
      </c>
      <c r="BD694">
        <v>2975</v>
      </c>
      <c r="BE694" t="s">
        <v>13895</v>
      </c>
      <c r="BF694" t="str">
        <f>HYPERLINK("http://dx.doi.org/10.3390/s26102975","http://dx.doi.org/10.3390/s26102975")</f>
        <v>http://dx.doi.org/10.3390/s26102975</v>
      </c>
      <c r="BG694" t="s">
        <v>74</v>
      </c>
      <c r="BH694" t="s">
        <v>13896</v>
      </c>
      <c r="BI694">
        <v>29</v>
      </c>
      <c r="BJ694" t="s">
        <v>1280</v>
      </c>
      <c r="BK694" t="s">
        <v>902</v>
      </c>
      <c r="BL694" t="s">
        <v>1281</v>
      </c>
      <c r="BM694" t="s">
        <v>13897</v>
      </c>
      <c r="BN694">
        <v>42197784</v>
      </c>
      <c r="BO694" t="s">
        <v>398</v>
      </c>
      <c r="BP694" t="s">
        <v>74</v>
      </c>
      <c r="BQ694" t="s">
        <v>74</v>
      </c>
      <c r="BR694" t="s">
        <v>106</v>
      </c>
      <c r="BS694" t="s">
        <v>13898</v>
      </c>
      <c r="BT694" t="str">
        <f>HYPERLINK("https%3A%2F%2Fwww.webofscience.com%2Fwos%2Fwoscc%2Ffull-record%2FWOS:001775392200001","View Full Record in Web of Science")</f>
        <v>View Full Record in Web of Science</v>
      </c>
    </row>
    <row r="695" spans="1:72" x14ac:dyDescent="0.25">
      <c r="A695" t="s">
        <v>72</v>
      </c>
      <c r="B695" t="s">
        <v>13899</v>
      </c>
      <c r="C695" t="s">
        <v>74</v>
      </c>
      <c r="D695" t="s">
        <v>74</v>
      </c>
      <c r="E695" t="s">
        <v>74</v>
      </c>
      <c r="F695" t="s">
        <v>13900</v>
      </c>
      <c r="G695" t="s">
        <v>74</v>
      </c>
      <c r="H695" t="s">
        <v>74</v>
      </c>
      <c r="I695" t="s">
        <v>13901</v>
      </c>
      <c r="J695" t="s">
        <v>13902</v>
      </c>
      <c r="K695" t="s">
        <v>74</v>
      </c>
      <c r="L695" t="s">
        <v>74</v>
      </c>
      <c r="M695" t="s">
        <v>78</v>
      </c>
      <c r="N695" t="s">
        <v>79</v>
      </c>
      <c r="O695" t="s">
        <v>74</v>
      </c>
      <c r="P695" t="s">
        <v>74</v>
      </c>
      <c r="Q695" t="s">
        <v>74</v>
      </c>
      <c r="R695" t="s">
        <v>74</v>
      </c>
      <c r="S695" t="s">
        <v>74</v>
      </c>
      <c r="T695" t="s">
        <v>13903</v>
      </c>
      <c r="U695" t="s">
        <v>74</v>
      </c>
      <c r="V695" t="s">
        <v>13904</v>
      </c>
      <c r="W695" t="s">
        <v>13905</v>
      </c>
      <c r="X695" t="s">
        <v>13906</v>
      </c>
      <c r="Y695" t="s">
        <v>13907</v>
      </c>
      <c r="Z695" t="s">
        <v>13908</v>
      </c>
      <c r="AA695" t="s">
        <v>13909</v>
      </c>
      <c r="AB695" t="s">
        <v>13910</v>
      </c>
      <c r="AC695" t="s">
        <v>13911</v>
      </c>
      <c r="AD695" t="s">
        <v>13912</v>
      </c>
      <c r="AE695" t="s">
        <v>13913</v>
      </c>
      <c r="AF695" t="s">
        <v>74</v>
      </c>
      <c r="AG695">
        <v>55</v>
      </c>
      <c r="AH695">
        <v>19</v>
      </c>
      <c r="AI695">
        <v>20</v>
      </c>
      <c r="AJ695">
        <v>1</v>
      </c>
      <c r="AK695">
        <v>51</v>
      </c>
      <c r="AL695" t="s">
        <v>895</v>
      </c>
      <c r="AM695" t="s">
        <v>896</v>
      </c>
      <c r="AN695" t="s">
        <v>897</v>
      </c>
      <c r="AO695" t="s">
        <v>13914</v>
      </c>
      <c r="AP695" t="s">
        <v>13915</v>
      </c>
      <c r="AQ695" t="s">
        <v>74</v>
      </c>
      <c r="AR695" t="s">
        <v>13916</v>
      </c>
      <c r="AS695" t="s">
        <v>13917</v>
      </c>
      <c r="AT695" t="s">
        <v>509</v>
      </c>
      <c r="AU695">
        <v>2021</v>
      </c>
      <c r="AV695">
        <v>15</v>
      </c>
      <c r="AW695">
        <v>3</v>
      </c>
      <c r="AX695" t="s">
        <v>74</v>
      </c>
      <c r="AY695" t="s">
        <v>74</v>
      </c>
      <c r="AZ695" t="s">
        <v>74</v>
      </c>
      <c r="BA695" t="s">
        <v>74</v>
      </c>
      <c r="BB695">
        <v>4303</v>
      </c>
      <c r="BC695">
        <v>4314</v>
      </c>
      <c r="BD695" t="s">
        <v>74</v>
      </c>
      <c r="BE695" t="s">
        <v>13918</v>
      </c>
      <c r="BF695" t="str">
        <f>HYPERLINK("http://dx.doi.org/10.1109/JSYST.2020.3026879","http://dx.doi.org/10.1109/JSYST.2020.3026879")</f>
        <v>http://dx.doi.org/10.1109/JSYST.2020.3026879</v>
      </c>
      <c r="BG695" t="s">
        <v>74</v>
      </c>
      <c r="BH695" t="s">
        <v>74</v>
      </c>
      <c r="BI695">
        <v>12</v>
      </c>
      <c r="BJ695" t="s">
        <v>13919</v>
      </c>
      <c r="BK695" t="s">
        <v>902</v>
      </c>
      <c r="BL695" t="s">
        <v>13920</v>
      </c>
      <c r="BM695" t="s">
        <v>13921</v>
      </c>
      <c r="BN695" t="s">
        <v>74</v>
      </c>
      <c r="BO695" t="s">
        <v>74</v>
      </c>
      <c r="BP695" t="s">
        <v>74</v>
      </c>
      <c r="BQ695" t="s">
        <v>74</v>
      </c>
      <c r="BR695" t="s">
        <v>106</v>
      </c>
      <c r="BS695" t="s">
        <v>13922</v>
      </c>
      <c r="BT695" t="str">
        <f>HYPERLINK("https%3A%2F%2Fwww.webofscience.com%2Fwos%2Fwoscc%2Ffull-record%2FWOS:000690994700119","View Full Record in Web of Science")</f>
        <v>View Full Record in Web of Science</v>
      </c>
    </row>
    <row r="696" spans="1:72" x14ac:dyDescent="0.25">
      <c r="A696" t="s">
        <v>108</v>
      </c>
      <c r="B696" t="s">
        <v>13923</v>
      </c>
      <c r="C696" t="s">
        <v>74</v>
      </c>
      <c r="D696" t="s">
        <v>74</v>
      </c>
      <c r="E696" t="s">
        <v>465</v>
      </c>
      <c r="F696" t="s">
        <v>13924</v>
      </c>
      <c r="G696" t="s">
        <v>74</v>
      </c>
      <c r="H696" t="s">
        <v>74</v>
      </c>
      <c r="I696" t="s">
        <v>13925</v>
      </c>
      <c r="J696" t="s">
        <v>13926</v>
      </c>
      <c r="K696" t="s">
        <v>74</v>
      </c>
      <c r="L696" t="s">
        <v>74</v>
      </c>
      <c r="M696" t="s">
        <v>78</v>
      </c>
      <c r="N696" t="s">
        <v>115</v>
      </c>
      <c r="O696" t="s">
        <v>13927</v>
      </c>
      <c r="P696" t="s">
        <v>13928</v>
      </c>
      <c r="Q696" t="s">
        <v>4669</v>
      </c>
      <c r="R696" t="s">
        <v>13929</v>
      </c>
      <c r="S696" t="s">
        <v>74</v>
      </c>
      <c r="T696" t="s">
        <v>13930</v>
      </c>
      <c r="U696" t="s">
        <v>74</v>
      </c>
      <c r="V696" t="s">
        <v>13931</v>
      </c>
      <c r="W696" t="s">
        <v>13932</v>
      </c>
      <c r="X696" t="s">
        <v>8045</v>
      </c>
      <c r="Y696" t="s">
        <v>13933</v>
      </c>
      <c r="Z696" t="s">
        <v>13934</v>
      </c>
      <c r="AA696" t="s">
        <v>74</v>
      </c>
      <c r="AB696" t="s">
        <v>74</v>
      </c>
      <c r="AC696" t="s">
        <v>13935</v>
      </c>
      <c r="AD696" t="s">
        <v>4312</v>
      </c>
      <c r="AE696" t="s">
        <v>13936</v>
      </c>
      <c r="AF696" t="s">
        <v>74</v>
      </c>
      <c r="AG696">
        <v>21</v>
      </c>
      <c r="AH696">
        <v>2</v>
      </c>
      <c r="AI696">
        <v>2</v>
      </c>
      <c r="AJ696">
        <v>0</v>
      </c>
      <c r="AK696">
        <v>6</v>
      </c>
      <c r="AL696" t="s">
        <v>465</v>
      </c>
      <c r="AM696" t="s">
        <v>92</v>
      </c>
      <c r="AN696" t="s">
        <v>480</v>
      </c>
      <c r="AO696" t="s">
        <v>74</v>
      </c>
      <c r="AP696" t="s">
        <v>74</v>
      </c>
      <c r="AQ696" t="s">
        <v>13937</v>
      </c>
      <c r="AR696" t="s">
        <v>74</v>
      </c>
      <c r="AS696" t="s">
        <v>74</v>
      </c>
      <c r="AT696" t="s">
        <v>74</v>
      </c>
      <c r="AU696">
        <v>2020</v>
      </c>
      <c r="AV696" t="s">
        <v>74</v>
      </c>
      <c r="AW696" t="s">
        <v>74</v>
      </c>
      <c r="AX696" t="s">
        <v>74</v>
      </c>
      <c r="AY696" t="s">
        <v>74</v>
      </c>
      <c r="AZ696" t="s">
        <v>74</v>
      </c>
      <c r="BA696" t="s">
        <v>74</v>
      </c>
      <c r="BB696">
        <v>177</v>
      </c>
      <c r="BC696">
        <v>182</v>
      </c>
      <c r="BD696" t="s">
        <v>74</v>
      </c>
      <c r="BE696" t="s">
        <v>13938</v>
      </c>
      <c r="BF696" t="str">
        <f>HYPERLINK("http://dx.doi.org/10.1109/icaibd49809.2020.9137497","http://dx.doi.org/10.1109/icaibd49809.2020.9137497")</f>
        <v>http://dx.doi.org/10.1109/icaibd49809.2020.9137497</v>
      </c>
      <c r="BG696" t="s">
        <v>74</v>
      </c>
      <c r="BH696" t="s">
        <v>74</v>
      </c>
      <c r="BI696">
        <v>6</v>
      </c>
      <c r="BJ696" t="s">
        <v>1399</v>
      </c>
      <c r="BK696" t="s">
        <v>203</v>
      </c>
      <c r="BL696" t="s">
        <v>103</v>
      </c>
      <c r="BM696" t="s">
        <v>13939</v>
      </c>
      <c r="BN696" t="s">
        <v>74</v>
      </c>
      <c r="BO696" t="s">
        <v>74</v>
      </c>
      <c r="BP696" t="s">
        <v>74</v>
      </c>
      <c r="BQ696" t="s">
        <v>74</v>
      </c>
      <c r="BR696" t="s">
        <v>106</v>
      </c>
      <c r="BS696" t="s">
        <v>13940</v>
      </c>
      <c r="BT696" t="str">
        <f>HYPERLINK("https%3A%2F%2Fwww.webofscience.com%2Fwos%2Fwoscc%2Ffull-record%2FWOS:000618763400034","View Full Record in Web of Science")</f>
        <v>View Full Record in Web of Science</v>
      </c>
    </row>
    <row r="697" spans="1:72" x14ac:dyDescent="0.25">
      <c r="A697" t="s">
        <v>72</v>
      </c>
      <c r="B697" t="s">
        <v>13941</v>
      </c>
      <c r="C697" t="s">
        <v>74</v>
      </c>
      <c r="D697" t="s">
        <v>74</v>
      </c>
      <c r="E697" t="s">
        <v>74</v>
      </c>
      <c r="F697" t="s">
        <v>13942</v>
      </c>
      <c r="G697" t="s">
        <v>74</v>
      </c>
      <c r="H697" t="s">
        <v>74</v>
      </c>
      <c r="I697" t="s">
        <v>13943</v>
      </c>
      <c r="J697" t="s">
        <v>3637</v>
      </c>
      <c r="K697" t="s">
        <v>74</v>
      </c>
      <c r="L697" t="s">
        <v>74</v>
      </c>
      <c r="M697" t="s">
        <v>78</v>
      </c>
      <c r="N697" t="s">
        <v>79</v>
      </c>
      <c r="O697" t="s">
        <v>74</v>
      </c>
      <c r="P697" t="s">
        <v>74</v>
      </c>
      <c r="Q697" t="s">
        <v>74</v>
      </c>
      <c r="R697" t="s">
        <v>74</v>
      </c>
      <c r="S697" t="s">
        <v>74</v>
      </c>
      <c r="T697" t="s">
        <v>13944</v>
      </c>
      <c r="U697" t="s">
        <v>13945</v>
      </c>
      <c r="V697" t="s">
        <v>13946</v>
      </c>
      <c r="W697" t="s">
        <v>13947</v>
      </c>
      <c r="X697" t="s">
        <v>13948</v>
      </c>
      <c r="Y697" t="s">
        <v>13949</v>
      </c>
      <c r="Z697" t="s">
        <v>13950</v>
      </c>
      <c r="AA697" t="s">
        <v>74</v>
      </c>
      <c r="AB697" t="s">
        <v>13951</v>
      </c>
      <c r="AC697" t="s">
        <v>13952</v>
      </c>
      <c r="AD697" t="s">
        <v>13953</v>
      </c>
      <c r="AE697" t="s">
        <v>13954</v>
      </c>
      <c r="AF697" t="s">
        <v>74</v>
      </c>
      <c r="AG697">
        <v>44</v>
      </c>
      <c r="AH697">
        <v>0</v>
      </c>
      <c r="AI697">
        <v>0</v>
      </c>
      <c r="AJ697">
        <v>1</v>
      </c>
      <c r="AK697">
        <v>8</v>
      </c>
      <c r="AL697" t="s">
        <v>178</v>
      </c>
      <c r="AM697" t="s">
        <v>1005</v>
      </c>
      <c r="AN697" t="s">
        <v>1006</v>
      </c>
      <c r="AO697" t="s">
        <v>3644</v>
      </c>
      <c r="AP697" t="s">
        <v>3645</v>
      </c>
      <c r="AQ697" t="s">
        <v>74</v>
      </c>
      <c r="AR697" t="s">
        <v>3646</v>
      </c>
      <c r="AS697" t="s">
        <v>3647</v>
      </c>
      <c r="AT697" t="s">
        <v>1278</v>
      </c>
      <c r="AU697">
        <v>2025</v>
      </c>
      <c r="AV697">
        <v>81</v>
      </c>
      <c r="AW697">
        <v>1</v>
      </c>
      <c r="AX697" t="s">
        <v>74</v>
      </c>
      <c r="AY697" t="s">
        <v>74</v>
      </c>
      <c r="AZ697" t="s">
        <v>74</v>
      </c>
      <c r="BA697" t="s">
        <v>74</v>
      </c>
      <c r="BB697" t="s">
        <v>74</v>
      </c>
      <c r="BC697" t="s">
        <v>74</v>
      </c>
      <c r="BD697">
        <v>122</v>
      </c>
      <c r="BE697" t="s">
        <v>13955</v>
      </c>
      <c r="BF697" t="str">
        <f>HYPERLINK("http://dx.doi.org/10.1007/s11227-024-06502-1","http://dx.doi.org/10.1007/s11227-024-06502-1")</f>
        <v>http://dx.doi.org/10.1007/s11227-024-06502-1</v>
      </c>
      <c r="BG697" t="s">
        <v>74</v>
      </c>
      <c r="BH697" t="s">
        <v>74</v>
      </c>
      <c r="BI697">
        <v>23</v>
      </c>
      <c r="BJ697" t="s">
        <v>3649</v>
      </c>
      <c r="BK697" t="s">
        <v>902</v>
      </c>
      <c r="BL697" t="s">
        <v>953</v>
      </c>
      <c r="BM697" t="s">
        <v>13956</v>
      </c>
      <c r="BN697" t="s">
        <v>74</v>
      </c>
      <c r="BO697" t="s">
        <v>74</v>
      </c>
      <c r="BP697" t="s">
        <v>74</v>
      </c>
      <c r="BQ697" t="s">
        <v>74</v>
      </c>
      <c r="BR697" t="s">
        <v>106</v>
      </c>
      <c r="BS697" t="s">
        <v>13957</v>
      </c>
      <c r="BT697" t="str">
        <f>HYPERLINK("https%3A%2F%2Fwww.webofscience.com%2Fwos%2Fwoscc%2Ffull-record%2FWOS:001348654300011","View Full Record in Web of Science")</f>
        <v>View Full Record in Web of Science</v>
      </c>
    </row>
    <row r="698" spans="1:72" x14ac:dyDescent="0.25">
      <c r="A698" t="s">
        <v>72</v>
      </c>
      <c r="B698" t="s">
        <v>13958</v>
      </c>
      <c r="C698" t="s">
        <v>74</v>
      </c>
      <c r="D698" t="s">
        <v>74</v>
      </c>
      <c r="E698" t="s">
        <v>74</v>
      </c>
      <c r="F698" t="s">
        <v>13958</v>
      </c>
      <c r="G698" t="s">
        <v>74</v>
      </c>
      <c r="H698" t="s">
        <v>74</v>
      </c>
      <c r="I698" t="s">
        <v>13959</v>
      </c>
      <c r="J698" t="s">
        <v>13960</v>
      </c>
      <c r="K698" t="s">
        <v>74</v>
      </c>
      <c r="L698" t="s">
        <v>74</v>
      </c>
      <c r="M698" t="s">
        <v>78</v>
      </c>
      <c r="N698" t="s">
        <v>79</v>
      </c>
      <c r="O698" t="s">
        <v>74</v>
      </c>
      <c r="P698" t="s">
        <v>74</v>
      </c>
      <c r="Q698" t="s">
        <v>74</v>
      </c>
      <c r="R698" t="s">
        <v>74</v>
      </c>
      <c r="S698" t="s">
        <v>74</v>
      </c>
      <c r="T698" t="s">
        <v>74</v>
      </c>
      <c r="U698" t="s">
        <v>13961</v>
      </c>
      <c r="V698" t="s">
        <v>13962</v>
      </c>
      <c r="W698" t="s">
        <v>13963</v>
      </c>
      <c r="X698" t="s">
        <v>13964</v>
      </c>
      <c r="Y698" t="s">
        <v>13965</v>
      </c>
      <c r="Z698" t="s">
        <v>74</v>
      </c>
      <c r="AA698" t="s">
        <v>74</v>
      </c>
      <c r="AB698" t="s">
        <v>74</v>
      </c>
      <c r="AC698" t="s">
        <v>74</v>
      </c>
      <c r="AD698" t="s">
        <v>74</v>
      </c>
      <c r="AE698" t="s">
        <v>74</v>
      </c>
      <c r="AF698" t="s">
        <v>74</v>
      </c>
      <c r="AG698">
        <v>46</v>
      </c>
      <c r="AH698">
        <v>26</v>
      </c>
      <c r="AI698">
        <v>30</v>
      </c>
      <c r="AJ698">
        <v>0</v>
      </c>
      <c r="AK698">
        <v>10</v>
      </c>
      <c r="AL698" t="s">
        <v>1136</v>
      </c>
      <c r="AM698" t="s">
        <v>1137</v>
      </c>
      <c r="AN698" t="s">
        <v>1138</v>
      </c>
      <c r="AO698" t="s">
        <v>13966</v>
      </c>
      <c r="AP698" t="s">
        <v>13967</v>
      </c>
      <c r="AQ698" t="s">
        <v>74</v>
      </c>
      <c r="AR698" t="s">
        <v>13968</v>
      </c>
      <c r="AS698" t="s">
        <v>13969</v>
      </c>
      <c r="AT698" t="s">
        <v>246</v>
      </c>
      <c r="AU698">
        <v>2001</v>
      </c>
      <c r="AV698">
        <v>33</v>
      </c>
      <c r="AW698">
        <v>5</v>
      </c>
      <c r="AX698" t="s">
        <v>74</v>
      </c>
      <c r="AY698" t="s">
        <v>74</v>
      </c>
      <c r="AZ698" t="s">
        <v>74</v>
      </c>
      <c r="BA698" t="s">
        <v>74</v>
      </c>
      <c r="BB698">
        <v>555</v>
      </c>
      <c r="BC698">
        <v>578</v>
      </c>
      <c r="BD698" t="s">
        <v>74</v>
      </c>
      <c r="BE698" t="s">
        <v>13970</v>
      </c>
      <c r="BF698" t="str">
        <f>HYPERLINK("http://dx.doi.org/10.1177/00953990122019884","http://dx.doi.org/10.1177/00953990122019884")</f>
        <v>http://dx.doi.org/10.1177/00953990122019884</v>
      </c>
      <c r="BG698" t="s">
        <v>74</v>
      </c>
      <c r="BH698" t="s">
        <v>74</v>
      </c>
      <c r="BI698">
        <v>24</v>
      </c>
      <c r="BJ698" t="s">
        <v>13971</v>
      </c>
      <c r="BK698" t="s">
        <v>250</v>
      </c>
      <c r="BL698" t="s">
        <v>13971</v>
      </c>
      <c r="BM698" t="s">
        <v>13972</v>
      </c>
      <c r="BN698" t="s">
        <v>74</v>
      </c>
      <c r="BO698" t="s">
        <v>74</v>
      </c>
      <c r="BP698" t="s">
        <v>74</v>
      </c>
      <c r="BQ698" t="s">
        <v>74</v>
      </c>
      <c r="BR698" t="s">
        <v>106</v>
      </c>
      <c r="BS698" t="s">
        <v>13973</v>
      </c>
      <c r="BT698" t="str">
        <f>HYPERLINK("https%3A%2F%2Fwww.webofscience.com%2Fwos%2Fwoscc%2Ffull-record%2FWOS:000171852300004","View Full Record in Web of Science")</f>
        <v>View Full Record in Web of Science</v>
      </c>
    </row>
    <row r="699" spans="1:72" x14ac:dyDescent="0.25">
      <c r="A699" t="s">
        <v>72</v>
      </c>
      <c r="B699" t="s">
        <v>13974</v>
      </c>
      <c r="C699" t="s">
        <v>74</v>
      </c>
      <c r="D699" t="s">
        <v>74</v>
      </c>
      <c r="E699" t="s">
        <v>74</v>
      </c>
      <c r="F699" t="s">
        <v>13975</v>
      </c>
      <c r="G699" t="s">
        <v>74</v>
      </c>
      <c r="H699" t="s">
        <v>74</v>
      </c>
      <c r="I699" t="s">
        <v>13976</v>
      </c>
      <c r="J699" t="s">
        <v>5225</v>
      </c>
      <c r="K699" t="s">
        <v>74</v>
      </c>
      <c r="L699" t="s">
        <v>74</v>
      </c>
      <c r="M699" t="s">
        <v>78</v>
      </c>
      <c r="N699" t="s">
        <v>79</v>
      </c>
      <c r="O699" t="s">
        <v>74</v>
      </c>
      <c r="P699" t="s">
        <v>74</v>
      </c>
      <c r="Q699" t="s">
        <v>74</v>
      </c>
      <c r="R699" t="s">
        <v>74</v>
      </c>
      <c r="S699" t="s">
        <v>74</v>
      </c>
      <c r="T699" t="s">
        <v>13977</v>
      </c>
      <c r="U699" t="s">
        <v>74</v>
      </c>
      <c r="V699" t="s">
        <v>13978</v>
      </c>
      <c r="W699" t="s">
        <v>13979</v>
      </c>
      <c r="X699" t="s">
        <v>13980</v>
      </c>
      <c r="Y699" t="s">
        <v>13981</v>
      </c>
      <c r="Z699" t="s">
        <v>13982</v>
      </c>
      <c r="AA699" t="s">
        <v>13983</v>
      </c>
      <c r="AB699" t="s">
        <v>74</v>
      </c>
      <c r="AC699" t="s">
        <v>13984</v>
      </c>
      <c r="AD699" t="s">
        <v>13985</v>
      </c>
      <c r="AE699" t="s">
        <v>13986</v>
      </c>
      <c r="AF699" t="s">
        <v>74</v>
      </c>
      <c r="AG699">
        <v>41</v>
      </c>
      <c r="AH699">
        <v>10</v>
      </c>
      <c r="AI699">
        <v>10</v>
      </c>
      <c r="AJ699">
        <v>3</v>
      </c>
      <c r="AK699">
        <v>11</v>
      </c>
      <c r="AL699" t="s">
        <v>736</v>
      </c>
      <c r="AM699" t="s">
        <v>737</v>
      </c>
      <c r="AN699" t="s">
        <v>738</v>
      </c>
      <c r="AO699" t="s">
        <v>5232</v>
      </c>
      <c r="AP699" t="s">
        <v>5233</v>
      </c>
      <c r="AQ699" t="s">
        <v>74</v>
      </c>
      <c r="AR699" t="s">
        <v>5234</v>
      </c>
      <c r="AS699" t="s">
        <v>5235</v>
      </c>
      <c r="AT699" t="s">
        <v>5278</v>
      </c>
      <c r="AU699">
        <v>2023</v>
      </c>
      <c r="AV699">
        <v>229</v>
      </c>
      <c r="AW699" t="s">
        <v>74</v>
      </c>
      <c r="AX699" t="s">
        <v>13987</v>
      </c>
      <c r="AY699" t="s">
        <v>74</v>
      </c>
      <c r="AZ699" t="s">
        <v>74</v>
      </c>
      <c r="BA699" t="s">
        <v>74</v>
      </c>
      <c r="BB699" t="s">
        <v>74</v>
      </c>
      <c r="BC699" t="s">
        <v>74</v>
      </c>
      <c r="BD699">
        <v>120468</v>
      </c>
      <c r="BE699" t="s">
        <v>13988</v>
      </c>
      <c r="BF699" t="str">
        <f>HYPERLINK("http://dx.doi.org/10.1016/j.eswa.2023.120468","http://dx.doi.org/10.1016/j.eswa.2023.120468")</f>
        <v>http://dx.doi.org/10.1016/j.eswa.2023.120468</v>
      </c>
      <c r="BG699" t="s">
        <v>74</v>
      </c>
      <c r="BH699" t="s">
        <v>13989</v>
      </c>
      <c r="BI699">
        <v>13</v>
      </c>
      <c r="BJ699" t="s">
        <v>5237</v>
      </c>
      <c r="BK699" t="s">
        <v>902</v>
      </c>
      <c r="BL699" t="s">
        <v>5238</v>
      </c>
      <c r="BM699" t="s">
        <v>13990</v>
      </c>
      <c r="BN699" t="s">
        <v>74</v>
      </c>
      <c r="BO699" t="s">
        <v>74</v>
      </c>
      <c r="BP699" t="s">
        <v>74</v>
      </c>
      <c r="BQ699" t="s">
        <v>74</v>
      </c>
      <c r="BR699" t="s">
        <v>106</v>
      </c>
      <c r="BS699" t="s">
        <v>13991</v>
      </c>
      <c r="BT699" t="str">
        <f>HYPERLINK("https%3A%2F%2Fwww.webofscience.com%2Fwos%2Fwoscc%2Ffull-record%2FWOS:001017527000001","View Full Record in Web of Science")</f>
        <v>View Full Record in Web of Science</v>
      </c>
    </row>
    <row r="700" spans="1:72" x14ac:dyDescent="0.25">
      <c r="A700" t="s">
        <v>108</v>
      </c>
      <c r="B700" t="s">
        <v>13992</v>
      </c>
      <c r="C700" t="s">
        <v>74</v>
      </c>
      <c r="D700" t="s">
        <v>74</v>
      </c>
      <c r="E700" t="s">
        <v>465</v>
      </c>
      <c r="F700" t="s">
        <v>13993</v>
      </c>
      <c r="G700" t="s">
        <v>74</v>
      </c>
      <c r="H700" t="s">
        <v>74</v>
      </c>
      <c r="I700" t="s">
        <v>13994</v>
      </c>
      <c r="J700" t="s">
        <v>13995</v>
      </c>
      <c r="K700" t="s">
        <v>74</v>
      </c>
      <c r="L700" t="s">
        <v>74</v>
      </c>
      <c r="M700" t="s">
        <v>78</v>
      </c>
      <c r="N700" t="s">
        <v>115</v>
      </c>
      <c r="O700" t="s">
        <v>13996</v>
      </c>
      <c r="P700" t="s">
        <v>13997</v>
      </c>
      <c r="Q700" t="s">
        <v>8325</v>
      </c>
      <c r="R700" t="s">
        <v>465</v>
      </c>
      <c r="S700" t="s">
        <v>74</v>
      </c>
      <c r="T700" t="s">
        <v>13998</v>
      </c>
      <c r="U700" t="s">
        <v>74</v>
      </c>
      <c r="V700" t="s">
        <v>13999</v>
      </c>
      <c r="W700" t="s">
        <v>14000</v>
      </c>
      <c r="X700" t="s">
        <v>74</v>
      </c>
      <c r="Y700" t="s">
        <v>14001</v>
      </c>
      <c r="Z700" t="s">
        <v>14002</v>
      </c>
      <c r="AA700" t="s">
        <v>74</v>
      </c>
      <c r="AB700" t="s">
        <v>74</v>
      </c>
      <c r="AC700" t="s">
        <v>74</v>
      </c>
      <c r="AD700" t="s">
        <v>74</v>
      </c>
      <c r="AE700" t="s">
        <v>74</v>
      </c>
      <c r="AF700" t="s">
        <v>74</v>
      </c>
      <c r="AG700">
        <v>10</v>
      </c>
      <c r="AH700">
        <v>1</v>
      </c>
      <c r="AI700">
        <v>1</v>
      </c>
      <c r="AJ700">
        <v>0</v>
      </c>
      <c r="AK700">
        <v>0</v>
      </c>
      <c r="AL700" t="s">
        <v>465</v>
      </c>
      <c r="AM700" t="s">
        <v>92</v>
      </c>
      <c r="AN700" t="s">
        <v>480</v>
      </c>
      <c r="AO700" t="s">
        <v>74</v>
      </c>
      <c r="AP700" t="s">
        <v>74</v>
      </c>
      <c r="AQ700" t="s">
        <v>14003</v>
      </c>
      <c r="AR700" t="s">
        <v>74</v>
      </c>
      <c r="AS700" t="s">
        <v>74</v>
      </c>
      <c r="AT700" t="s">
        <v>74</v>
      </c>
      <c r="AU700">
        <v>2014</v>
      </c>
      <c r="AV700" t="s">
        <v>74</v>
      </c>
      <c r="AW700" t="s">
        <v>74</v>
      </c>
      <c r="AX700" t="s">
        <v>74</v>
      </c>
      <c r="AY700" t="s">
        <v>74</v>
      </c>
      <c r="AZ700" t="s">
        <v>74</v>
      </c>
      <c r="BA700" t="s">
        <v>74</v>
      </c>
      <c r="BB700">
        <v>496</v>
      </c>
      <c r="BC700">
        <v>498</v>
      </c>
      <c r="BD700" t="s">
        <v>74</v>
      </c>
      <c r="BE700" t="s">
        <v>74</v>
      </c>
      <c r="BF700" t="s">
        <v>74</v>
      </c>
      <c r="BG700" t="s">
        <v>74</v>
      </c>
      <c r="BH700" t="s">
        <v>74</v>
      </c>
      <c r="BI700">
        <v>3</v>
      </c>
      <c r="BJ700" t="s">
        <v>972</v>
      </c>
      <c r="BK700" t="s">
        <v>203</v>
      </c>
      <c r="BL700" t="s">
        <v>953</v>
      </c>
      <c r="BM700" t="s">
        <v>14004</v>
      </c>
      <c r="BN700" t="s">
        <v>74</v>
      </c>
      <c r="BO700" t="s">
        <v>74</v>
      </c>
      <c r="BP700" t="s">
        <v>74</v>
      </c>
      <c r="BQ700" t="s">
        <v>74</v>
      </c>
      <c r="BR700" t="s">
        <v>106</v>
      </c>
      <c r="BS700" t="s">
        <v>14005</v>
      </c>
      <c r="BT700" t="str">
        <f>HYPERLINK("https%3A%2F%2Fwww.webofscience.com%2Fwos%2Fwoscc%2Ffull-record%2FWOS:000355281800126","View Full Record in Web of Science")</f>
        <v>View Full Record in Web of Science</v>
      </c>
    </row>
    <row r="701" spans="1:72" x14ac:dyDescent="0.25">
      <c r="A701" t="s">
        <v>108</v>
      </c>
      <c r="B701" t="s">
        <v>14006</v>
      </c>
      <c r="C701" t="s">
        <v>74</v>
      </c>
      <c r="D701" t="s">
        <v>14007</v>
      </c>
      <c r="E701" t="s">
        <v>74</v>
      </c>
      <c r="F701" t="s">
        <v>14008</v>
      </c>
      <c r="G701" t="s">
        <v>74</v>
      </c>
      <c r="H701" t="s">
        <v>74</v>
      </c>
      <c r="I701" t="s">
        <v>14009</v>
      </c>
      <c r="J701" t="s">
        <v>14010</v>
      </c>
      <c r="K701" t="s">
        <v>9126</v>
      </c>
      <c r="L701" t="s">
        <v>74</v>
      </c>
      <c r="M701" t="s">
        <v>78</v>
      </c>
      <c r="N701" t="s">
        <v>115</v>
      </c>
      <c r="O701" t="s">
        <v>14011</v>
      </c>
      <c r="P701" t="s">
        <v>14012</v>
      </c>
      <c r="Q701" t="s">
        <v>13151</v>
      </c>
      <c r="R701" t="s">
        <v>74</v>
      </c>
      <c r="S701" t="s">
        <v>74</v>
      </c>
      <c r="T701" t="s">
        <v>74</v>
      </c>
      <c r="U701" t="s">
        <v>74</v>
      </c>
      <c r="V701" t="s">
        <v>14013</v>
      </c>
      <c r="W701" t="s">
        <v>14014</v>
      </c>
      <c r="X701" t="s">
        <v>14015</v>
      </c>
      <c r="Y701" t="s">
        <v>14016</v>
      </c>
      <c r="Z701" t="s">
        <v>14017</v>
      </c>
      <c r="AA701" t="s">
        <v>14018</v>
      </c>
      <c r="AB701" t="s">
        <v>14019</v>
      </c>
      <c r="AC701" t="s">
        <v>74</v>
      </c>
      <c r="AD701" t="s">
        <v>74</v>
      </c>
      <c r="AE701" t="s">
        <v>74</v>
      </c>
      <c r="AF701" t="s">
        <v>74</v>
      </c>
      <c r="AG701">
        <v>14</v>
      </c>
      <c r="AH701">
        <v>0</v>
      </c>
      <c r="AI701">
        <v>0</v>
      </c>
      <c r="AJ701">
        <v>0</v>
      </c>
      <c r="AK701">
        <v>0</v>
      </c>
      <c r="AL701" t="s">
        <v>2179</v>
      </c>
      <c r="AM701" t="s">
        <v>363</v>
      </c>
      <c r="AN701" t="s">
        <v>2180</v>
      </c>
      <c r="AO701" t="s">
        <v>9137</v>
      </c>
      <c r="AP701" t="s">
        <v>14020</v>
      </c>
      <c r="AQ701" t="s">
        <v>14021</v>
      </c>
      <c r="AR701" t="s">
        <v>9139</v>
      </c>
      <c r="AS701" t="s">
        <v>74</v>
      </c>
      <c r="AT701" t="s">
        <v>74</v>
      </c>
      <c r="AU701">
        <v>2011</v>
      </c>
      <c r="AV701">
        <v>222</v>
      </c>
      <c r="AW701" t="s">
        <v>74</v>
      </c>
      <c r="AX701" t="s">
        <v>74</v>
      </c>
      <c r="AY701" t="s">
        <v>74</v>
      </c>
      <c r="AZ701" t="s">
        <v>74</v>
      </c>
      <c r="BA701" t="s">
        <v>74</v>
      </c>
      <c r="BB701">
        <v>76</v>
      </c>
      <c r="BC701">
        <v>88</v>
      </c>
      <c r="BD701" t="s">
        <v>74</v>
      </c>
      <c r="BE701" t="s">
        <v>14022</v>
      </c>
      <c r="BF701" t="str">
        <f>HYPERLINK("http://dx.doi.org/10.3233/978-1-60750-676-8-76","http://dx.doi.org/10.3233/978-1-60750-676-8-76")</f>
        <v>http://dx.doi.org/10.3233/978-1-60750-676-8-76</v>
      </c>
      <c r="BG701" t="s">
        <v>74</v>
      </c>
      <c r="BH701" t="s">
        <v>74</v>
      </c>
      <c r="BI701">
        <v>13</v>
      </c>
      <c r="BJ701" t="s">
        <v>807</v>
      </c>
      <c r="BK701" t="s">
        <v>203</v>
      </c>
      <c r="BL701" t="s">
        <v>103</v>
      </c>
      <c r="BM701" t="s">
        <v>14023</v>
      </c>
      <c r="BN701" t="s">
        <v>74</v>
      </c>
      <c r="BO701" t="s">
        <v>74</v>
      </c>
      <c r="BP701" t="s">
        <v>74</v>
      </c>
      <c r="BQ701" t="s">
        <v>74</v>
      </c>
      <c r="BR701" t="s">
        <v>106</v>
      </c>
      <c r="BS701" t="s">
        <v>14024</v>
      </c>
      <c r="BT701" t="str">
        <f>HYPERLINK("https%3A%2F%2Fwww.webofscience.com%2Fwos%2Fwoscc%2Ffull-record%2FWOS:000325429800007","View Full Record in Web of Science")</f>
        <v>View Full Record in Web of Science</v>
      </c>
    </row>
    <row r="702" spans="1:72" x14ac:dyDescent="0.25">
      <c r="A702" t="s">
        <v>72</v>
      </c>
      <c r="B702" t="s">
        <v>14025</v>
      </c>
      <c r="C702" t="s">
        <v>74</v>
      </c>
      <c r="D702" t="s">
        <v>74</v>
      </c>
      <c r="E702" t="s">
        <v>74</v>
      </c>
      <c r="F702" t="s">
        <v>14026</v>
      </c>
      <c r="G702" t="s">
        <v>74</v>
      </c>
      <c r="H702" t="s">
        <v>74</v>
      </c>
      <c r="I702" t="s">
        <v>14027</v>
      </c>
      <c r="J702" t="s">
        <v>14028</v>
      </c>
      <c r="K702" t="s">
        <v>74</v>
      </c>
      <c r="L702" t="s">
        <v>74</v>
      </c>
      <c r="M702" t="s">
        <v>78</v>
      </c>
      <c r="N702" t="s">
        <v>79</v>
      </c>
      <c r="O702" t="s">
        <v>74</v>
      </c>
      <c r="P702" t="s">
        <v>74</v>
      </c>
      <c r="Q702" t="s">
        <v>74</v>
      </c>
      <c r="R702" t="s">
        <v>74</v>
      </c>
      <c r="S702" t="s">
        <v>74</v>
      </c>
      <c r="T702" t="s">
        <v>14029</v>
      </c>
      <c r="U702" t="s">
        <v>74</v>
      </c>
      <c r="V702" t="s">
        <v>14030</v>
      </c>
      <c r="W702" t="s">
        <v>14031</v>
      </c>
      <c r="X702" t="s">
        <v>14032</v>
      </c>
      <c r="Y702" t="s">
        <v>14033</v>
      </c>
      <c r="Z702" t="s">
        <v>74</v>
      </c>
      <c r="AA702" t="s">
        <v>74</v>
      </c>
      <c r="AB702" t="s">
        <v>74</v>
      </c>
      <c r="AC702" t="s">
        <v>74</v>
      </c>
      <c r="AD702" t="s">
        <v>74</v>
      </c>
      <c r="AE702" t="s">
        <v>74</v>
      </c>
      <c r="AF702" t="s">
        <v>74</v>
      </c>
      <c r="AG702">
        <v>18</v>
      </c>
      <c r="AH702">
        <v>1</v>
      </c>
      <c r="AI702">
        <v>2</v>
      </c>
      <c r="AJ702">
        <v>0</v>
      </c>
      <c r="AK702">
        <v>0</v>
      </c>
      <c r="AL702" t="s">
        <v>14034</v>
      </c>
      <c r="AM702" t="s">
        <v>13824</v>
      </c>
      <c r="AN702" t="s">
        <v>14035</v>
      </c>
      <c r="AO702" t="s">
        <v>14036</v>
      </c>
      <c r="AP702" t="s">
        <v>74</v>
      </c>
      <c r="AQ702" t="s">
        <v>74</v>
      </c>
      <c r="AR702" t="s">
        <v>14037</v>
      </c>
      <c r="AS702" t="s">
        <v>14038</v>
      </c>
      <c r="AT702" t="s">
        <v>74</v>
      </c>
      <c r="AU702">
        <v>2006</v>
      </c>
      <c r="AV702">
        <v>17</v>
      </c>
      <c r="AW702">
        <v>1</v>
      </c>
      <c r="AX702" t="s">
        <v>74</v>
      </c>
      <c r="AY702" t="s">
        <v>74</v>
      </c>
      <c r="AZ702" t="s">
        <v>74</v>
      </c>
      <c r="BA702" t="s">
        <v>74</v>
      </c>
      <c r="BB702">
        <v>5</v>
      </c>
      <c r="BC702">
        <v>17</v>
      </c>
      <c r="BD702" t="s">
        <v>74</v>
      </c>
      <c r="BE702" t="s">
        <v>14039</v>
      </c>
      <c r="BF702" t="str">
        <f>HYPERLINK("http://dx.doi.org/10.5944/reop.vol.17.num.1.2006.11319","http://dx.doi.org/10.5944/reop.vol.17.num.1.2006.11319")</f>
        <v>http://dx.doi.org/10.5944/reop.vol.17.num.1.2006.11319</v>
      </c>
      <c r="BG702" t="s">
        <v>74</v>
      </c>
      <c r="BH702" t="s">
        <v>74</v>
      </c>
      <c r="BI702">
        <v>13</v>
      </c>
      <c r="BJ702" t="s">
        <v>10400</v>
      </c>
      <c r="BK702" t="s">
        <v>102</v>
      </c>
      <c r="BL702" t="s">
        <v>251</v>
      </c>
      <c r="BM702" t="s">
        <v>14040</v>
      </c>
      <c r="BN702" t="s">
        <v>74</v>
      </c>
      <c r="BO702" t="s">
        <v>372</v>
      </c>
      <c r="BP702" t="s">
        <v>74</v>
      </c>
      <c r="BQ702" t="s">
        <v>74</v>
      </c>
      <c r="BR702" t="s">
        <v>106</v>
      </c>
      <c r="BS702" t="s">
        <v>14041</v>
      </c>
      <c r="BT702" t="str">
        <f>HYPERLINK("https%3A%2F%2Fwww.webofscience.com%2Fwos%2Fwoscc%2Ffull-record%2FWOS:000420210100001","View Full Record in Web of Science")</f>
        <v>View Full Record in Web of Science</v>
      </c>
    </row>
    <row r="703" spans="1:72" x14ac:dyDescent="0.25">
      <c r="A703" t="s">
        <v>108</v>
      </c>
      <c r="B703" t="s">
        <v>14042</v>
      </c>
      <c r="C703" t="s">
        <v>74</v>
      </c>
      <c r="D703" t="s">
        <v>14043</v>
      </c>
      <c r="E703" t="s">
        <v>74</v>
      </c>
      <c r="F703" t="s">
        <v>14044</v>
      </c>
      <c r="G703" t="s">
        <v>74</v>
      </c>
      <c r="H703" t="s">
        <v>74</v>
      </c>
      <c r="I703" t="s">
        <v>14045</v>
      </c>
      <c r="J703" t="s">
        <v>14046</v>
      </c>
      <c r="K703" t="s">
        <v>74</v>
      </c>
      <c r="L703" t="s">
        <v>74</v>
      </c>
      <c r="M703" t="s">
        <v>78</v>
      </c>
      <c r="N703" t="s">
        <v>115</v>
      </c>
      <c r="O703" t="s">
        <v>14047</v>
      </c>
      <c r="P703" t="s">
        <v>4016</v>
      </c>
      <c r="Q703" t="s">
        <v>14048</v>
      </c>
      <c r="R703" t="s">
        <v>14049</v>
      </c>
      <c r="S703" t="s">
        <v>14050</v>
      </c>
      <c r="T703" t="s">
        <v>14051</v>
      </c>
      <c r="U703" t="s">
        <v>14052</v>
      </c>
      <c r="V703" t="s">
        <v>14053</v>
      </c>
      <c r="W703" t="s">
        <v>14054</v>
      </c>
      <c r="X703" t="s">
        <v>14055</v>
      </c>
      <c r="Y703" t="s">
        <v>14056</v>
      </c>
      <c r="Z703" t="s">
        <v>14057</v>
      </c>
      <c r="AA703" t="s">
        <v>14058</v>
      </c>
      <c r="AB703" t="s">
        <v>14059</v>
      </c>
      <c r="AC703" t="s">
        <v>74</v>
      </c>
      <c r="AD703" t="s">
        <v>74</v>
      </c>
      <c r="AE703" t="s">
        <v>74</v>
      </c>
      <c r="AF703" t="s">
        <v>74</v>
      </c>
      <c r="AG703">
        <v>22</v>
      </c>
      <c r="AH703">
        <v>0</v>
      </c>
      <c r="AI703">
        <v>1</v>
      </c>
      <c r="AJ703">
        <v>0</v>
      </c>
      <c r="AK703">
        <v>5</v>
      </c>
      <c r="AL703" t="s">
        <v>465</v>
      </c>
      <c r="AM703" t="s">
        <v>92</v>
      </c>
      <c r="AN703" t="s">
        <v>480</v>
      </c>
      <c r="AO703" t="s">
        <v>74</v>
      </c>
      <c r="AP703" t="s">
        <v>74</v>
      </c>
      <c r="AQ703" t="s">
        <v>14060</v>
      </c>
      <c r="AR703" t="s">
        <v>74</v>
      </c>
      <c r="AS703" t="s">
        <v>74</v>
      </c>
      <c r="AT703" t="s">
        <v>74</v>
      </c>
      <c r="AU703">
        <v>2015</v>
      </c>
      <c r="AV703" t="s">
        <v>74</v>
      </c>
      <c r="AW703" t="s">
        <v>74</v>
      </c>
      <c r="AX703" t="s">
        <v>74</v>
      </c>
      <c r="AY703" t="s">
        <v>74</v>
      </c>
      <c r="AZ703" t="s">
        <v>74</v>
      </c>
      <c r="BA703" t="s">
        <v>74</v>
      </c>
      <c r="BB703">
        <v>766</v>
      </c>
      <c r="BC703">
        <v>771</v>
      </c>
      <c r="BD703" t="s">
        <v>74</v>
      </c>
      <c r="BE703" t="s">
        <v>74</v>
      </c>
      <c r="BF703" t="s">
        <v>74</v>
      </c>
      <c r="BG703" t="s">
        <v>74</v>
      </c>
      <c r="BH703" t="s">
        <v>74</v>
      </c>
      <c r="BI703">
        <v>6</v>
      </c>
      <c r="BJ703" t="s">
        <v>972</v>
      </c>
      <c r="BK703" t="s">
        <v>203</v>
      </c>
      <c r="BL703" t="s">
        <v>953</v>
      </c>
      <c r="BM703" t="s">
        <v>14061</v>
      </c>
      <c r="BN703" t="s">
        <v>74</v>
      </c>
      <c r="BO703" t="s">
        <v>74</v>
      </c>
      <c r="BP703" t="s">
        <v>74</v>
      </c>
      <c r="BQ703" t="s">
        <v>74</v>
      </c>
      <c r="BR703" t="s">
        <v>106</v>
      </c>
      <c r="BS703" t="s">
        <v>14062</v>
      </c>
      <c r="BT703" t="str">
        <f>HYPERLINK("https%3A%2F%2Fwww.webofscience.com%2Fwos%2Fwoscc%2Ffull-record%2FWOS:000380475900129","View Full Record in Web of Science")</f>
        <v>View Full Record in Web of Science</v>
      </c>
    </row>
    <row r="704" spans="1:72" x14ac:dyDescent="0.25">
      <c r="A704" t="s">
        <v>108</v>
      </c>
      <c r="B704" t="s">
        <v>14063</v>
      </c>
      <c r="C704" t="s">
        <v>74</v>
      </c>
      <c r="D704" t="s">
        <v>74</v>
      </c>
      <c r="E704" t="s">
        <v>322</v>
      </c>
      <c r="F704" t="s">
        <v>14064</v>
      </c>
      <c r="G704" t="s">
        <v>74</v>
      </c>
      <c r="H704" t="s">
        <v>74</v>
      </c>
      <c r="I704" t="s">
        <v>14065</v>
      </c>
      <c r="J704" t="s">
        <v>14066</v>
      </c>
      <c r="K704" t="s">
        <v>74</v>
      </c>
      <c r="L704" t="s">
        <v>74</v>
      </c>
      <c r="M704" t="s">
        <v>78</v>
      </c>
      <c r="N704" t="s">
        <v>115</v>
      </c>
      <c r="O704" t="s">
        <v>14067</v>
      </c>
      <c r="P704" t="s">
        <v>14068</v>
      </c>
      <c r="Q704" t="s">
        <v>12123</v>
      </c>
      <c r="R704" t="s">
        <v>14069</v>
      </c>
      <c r="S704" t="s">
        <v>74</v>
      </c>
      <c r="T704" t="s">
        <v>14070</v>
      </c>
      <c r="U704" t="s">
        <v>74</v>
      </c>
      <c r="V704" t="s">
        <v>14071</v>
      </c>
      <c r="W704" t="s">
        <v>14072</v>
      </c>
      <c r="X704" t="s">
        <v>74</v>
      </c>
      <c r="Y704" t="s">
        <v>14073</v>
      </c>
      <c r="Z704" t="s">
        <v>14074</v>
      </c>
      <c r="AA704" t="s">
        <v>14075</v>
      </c>
      <c r="AB704" t="s">
        <v>14076</v>
      </c>
      <c r="AC704" t="s">
        <v>74</v>
      </c>
      <c r="AD704" t="s">
        <v>74</v>
      </c>
      <c r="AE704" t="s">
        <v>74</v>
      </c>
      <c r="AF704" t="s">
        <v>74</v>
      </c>
      <c r="AG704">
        <v>38</v>
      </c>
      <c r="AH704">
        <v>0</v>
      </c>
      <c r="AI704">
        <v>0</v>
      </c>
      <c r="AJ704">
        <v>0</v>
      </c>
      <c r="AK704">
        <v>0</v>
      </c>
      <c r="AL704" t="s">
        <v>291</v>
      </c>
      <c r="AM704" t="s">
        <v>92</v>
      </c>
      <c r="AN704" t="s">
        <v>341</v>
      </c>
      <c r="AO704" t="s">
        <v>74</v>
      </c>
      <c r="AP704" t="s">
        <v>74</v>
      </c>
      <c r="AQ704" t="s">
        <v>14077</v>
      </c>
      <c r="AR704" t="s">
        <v>74</v>
      </c>
      <c r="AS704" t="s">
        <v>74</v>
      </c>
      <c r="AT704" t="s">
        <v>74</v>
      </c>
      <c r="AU704">
        <v>2025</v>
      </c>
      <c r="AV704" t="s">
        <v>74</v>
      </c>
      <c r="AW704" t="s">
        <v>74</v>
      </c>
      <c r="AX704" t="s">
        <v>74</v>
      </c>
      <c r="AY704" t="s">
        <v>74</v>
      </c>
      <c r="AZ704" t="s">
        <v>74</v>
      </c>
      <c r="BA704" t="s">
        <v>74</v>
      </c>
      <c r="BB704">
        <v>4396</v>
      </c>
      <c r="BC704">
        <v>4405</v>
      </c>
      <c r="BD704" t="s">
        <v>74</v>
      </c>
      <c r="BE704" t="s">
        <v>14078</v>
      </c>
      <c r="BF704" t="str">
        <f>HYPERLINK("http://dx.doi.org/10.1145/3711896.3737265","http://dx.doi.org/10.1145/3711896.3737265")</f>
        <v>http://dx.doi.org/10.1145/3711896.3737265</v>
      </c>
      <c r="BG704" t="s">
        <v>74</v>
      </c>
      <c r="BH704" t="s">
        <v>74</v>
      </c>
      <c r="BI704">
        <v>10</v>
      </c>
      <c r="BJ704" t="s">
        <v>461</v>
      </c>
      <c r="BK704" t="s">
        <v>203</v>
      </c>
      <c r="BL704" t="s">
        <v>103</v>
      </c>
      <c r="BM704" t="s">
        <v>14079</v>
      </c>
      <c r="BN704" t="s">
        <v>74</v>
      </c>
      <c r="BO704" t="s">
        <v>398</v>
      </c>
      <c r="BP704" t="s">
        <v>74</v>
      </c>
      <c r="BQ704" t="s">
        <v>74</v>
      </c>
      <c r="BR704" t="s">
        <v>106</v>
      </c>
      <c r="BS704" t="s">
        <v>14080</v>
      </c>
      <c r="BT704" t="str">
        <f>HYPERLINK("https%3A%2F%2Fwww.webofscience.com%2Fwos%2Fwoscc%2Ffull-record%2FWOS:001592428900381","View Full Record in Web of Science")</f>
        <v>View Full Record in Web of Science</v>
      </c>
    </row>
    <row r="705" spans="1:72" x14ac:dyDescent="0.25">
      <c r="A705" t="s">
        <v>72</v>
      </c>
      <c r="B705" t="s">
        <v>14081</v>
      </c>
      <c r="C705" t="s">
        <v>74</v>
      </c>
      <c r="D705" t="s">
        <v>74</v>
      </c>
      <c r="E705" t="s">
        <v>74</v>
      </c>
      <c r="F705" t="s">
        <v>14082</v>
      </c>
      <c r="G705" t="s">
        <v>74</v>
      </c>
      <c r="H705" t="s">
        <v>74</v>
      </c>
      <c r="I705" t="s">
        <v>14083</v>
      </c>
      <c r="J705" t="s">
        <v>14084</v>
      </c>
      <c r="K705" t="s">
        <v>74</v>
      </c>
      <c r="L705" t="s">
        <v>74</v>
      </c>
      <c r="M705" t="s">
        <v>78</v>
      </c>
      <c r="N705" t="s">
        <v>79</v>
      </c>
      <c r="O705" t="s">
        <v>74</v>
      </c>
      <c r="P705" t="s">
        <v>74</v>
      </c>
      <c r="Q705" t="s">
        <v>74</v>
      </c>
      <c r="R705" t="s">
        <v>74</v>
      </c>
      <c r="S705" t="s">
        <v>74</v>
      </c>
      <c r="T705" t="s">
        <v>14085</v>
      </c>
      <c r="U705" t="s">
        <v>14086</v>
      </c>
      <c r="V705" t="s">
        <v>14087</v>
      </c>
      <c r="W705" t="s">
        <v>14088</v>
      </c>
      <c r="X705" t="s">
        <v>14089</v>
      </c>
      <c r="Y705" t="s">
        <v>14090</v>
      </c>
      <c r="Z705" t="s">
        <v>14091</v>
      </c>
      <c r="AA705" t="s">
        <v>14092</v>
      </c>
      <c r="AB705" t="s">
        <v>74</v>
      </c>
      <c r="AC705" t="s">
        <v>14093</v>
      </c>
      <c r="AD705" t="s">
        <v>14093</v>
      </c>
      <c r="AE705" t="s">
        <v>14094</v>
      </c>
      <c r="AF705" t="s">
        <v>74</v>
      </c>
      <c r="AG705">
        <v>39</v>
      </c>
      <c r="AH705">
        <v>13</v>
      </c>
      <c r="AI705">
        <v>23</v>
      </c>
      <c r="AJ705">
        <v>0</v>
      </c>
      <c r="AK705">
        <v>29</v>
      </c>
      <c r="AL705" t="s">
        <v>310</v>
      </c>
      <c r="AM705" t="s">
        <v>311</v>
      </c>
      <c r="AN705" t="s">
        <v>312</v>
      </c>
      <c r="AO705" t="s">
        <v>14095</v>
      </c>
      <c r="AP705" t="s">
        <v>14096</v>
      </c>
      <c r="AQ705" t="s">
        <v>74</v>
      </c>
      <c r="AR705" t="s">
        <v>14097</v>
      </c>
      <c r="AS705" t="s">
        <v>14098</v>
      </c>
      <c r="AT705" t="s">
        <v>12024</v>
      </c>
      <c r="AU705">
        <v>2020</v>
      </c>
      <c r="AV705">
        <v>24</v>
      </c>
      <c r="AW705">
        <v>3</v>
      </c>
      <c r="AX705" t="s">
        <v>74</v>
      </c>
      <c r="AY705" t="s">
        <v>74</v>
      </c>
      <c r="AZ705" t="s">
        <v>74</v>
      </c>
      <c r="BA705" t="s">
        <v>74</v>
      </c>
      <c r="BB705">
        <v>435</v>
      </c>
      <c r="BC705">
        <v>446</v>
      </c>
      <c r="BD705" t="s">
        <v>74</v>
      </c>
      <c r="BE705" t="s">
        <v>14099</v>
      </c>
      <c r="BF705" t="str">
        <f>HYPERLINK("http://dx.doi.org/10.1080/18117295.2020.1841961","http://dx.doi.org/10.1080/18117295.2020.1841961")</f>
        <v>http://dx.doi.org/10.1080/18117295.2020.1841961</v>
      </c>
      <c r="BG705" t="s">
        <v>74</v>
      </c>
      <c r="BH705" t="s">
        <v>14100</v>
      </c>
      <c r="BI705">
        <v>12</v>
      </c>
      <c r="BJ705" t="s">
        <v>2397</v>
      </c>
      <c r="BK705" t="s">
        <v>102</v>
      </c>
      <c r="BL705" t="s">
        <v>318</v>
      </c>
      <c r="BM705" t="s">
        <v>14101</v>
      </c>
      <c r="BN705" t="s">
        <v>74</v>
      </c>
      <c r="BO705" t="s">
        <v>74</v>
      </c>
      <c r="BP705" t="s">
        <v>74</v>
      </c>
      <c r="BQ705" t="s">
        <v>74</v>
      </c>
      <c r="BR705" t="s">
        <v>106</v>
      </c>
      <c r="BS705" t="s">
        <v>14102</v>
      </c>
      <c r="BT705" t="str">
        <f>HYPERLINK("https%3A%2F%2Fwww.webofscience.com%2Fwos%2Fwoscc%2Ffull-record%2FWOS:000591830500001","View Full Record in Web of Science")</f>
        <v>View Full Record in Web of Science</v>
      </c>
    </row>
    <row r="706" spans="1:72" x14ac:dyDescent="0.25">
      <c r="A706" t="s">
        <v>108</v>
      </c>
      <c r="B706" t="s">
        <v>14103</v>
      </c>
      <c r="C706" t="s">
        <v>74</v>
      </c>
      <c r="D706" t="s">
        <v>14104</v>
      </c>
      <c r="E706" t="s">
        <v>74</v>
      </c>
      <c r="F706" t="s">
        <v>14105</v>
      </c>
      <c r="G706" t="s">
        <v>74</v>
      </c>
      <c r="H706" t="s">
        <v>74</v>
      </c>
      <c r="I706" t="s">
        <v>14106</v>
      </c>
      <c r="J706" t="s">
        <v>14107</v>
      </c>
      <c r="K706" t="s">
        <v>74</v>
      </c>
      <c r="L706" t="s">
        <v>74</v>
      </c>
      <c r="M706" t="s">
        <v>78</v>
      </c>
      <c r="N706" t="s">
        <v>115</v>
      </c>
      <c r="O706" t="s">
        <v>14108</v>
      </c>
      <c r="P706" t="s">
        <v>14109</v>
      </c>
      <c r="Q706" t="s">
        <v>1767</v>
      </c>
      <c r="R706" t="s">
        <v>74</v>
      </c>
      <c r="S706" t="s">
        <v>74</v>
      </c>
      <c r="T706" t="s">
        <v>14110</v>
      </c>
      <c r="U706" t="s">
        <v>74</v>
      </c>
      <c r="V706" t="s">
        <v>14111</v>
      </c>
      <c r="W706" t="s">
        <v>14112</v>
      </c>
      <c r="X706" t="s">
        <v>14113</v>
      </c>
      <c r="Y706" t="s">
        <v>14114</v>
      </c>
      <c r="Z706" t="s">
        <v>74</v>
      </c>
      <c r="AA706" t="s">
        <v>14115</v>
      </c>
      <c r="AB706" t="s">
        <v>74</v>
      </c>
      <c r="AC706" t="s">
        <v>14116</v>
      </c>
      <c r="AD706" t="s">
        <v>14117</v>
      </c>
      <c r="AE706" t="s">
        <v>14118</v>
      </c>
      <c r="AF706" t="s">
        <v>74</v>
      </c>
      <c r="AG706">
        <v>38</v>
      </c>
      <c r="AH706">
        <v>11</v>
      </c>
      <c r="AI706">
        <v>12</v>
      </c>
      <c r="AJ706">
        <v>0</v>
      </c>
      <c r="AK706">
        <v>15</v>
      </c>
      <c r="AL706" t="s">
        <v>2558</v>
      </c>
      <c r="AM706" t="s">
        <v>2559</v>
      </c>
      <c r="AN706" t="s">
        <v>2560</v>
      </c>
      <c r="AO706" t="s">
        <v>74</v>
      </c>
      <c r="AP706" t="s">
        <v>74</v>
      </c>
      <c r="AQ706" t="s">
        <v>14119</v>
      </c>
      <c r="AR706" t="s">
        <v>74</v>
      </c>
      <c r="AS706" t="s">
        <v>74</v>
      </c>
      <c r="AT706" t="s">
        <v>74</v>
      </c>
      <c r="AU706">
        <v>2020</v>
      </c>
      <c r="AV706" t="s">
        <v>74</v>
      </c>
      <c r="AW706" t="s">
        <v>74</v>
      </c>
      <c r="AX706" t="s">
        <v>74</v>
      </c>
      <c r="AY706" t="s">
        <v>74</v>
      </c>
      <c r="AZ706" t="s">
        <v>74</v>
      </c>
      <c r="BA706" t="s">
        <v>74</v>
      </c>
      <c r="BB706">
        <v>780</v>
      </c>
      <c r="BC706">
        <v>787</v>
      </c>
      <c r="BD706" t="s">
        <v>74</v>
      </c>
      <c r="BE706" t="s">
        <v>14120</v>
      </c>
      <c r="BF706" t="str">
        <f>HYPERLINK("http://dx.doi.org/10.5220/0009576507800787","http://dx.doi.org/10.5220/0009576507800787")</f>
        <v>http://dx.doi.org/10.5220/0009576507800787</v>
      </c>
      <c r="BG706" t="s">
        <v>74</v>
      </c>
      <c r="BH706" t="s">
        <v>74</v>
      </c>
      <c r="BI706">
        <v>8</v>
      </c>
      <c r="BJ706" t="s">
        <v>696</v>
      </c>
      <c r="BK706" t="s">
        <v>203</v>
      </c>
      <c r="BL706" t="s">
        <v>103</v>
      </c>
      <c r="BM706" t="s">
        <v>14121</v>
      </c>
      <c r="BN706" t="s">
        <v>74</v>
      </c>
      <c r="BO706" t="s">
        <v>372</v>
      </c>
      <c r="BP706" t="s">
        <v>74</v>
      </c>
      <c r="BQ706" t="s">
        <v>74</v>
      </c>
      <c r="BR706" t="s">
        <v>106</v>
      </c>
      <c r="BS706" t="s">
        <v>14122</v>
      </c>
      <c r="BT706" t="str">
        <f>HYPERLINK("https%3A%2F%2Fwww.webofscience.com%2Fwos%2Fwoscc%2Ffull-record%2FWOS:000621581300085","View Full Record in Web of Science")</f>
        <v>View Full Record in Web of Science</v>
      </c>
    </row>
    <row r="707" spans="1:72" x14ac:dyDescent="0.25">
      <c r="A707" t="s">
        <v>72</v>
      </c>
      <c r="B707" t="s">
        <v>14123</v>
      </c>
      <c r="C707" t="s">
        <v>74</v>
      </c>
      <c r="D707" t="s">
        <v>74</v>
      </c>
      <c r="E707" t="s">
        <v>74</v>
      </c>
      <c r="F707" t="s">
        <v>14124</v>
      </c>
      <c r="G707" t="s">
        <v>74</v>
      </c>
      <c r="H707" t="s">
        <v>74</v>
      </c>
      <c r="I707" t="s">
        <v>14125</v>
      </c>
      <c r="J707" t="s">
        <v>14126</v>
      </c>
      <c r="K707" t="s">
        <v>74</v>
      </c>
      <c r="L707" t="s">
        <v>74</v>
      </c>
      <c r="M707" t="s">
        <v>78</v>
      </c>
      <c r="N707" t="s">
        <v>79</v>
      </c>
      <c r="O707" t="s">
        <v>74</v>
      </c>
      <c r="P707" t="s">
        <v>74</v>
      </c>
      <c r="Q707" t="s">
        <v>74</v>
      </c>
      <c r="R707" t="s">
        <v>74</v>
      </c>
      <c r="S707" t="s">
        <v>74</v>
      </c>
      <c r="T707" t="s">
        <v>14127</v>
      </c>
      <c r="U707" t="s">
        <v>9854</v>
      </c>
      <c r="V707" t="s">
        <v>14128</v>
      </c>
      <c r="W707" t="s">
        <v>14129</v>
      </c>
      <c r="X707" t="s">
        <v>866</v>
      </c>
      <c r="Y707" t="s">
        <v>14130</v>
      </c>
      <c r="Z707" t="s">
        <v>14131</v>
      </c>
      <c r="AA707" t="s">
        <v>14132</v>
      </c>
      <c r="AB707" t="s">
        <v>74</v>
      </c>
      <c r="AC707" t="s">
        <v>14133</v>
      </c>
      <c r="AD707" t="s">
        <v>14134</v>
      </c>
      <c r="AE707" t="s">
        <v>14135</v>
      </c>
      <c r="AF707" t="s">
        <v>74</v>
      </c>
      <c r="AG707">
        <v>43</v>
      </c>
      <c r="AH707">
        <v>6</v>
      </c>
      <c r="AI707">
        <v>8</v>
      </c>
      <c r="AJ707">
        <v>0</v>
      </c>
      <c r="AK707">
        <v>68</v>
      </c>
      <c r="AL707" t="s">
        <v>1097</v>
      </c>
      <c r="AM707" t="s">
        <v>1098</v>
      </c>
      <c r="AN707" t="s">
        <v>1099</v>
      </c>
      <c r="AO707" t="s">
        <v>14136</v>
      </c>
      <c r="AP707" t="s">
        <v>14137</v>
      </c>
      <c r="AQ707" t="s">
        <v>74</v>
      </c>
      <c r="AR707" t="s">
        <v>14138</v>
      </c>
      <c r="AS707" t="s">
        <v>14139</v>
      </c>
      <c r="AT707" t="s">
        <v>1950</v>
      </c>
      <c r="AU707">
        <v>2021</v>
      </c>
      <c r="AV707">
        <v>20</v>
      </c>
      <c r="AW707">
        <v>1</v>
      </c>
      <c r="AX707" t="s">
        <v>74</v>
      </c>
      <c r="AY707" t="s">
        <v>74</v>
      </c>
      <c r="AZ707" t="s">
        <v>74</v>
      </c>
      <c r="BA707" t="s">
        <v>74</v>
      </c>
      <c r="BB707">
        <v>49</v>
      </c>
      <c r="BC707">
        <v>69</v>
      </c>
      <c r="BD707" t="s">
        <v>74</v>
      </c>
      <c r="BE707" t="s">
        <v>14140</v>
      </c>
      <c r="BF707" t="str">
        <f>HYPERLINK("http://dx.doi.org/10.1007/s10270-020-00790-w","http://dx.doi.org/10.1007/s10270-020-00790-w")</f>
        <v>http://dx.doi.org/10.1007/s10270-020-00790-w</v>
      </c>
      <c r="BG707" t="s">
        <v>74</v>
      </c>
      <c r="BH707" t="s">
        <v>14141</v>
      </c>
      <c r="BI707">
        <v>21</v>
      </c>
      <c r="BJ707" t="s">
        <v>10152</v>
      </c>
      <c r="BK707" t="s">
        <v>902</v>
      </c>
      <c r="BL707" t="s">
        <v>103</v>
      </c>
      <c r="BM707" t="s">
        <v>14142</v>
      </c>
      <c r="BN707" t="s">
        <v>74</v>
      </c>
      <c r="BO707" t="s">
        <v>74</v>
      </c>
      <c r="BP707" t="s">
        <v>74</v>
      </c>
      <c r="BQ707" t="s">
        <v>74</v>
      </c>
      <c r="BR707" t="s">
        <v>106</v>
      </c>
      <c r="BS707" t="s">
        <v>14143</v>
      </c>
      <c r="BT707" t="str">
        <f>HYPERLINK("https%3A%2F%2Fwww.webofscience.com%2Fwos%2Fwoscc%2Ffull-record%2FWOS:000521020400003","View Full Record in Web of Science")</f>
        <v>View Full Record in Web of Science</v>
      </c>
    </row>
    <row r="708" spans="1:72" x14ac:dyDescent="0.25">
      <c r="A708" t="s">
        <v>72</v>
      </c>
      <c r="B708" t="s">
        <v>14144</v>
      </c>
      <c r="C708" t="s">
        <v>74</v>
      </c>
      <c r="D708" t="s">
        <v>74</v>
      </c>
      <c r="E708" t="s">
        <v>74</v>
      </c>
      <c r="F708" t="s">
        <v>14145</v>
      </c>
      <c r="G708" t="s">
        <v>74</v>
      </c>
      <c r="H708" t="s">
        <v>74</v>
      </c>
      <c r="I708" t="s">
        <v>14146</v>
      </c>
      <c r="J708" t="s">
        <v>14147</v>
      </c>
      <c r="K708" t="s">
        <v>74</v>
      </c>
      <c r="L708" t="s">
        <v>74</v>
      </c>
      <c r="M708" t="s">
        <v>78</v>
      </c>
      <c r="N708" t="s">
        <v>79</v>
      </c>
      <c r="O708" t="s">
        <v>74</v>
      </c>
      <c r="P708" t="s">
        <v>74</v>
      </c>
      <c r="Q708" t="s">
        <v>74</v>
      </c>
      <c r="R708" t="s">
        <v>74</v>
      </c>
      <c r="S708" t="s">
        <v>74</v>
      </c>
      <c r="T708" t="s">
        <v>74</v>
      </c>
      <c r="U708" t="s">
        <v>74</v>
      </c>
      <c r="V708" t="s">
        <v>14148</v>
      </c>
      <c r="W708" t="s">
        <v>14149</v>
      </c>
      <c r="X708" t="s">
        <v>14150</v>
      </c>
      <c r="Y708" t="s">
        <v>14151</v>
      </c>
      <c r="Z708" t="s">
        <v>14152</v>
      </c>
      <c r="AA708" t="s">
        <v>14153</v>
      </c>
      <c r="AB708" t="s">
        <v>14154</v>
      </c>
      <c r="AC708" t="s">
        <v>14155</v>
      </c>
      <c r="AD708" t="s">
        <v>14156</v>
      </c>
      <c r="AE708" t="s">
        <v>14157</v>
      </c>
      <c r="AF708" t="s">
        <v>74</v>
      </c>
      <c r="AG708">
        <v>39</v>
      </c>
      <c r="AH708">
        <v>35</v>
      </c>
      <c r="AI708">
        <v>42</v>
      </c>
      <c r="AJ708">
        <v>0</v>
      </c>
      <c r="AK708">
        <v>10</v>
      </c>
      <c r="AL708" t="s">
        <v>14158</v>
      </c>
      <c r="AM708" t="s">
        <v>198</v>
      </c>
      <c r="AN708" t="s">
        <v>14159</v>
      </c>
      <c r="AO708" t="s">
        <v>14160</v>
      </c>
      <c r="AP708" t="s">
        <v>74</v>
      </c>
      <c r="AQ708" t="s">
        <v>74</v>
      </c>
      <c r="AR708" t="s">
        <v>14161</v>
      </c>
      <c r="AS708" t="s">
        <v>14162</v>
      </c>
      <c r="AT708" t="s">
        <v>14163</v>
      </c>
      <c r="AU708">
        <v>2021</v>
      </c>
      <c r="AV708">
        <v>11</v>
      </c>
      <c r="AW708">
        <v>1</v>
      </c>
      <c r="AX708" t="s">
        <v>74</v>
      </c>
      <c r="AY708" t="s">
        <v>74</v>
      </c>
      <c r="AZ708" t="s">
        <v>74</v>
      </c>
      <c r="BA708" t="s">
        <v>74</v>
      </c>
      <c r="BB708" t="s">
        <v>74</v>
      </c>
      <c r="BC708" t="s">
        <v>74</v>
      </c>
      <c r="BD708">
        <v>10952</v>
      </c>
      <c r="BE708" t="s">
        <v>14164</v>
      </c>
      <c r="BF708" t="str">
        <f>HYPERLINK("http://dx.doi.org/10.1038/s41598-021-90483-1","http://dx.doi.org/10.1038/s41598-021-90483-1")</f>
        <v>http://dx.doi.org/10.1038/s41598-021-90483-1</v>
      </c>
      <c r="BG708" t="s">
        <v>74</v>
      </c>
      <c r="BH708" t="s">
        <v>74</v>
      </c>
      <c r="BI708">
        <v>11</v>
      </c>
      <c r="BJ708" t="s">
        <v>5861</v>
      </c>
      <c r="BK708" t="s">
        <v>745</v>
      </c>
      <c r="BL708" t="s">
        <v>5862</v>
      </c>
      <c r="BM708" t="s">
        <v>14165</v>
      </c>
      <c r="BN708">
        <v>34040093</v>
      </c>
      <c r="BO708" t="s">
        <v>398</v>
      </c>
      <c r="BP708" t="s">
        <v>74</v>
      </c>
      <c r="BQ708" t="s">
        <v>74</v>
      </c>
      <c r="BR708" t="s">
        <v>106</v>
      </c>
      <c r="BS708" t="s">
        <v>14166</v>
      </c>
      <c r="BT708" t="str">
        <f>HYPERLINK("https%3A%2F%2Fwww.webofscience.com%2Fwos%2Fwoscc%2Ffull-record%2FWOS:000659146000008","View Full Record in Web of Science")</f>
        <v>View Full Record in Web of Science</v>
      </c>
    </row>
    <row r="709" spans="1:72" x14ac:dyDescent="0.25">
      <c r="A709" t="s">
        <v>108</v>
      </c>
      <c r="B709" t="s">
        <v>14167</v>
      </c>
      <c r="C709" t="s">
        <v>74</v>
      </c>
      <c r="D709" t="s">
        <v>14168</v>
      </c>
      <c r="E709" t="s">
        <v>74</v>
      </c>
      <c r="F709" t="s">
        <v>14169</v>
      </c>
      <c r="G709" t="s">
        <v>74</v>
      </c>
      <c r="H709" t="s">
        <v>74</v>
      </c>
      <c r="I709" t="s">
        <v>14170</v>
      </c>
      <c r="J709" t="s">
        <v>14171</v>
      </c>
      <c r="K709" t="s">
        <v>74</v>
      </c>
      <c r="L709" t="s">
        <v>74</v>
      </c>
      <c r="M709" t="s">
        <v>78</v>
      </c>
      <c r="N709" t="s">
        <v>115</v>
      </c>
      <c r="O709" t="s">
        <v>960</v>
      </c>
      <c r="P709" t="s">
        <v>2276</v>
      </c>
      <c r="Q709" t="s">
        <v>424</v>
      </c>
      <c r="R709" t="s">
        <v>2277</v>
      </c>
      <c r="S709" t="s">
        <v>74</v>
      </c>
      <c r="T709" t="s">
        <v>14172</v>
      </c>
      <c r="U709" t="s">
        <v>74</v>
      </c>
      <c r="V709" t="s">
        <v>14173</v>
      </c>
      <c r="W709" t="s">
        <v>14174</v>
      </c>
      <c r="X709" t="s">
        <v>14175</v>
      </c>
      <c r="Y709" t="s">
        <v>14176</v>
      </c>
      <c r="Z709" t="s">
        <v>14177</v>
      </c>
      <c r="AA709" t="s">
        <v>14178</v>
      </c>
      <c r="AB709" t="s">
        <v>14179</v>
      </c>
      <c r="AC709" t="s">
        <v>74</v>
      </c>
      <c r="AD709" t="s">
        <v>74</v>
      </c>
      <c r="AE709" t="s">
        <v>74</v>
      </c>
      <c r="AF709" t="s">
        <v>74</v>
      </c>
      <c r="AG709">
        <v>9</v>
      </c>
      <c r="AH709">
        <v>0</v>
      </c>
      <c r="AI709">
        <v>0</v>
      </c>
      <c r="AJ709">
        <v>0</v>
      </c>
      <c r="AK709">
        <v>0</v>
      </c>
      <c r="AL709" t="s">
        <v>291</v>
      </c>
      <c r="AM709" t="s">
        <v>92</v>
      </c>
      <c r="AN709" t="s">
        <v>341</v>
      </c>
      <c r="AO709" t="s">
        <v>74</v>
      </c>
      <c r="AP709" t="s">
        <v>74</v>
      </c>
      <c r="AQ709" t="s">
        <v>14180</v>
      </c>
      <c r="AR709" t="s">
        <v>74</v>
      </c>
      <c r="AS709" t="s">
        <v>74</v>
      </c>
      <c r="AT709" t="s">
        <v>74</v>
      </c>
      <c r="AU709">
        <v>2021</v>
      </c>
      <c r="AV709" t="s">
        <v>74</v>
      </c>
      <c r="AW709" t="s">
        <v>74</v>
      </c>
      <c r="AX709" t="s">
        <v>74</v>
      </c>
      <c r="AY709" t="s">
        <v>74</v>
      </c>
      <c r="AZ709" t="s">
        <v>74</v>
      </c>
      <c r="BA709" t="s">
        <v>74</v>
      </c>
      <c r="BB709">
        <v>529</v>
      </c>
      <c r="BC709">
        <v>536</v>
      </c>
      <c r="BD709" t="s">
        <v>74</v>
      </c>
      <c r="BE709" t="s">
        <v>14181</v>
      </c>
      <c r="BF709" t="str">
        <f>HYPERLINK("http://dx.doi.org/10.1145/3498851.3499010","http://dx.doi.org/10.1145/3498851.3499010")</f>
        <v>http://dx.doi.org/10.1145/3498851.3499010</v>
      </c>
      <c r="BG709" t="s">
        <v>74</v>
      </c>
      <c r="BH709" t="s">
        <v>74</v>
      </c>
      <c r="BI709">
        <v>8</v>
      </c>
      <c r="BJ709" t="s">
        <v>2292</v>
      </c>
      <c r="BK709" t="s">
        <v>203</v>
      </c>
      <c r="BL709" t="s">
        <v>103</v>
      </c>
      <c r="BM709" t="s">
        <v>14182</v>
      </c>
      <c r="BN709" t="s">
        <v>74</v>
      </c>
      <c r="BO709" t="s">
        <v>74</v>
      </c>
      <c r="BP709" t="s">
        <v>74</v>
      </c>
      <c r="BQ709" t="s">
        <v>74</v>
      </c>
      <c r="BR709" t="s">
        <v>106</v>
      </c>
      <c r="BS709" t="s">
        <v>14183</v>
      </c>
      <c r="BT709" t="str">
        <f>HYPERLINK("https%3A%2F%2Fwww.webofscience.com%2Fwos%2Fwoscc%2Ffull-record%2FWOS:000945298500083","View Full Record in Web of Science")</f>
        <v>View Full Record in Web of Science</v>
      </c>
    </row>
    <row r="710" spans="1:72" x14ac:dyDescent="0.25">
      <c r="A710" t="s">
        <v>108</v>
      </c>
      <c r="B710" t="s">
        <v>12789</v>
      </c>
      <c r="C710" t="s">
        <v>74</v>
      </c>
      <c r="D710" t="s">
        <v>74</v>
      </c>
      <c r="E710" t="s">
        <v>465</v>
      </c>
      <c r="F710" t="s">
        <v>12790</v>
      </c>
      <c r="G710" t="s">
        <v>74</v>
      </c>
      <c r="H710" t="s">
        <v>74</v>
      </c>
      <c r="I710" t="s">
        <v>14184</v>
      </c>
      <c r="J710" t="s">
        <v>14185</v>
      </c>
      <c r="K710" t="s">
        <v>74</v>
      </c>
      <c r="L710" t="s">
        <v>74</v>
      </c>
      <c r="M710" t="s">
        <v>78</v>
      </c>
      <c r="N710" t="s">
        <v>115</v>
      </c>
      <c r="O710" t="s">
        <v>14186</v>
      </c>
      <c r="P710" t="s">
        <v>14187</v>
      </c>
      <c r="Q710" t="s">
        <v>14188</v>
      </c>
      <c r="R710" t="s">
        <v>14189</v>
      </c>
      <c r="S710" t="s">
        <v>14190</v>
      </c>
      <c r="T710" t="s">
        <v>12792</v>
      </c>
      <c r="U710" t="s">
        <v>74</v>
      </c>
      <c r="V710" t="s">
        <v>14191</v>
      </c>
      <c r="W710" t="s">
        <v>12794</v>
      </c>
      <c r="X710" t="s">
        <v>12795</v>
      </c>
      <c r="Y710" t="s">
        <v>12796</v>
      </c>
      <c r="Z710" t="s">
        <v>12797</v>
      </c>
      <c r="AA710" t="s">
        <v>74</v>
      </c>
      <c r="AB710" t="s">
        <v>74</v>
      </c>
      <c r="AC710" t="s">
        <v>74</v>
      </c>
      <c r="AD710" t="s">
        <v>74</v>
      </c>
      <c r="AE710" t="s">
        <v>74</v>
      </c>
      <c r="AF710" t="s">
        <v>74</v>
      </c>
      <c r="AG710">
        <v>18</v>
      </c>
      <c r="AH710">
        <v>4</v>
      </c>
      <c r="AI710">
        <v>4</v>
      </c>
      <c r="AJ710">
        <v>0</v>
      </c>
      <c r="AK710">
        <v>12</v>
      </c>
      <c r="AL710" t="s">
        <v>465</v>
      </c>
      <c r="AM710" t="s">
        <v>92</v>
      </c>
      <c r="AN710" t="s">
        <v>480</v>
      </c>
      <c r="AO710" t="s">
        <v>74</v>
      </c>
      <c r="AP710" t="s">
        <v>74</v>
      </c>
      <c r="AQ710" t="s">
        <v>14192</v>
      </c>
      <c r="AR710" t="s">
        <v>74</v>
      </c>
      <c r="AS710" t="s">
        <v>74</v>
      </c>
      <c r="AT710" t="s">
        <v>74</v>
      </c>
      <c r="AU710">
        <v>2013</v>
      </c>
      <c r="AV710" t="s">
        <v>74</v>
      </c>
      <c r="AW710" t="s">
        <v>74</v>
      </c>
      <c r="AX710" t="s">
        <v>74</v>
      </c>
      <c r="AY710" t="s">
        <v>74</v>
      </c>
      <c r="AZ710" t="s">
        <v>74</v>
      </c>
      <c r="BA710" t="s">
        <v>74</v>
      </c>
      <c r="BB710">
        <v>11</v>
      </c>
      <c r="BC710">
        <v>19</v>
      </c>
      <c r="BD710" t="s">
        <v>74</v>
      </c>
      <c r="BE710" t="s">
        <v>14193</v>
      </c>
      <c r="BF710" t="str">
        <f>HYPERLINK("http://dx.doi.org/10.1109/SOCIETY.2013.13","http://dx.doi.org/10.1109/SOCIETY.2013.13")</f>
        <v>http://dx.doi.org/10.1109/SOCIETY.2013.13</v>
      </c>
      <c r="BG710" t="s">
        <v>74</v>
      </c>
      <c r="BH710" t="s">
        <v>74</v>
      </c>
      <c r="BI710">
        <v>9</v>
      </c>
      <c r="BJ710" t="s">
        <v>972</v>
      </c>
      <c r="BK710" t="s">
        <v>203</v>
      </c>
      <c r="BL710" t="s">
        <v>953</v>
      </c>
      <c r="BM710" t="s">
        <v>14194</v>
      </c>
      <c r="BN710" t="s">
        <v>74</v>
      </c>
      <c r="BO710" t="s">
        <v>74</v>
      </c>
      <c r="BP710" t="s">
        <v>74</v>
      </c>
      <c r="BQ710" t="s">
        <v>74</v>
      </c>
      <c r="BR710" t="s">
        <v>106</v>
      </c>
      <c r="BS710" t="s">
        <v>14195</v>
      </c>
      <c r="BT710" t="str">
        <f>HYPERLINK("https%3A%2F%2Fwww.webofscience.com%2Fwos%2Fwoscc%2Ffull-record%2FWOS:000325010200002","View Full Record in Web of Science")</f>
        <v>View Full Record in Web of Science</v>
      </c>
    </row>
    <row r="711" spans="1:72" x14ac:dyDescent="0.25">
      <c r="A711" t="s">
        <v>72</v>
      </c>
      <c r="B711" t="s">
        <v>14196</v>
      </c>
      <c r="C711" t="s">
        <v>74</v>
      </c>
      <c r="D711" t="s">
        <v>74</v>
      </c>
      <c r="E711" t="s">
        <v>74</v>
      </c>
      <c r="F711" t="s">
        <v>14197</v>
      </c>
      <c r="G711" t="s">
        <v>74</v>
      </c>
      <c r="H711" t="s">
        <v>74</v>
      </c>
      <c r="I711" t="s">
        <v>14198</v>
      </c>
      <c r="J711" t="s">
        <v>2119</v>
      </c>
      <c r="K711" t="s">
        <v>74</v>
      </c>
      <c r="L711" t="s">
        <v>74</v>
      </c>
      <c r="M711" t="s">
        <v>78</v>
      </c>
      <c r="N711" t="s">
        <v>79</v>
      </c>
      <c r="O711" t="s">
        <v>74</v>
      </c>
      <c r="P711" t="s">
        <v>74</v>
      </c>
      <c r="Q711" t="s">
        <v>74</v>
      </c>
      <c r="R711" t="s">
        <v>74</v>
      </c>
      <c r="S711" t="s">
        <v>74</v>
      </c>
      <c r="T711" t="s">
        <v>14199</v>
      </c>
      <c r="U711" t="s">
        <v>74</v>
      </c>
      <c r="V711" t="s">
        <v>14200</v>
      </c>
      <c r="W711" t="s">
        <v>14201</v>
      </c>
      <c r="X711" t="s">
        <v>14202</v>
      </c>
      <c r="Y711" t="s">
        <v>14203</v>
      </c>
      <c r="Z711" t="s">
        <v>14204</v>
      </c>
      <c r="AA711" t="s">
        <v>14205</v>
      </c>
      <c r="AB711" t="s">
        <v>14206</v>
      </c>
      <c r="AC711" t="s">
        <v>14207</v>
      </c>
      <c r="AD711" t="s">
        <v>14208</v>
      </c>
      <c r="AE711" t="s">
        <v>14209</v>
      </c>
      <c r="AF711" t="s">
        <v>74</v>
      </c>
      <c r="AG711">
        <v>27</v>
      </c>
      <c r="AH711">
        <v>18</v>
      </c>
      <c r="AI711">
        <v>20</v>
      </c>
      <c r="AJ711">
        <v>0</v>
      </c>
      <c r="AK711">
        <v>60</v>
      </c>
      <c r="AL711" t="s">
        <v>2127</v>
      </c>
      <c r="AM711" t="s">
        <v>737</v>
      </c>
      <c r="AN711" t="s">
        <v>4533</v>
      </c>
      <c r="AO711" t="s">
        <v>2130</v>
      </c>
      <c r="AP711" t="s">
        <v>2131</v>
      </c>
      <c r="AQ711" t="s">
        <v>74</v>
      </c>
      <c r="AR711" t="s">
        <v>2132</v>
      </c>
      <c r="AS711" t="s">
        <v>2133</v>
      </c>
      <c r="AT711" t="s">
        <v>223</v>
      </c>
      <c r="AU711">
        <v>2012</v>
      </c>
      <c r="AV711">
        <v>48</v>
      </c>
      <c r="AW711">
        <v>2</v>
      </c>
      <c r="AX711" t="s">
        <v>74</v>
      </c>
      <c r="AY711" t="s">
        <v>74</v>
      </c>
      <c r="AZ711" t="s">
        <v>74</v>
      </c>
      <c r="BA711" t="s">
        <v>74</v>
      </c>
      <c r="BB711">
        <v>218</v>
      </c>
      <c r="BC711">
        <v>233</v>
      </c>
      <c r="BD711" t="s">
        <v>74</v>
      </c>
      <c r="BE711" t="s">
        <v>14210</v>
      </c>
      <c r="BF711" t="str">
        <f>HYPERLINK("http://dx.doi.org/10.1016/j.ipm.2011.09.002","http://dx.doi.org/10.1016/j.ipm.2011.09.002")</f>
        <v>http://dx.doi.org/10.1016/j.ipm.2011.09.002</v>
      </c>
      <c r="BG711" t="s">
        <v>74</v>
      </c>
      <c r="BH711" t="s">
        <v>74</v>
      </c>
      <c r="BI711">
        <v>16</v>
      </c>
      <c r="BJ711" t="s">
        <v>295</v>
      </c>
      <c r="BK711" t="s">
        <v>745</v>
      </c>
      <c r="BL711" t="s">
        <v>296</v>
      </c>
      <c r="BM711" t="s">
        <v>14211</v>
      </c>
      <c r="BN711" t="s">
        <v>74</v>
      </c>
      <c r="BO711" t="s">
        <v>74</v>
      </c>
      <c r="BP711" t="s">
        <v>74</v>
      </c>
      <c r="BQ711" t="s">
        <v>74</v>
      </c>
      <c r="BR711" t="s">
        <v>106</v>
      </c>
      <c r="BS711" t="s">
        <v>14212</v>
      </c>
      <c r="BT711" t="str">
        <f>HYPERLINK("https%3A%2F%2Fwww.webofscience.com%2Fwos%2Fwoscc%2Ffull-record%2FWOS:000301625900003","View Full Record in Web of Science")</f>
        <v>View Full Record in Web of Science</v>
      </c>
    </row>
    <row r="712" spans="1:72" x14ac:dyDescent="0.25">
      <c r="A712" t="s">
        <v>72</v>
      </c>
      <c r="B712" t="s">
        <v>14213</v>
      </c>
      <c r="C712" t="s">
        <v>74</v>
      </c>
      <c r="D712" t="s">
        <v>74</v>
      </c>
      <c r="E712" t="s">
        <v>74</v>
      </c>
      <c r="F712" t="s">
        <v>14214</v>
      </c>
      <c r="G712" t="s">
        <v>74</v>
      </c>
      <c r="H712" t="s">
        <v>74</v>
      </c>
      <c r="I712" t="s">
        <v>14215</v>
      </c>
      <c r="J712" t="s">
        <v>3637</v>
      </c>
      <c r="K712" t="s">
        <v>74</v>
      </c>
      <c r="L712" t="s">
        <v>74</v>
      </c>
      <c r="M712" t="s">
        <v>78</v>
      </c>
      <c r="N712" t="s">
        <v>79</v>
      </c>
      <c r="O712" t="s">
        <v>74</v>
      </c>
      <c r="P712" t="s">
        <v>74</v>
      </c>
      <c r="Q712" t="s">
        <v>74</v>
      </c>
      <c r="R712" t="s">
        <v>74</v>
      </c>
      <c r="S712" t="s">
        <v>74</v>
      </c>
      <c r="T712" t="s">
        <v>14216</v>
      </c>
      <c r="U712" t="s">
        <v>14217</v>
      </c>
      <c r="V712" t="s">
        <v>14218</v>
      </c>
      <c r="W712" t="s">
        <v>14219</v>
      </c>
      <c r="X712" t="s">
        <v>14220</v>
      </c>
      <c r="Y712" t="s">
        <v>14221</v>
      </c>
      <c r="Z712" t="s">
        <v>14222</v>
      </c>
      <c r="AA712" t="s">
        <v>14223</v>
      </c>
      <c r="AB712" t="s">
        <v>14224</v>
      </c>
      <c r="AC712" t="s">
        <v>74</v>
      </c>
      <c r="AD712" t="s">
        <v>74</v>
      </c>
      <c r="AE712" t="s">
        <v>74</v>
      </c>
      <c r="AF712" t="s">
        <v>74</v>
      </c>
      <c r="AG712">
        <v>50</v>
      </c>
      <c r="AH712">
        <v>38</v>
      </c>
      <c r="AI712">
        <v>42</v>
      </c>
      <c r="AJ712">
        <v>0</v>
      </c>
      <c r="AK712">
        <v>31</v>
      </c>
      <c r="AL712" t="s">
        <v>178</v>
      </c>
      <c r="AM712" t="s">
        <v>1005</v>
      </c>
      <c r="AN712" t="s">
        <v>1006</v>
      </c>
      <c r="AO712" t="s">
        <v>3644</v>
      </c>
      <c r="AP712" t="s">
        <v>3645</v>
      </c>
      <c r="AQ712" t="s">
        <v>74</v>
      </c>
      <c r="AR712" t="s">
        <v>3646</v>
      </c>
      <c r="AS712" t="s">
        <v>3647</v>
      </c>
      <c r="AT712" t="s">
        <v>565</v>
      </c>
      <c r="AU712">
        <v>2019</v>
      </c>
      <c r="AV712">
        <v>75</v>
      </c>
      <c r="AW712">
        <v>8</v>
      </c>
      <c r="AX712" t="s">
        <v>74</v>
      </c>
      <c r="AY712" t="s">
        <v>74</v>
      </c>
      <c r="AZ712" t="s">
        <v>247</v>
      </c>
      <c r="BA712" t="s">
        <v>74</v>
      </c>
      <c r="BB712">
        <v>5145</v>
      </c>
      <c r="BC712">
        <v>5160</v>
      </c>
      <c r="BD712" t="s">
        <v>74</v>
      </c>
      <c r="BE712" t="s">
        <v>14225</v>
      </c>
      <c r="BF712" t="str">
        <f>HYPERLINK("http://dx.doi.org/10.1007/s11227-019-02791-z","http://dx.doi.org/10.1007/s11227-019-02791-z")</f>
        <v>http://dx.doi.org/10.1007/s11227-019-02791-z</v>
      </c>
      <c r="BG712" t="s">
        <v>74</v>
      </c>
      <c r="BH712" t="s">
        <v>74</v>
      </c>
      <c r="BI712">
        <v>16</v>
      </c>
      <c r="BJ712" t="s">
        <v>3649</v>
      </c>
      <c r="BK712" t="s">
        <v>902</v>
      </c>
      <c r="BL712" t="s">
        <v>953</v>
      </c>
      <c r="BM712" t="s">
        <v>14226</v>
      </c>
      <c r="BN712" t="s">
        <v>74</v>
      </c>
      <c r="BO712" t="s">
        <v>74</v>
      </c>
      <c r="BP712" t="s">
        <v>74</v>
      </c>
      <c r="BQ712" t="s">
        <v>74</v>
      </c>
      <c r="BR712" t="s">
        <v>106</v>
      </c>
      <c r="BS712" t="s">
        <v>14227</v>
      </c>
      <c r="BT712" t="str">
        <f>HYPERLINK("https%3A%2F%2Fwww.webofscience.com%2Fwos%2Fwoscc%2Ffull-record%2FWOS:000485886700056","View Full Record in Web of Science")</f>
        <v>View Full Record in Web of Science</v>
      </c>
    </row>
    <row r="713" spans="1:72" x14ac:dyDescent="0.25">
      <c r="A713" t="s">
        <v>108</v>
      </c>
      <c r="B713" t="s">
        <v>14228</v>
      </c>
      <c r="C713" t="s">
        <v>74</v>
      </c>
      <c r="D713" t="s">
        <v>14229</v>
      </c>
      <c r="E713" t="s">
        <v>74</v>
      </c>
      <c r="F713" t="s">
        <v>14230</v>
      </c>
      <c r="G713" t="s">
        <v>74</v>
      </c>
      <c r="H713" t="s">
        <v>74</v>
      </c>
      <c r="I713" t="s">
        <v>14231</v>
      </c>
      <c r="J713" t="s">
        <v>14232</v>
      </c>
      <c r="K713" t="s">
        <v>147</v>
      </c>
      <c r="L713" t="s">
        <v>74</v>
      </c>
      <c r="M713" t="s">
        <v>78</v>
      </c>
      <c r="N713" t="s">
        <v>115</v>
      </c>
      <c r="O713" t="s">
        <v>14233</v>
      </c>
      <c r="P713" t="s">
        <v>14234</v>
      </c>
      <c r="Q713" t="s">
        <v>14235</v>
      </c>
      <c r="R713" t="s">
        <v>14236</v>
      </c>
      <c r="S713" t="s">
        <v>74</v>
      </c>
      <c r="T713" t="s">
        <v>14237</v>
      </c>
      <c r="U713" t="s">
        <v>74</v>
      </c>
      <c r="V713" t="s">
        <v>14238</v>
      </c>
      <c r="W713" t="s">
        <v>74</v>
      </c>
      <c r="X713" t="s">
        <v>74</v>
      </c>
      <c r="Y713" t="s">
        <v>74</v>
      </c>
      <c r="Z713" t="s">
        <v>14239</v>
      </c>
      <c r="AA713" t="s">
        <v>74</v>
      </c>
      <c r="AB713" t="s">
        <v>74</v>
      </c>
      <c r="AC713" t="s">
        <v>74</v>
      </c>
      <c r="AD713" t="s">
        <v>74</v>
      </c>
      <c r="AE713" t="s">
        <v>74</v>
      </c>
      <c r="AF713" t="s">
        <v>74</v>
      </c>
      <c r="AG713">
        <v>21</v>
      </c>
      <c r="AH713">
        <v>0</v>
      </c>
      <c r="AI713">
        <v>0</v>
      </c>
      <c r="AJ713">
        <v>0</v>
      </c>
      <c r="AK713">
        <v>1</v>
      </c>
      <c r="AL713" t="s">
        <v>197</v>
      </c>
      <c r="AM713" t="s">
        <v>198</v>
      </c>
      <c r="AN713" t="s">
        <v>199</v>
      </c>
      <c r="AO713" t="s">
        <v>159</v>
      </c>
      <c r="AP713" t="s">
        <v>133</v>
      </c>
      <c r="AQ713" t="s">
        <v>14240</v>
      </c>
      <c r="AR713" t="s">
        <v>161</v>
      </c>
      <c r="AS713" t="s">
        <v>74</v>
      </c>
      <c r="AT713" t="s">
        <v>74</v>
      </c>
      <c r="AU713">
        <v>2011</v>
      </c>
      <c r="AV713">
        <v>6724</v>
      </c>
      <c r="AW713" t="s">
        <v>74</v>
      </c>
      <c r="AX713" t="s">
        <v>74</v>
      </c>
      <c r="AY713" t="s">
        <v>74</v>
      </c>
      <c r="AZ713" t="s">
        <v>74</v>
      </c>
      <c r="BA713" t="s">
        <v>74</v>
      </c>
      <c r="BB713">
        <v>378</v>
      </c>
      <c r="BC713">
        <v>389</v>
      </c>
      <c r="BD713" t="s">
        <v>74</v>
      </c>
      <c r="BE713" t="s">
        <v>74</v>
      </c>
      <c r="BF713" t="s">
        <v>74</v>
      </c>
      <c r="BG713" t="s">
        <v>74</v>
      </c>
      <c r="BH713" t="s">
        <v>74</v>
      </c>
      <c r="BI713">
        <v>12</v>
      </c>
      <c r="BJ713" t="s">
        <v>696</v>
      </c>
      <c r="BK713" t="s">
        <v>203</v>
      </c>
      <c r="BL713" t="s">
        <v>103</v>
      </c>
      <c r="BM713" t="s">
        <v>14241</v>
      </c>
      <c r="BN713" t="s">
        <v>74</v>
      </c>
      <c r="BO713" t="s">
        <v>74</v>
      </c>
      <c r="BP713" t="s">
        <v>74</v>
      </c>
      <c r="BQ713" t="s">
        <v>74</v>
      </c>
      <c r="BR713" t="s">
        <v>106</v>
      </c>
      <c r="BS713" t="s">
        <v>14242</v>
      </c>
      <c r="BT713" t="str">
        <f>HYPERLINK("https%3A%2F%2Fwww.webofscience.com%2Fwos%2Fwoscc%2Ffull-record%2FWOS:000307265000030","View Full Record in Web of Science")</f>
        <v>View Full Record in Web of Science</v>
      </c>
    </row>
    <row r="714" spans="1:72" x14ac:dyDescent="0.25">
      <c r="A714" t="s">
        <v>72</v>
      </c>
      <c r="B714" t="s">
        <v>14243</v>
      </c>
      <c r="C714" t="s">
        <v>74</v>
      </c>
      <c r="D714" t="s">
        <v>74</v>
      </c>
      <c r="E714" t="s">
        <v>74</v>
      </c>
      <c r="F714" t="s">
        <v>14244</v>
      </c>
      <c r="G714" t="s">
        <v>74</v>
      </c>
      <c r="H714" t="s">
        <v>74</v>
      </c>
      <c r="I714" t="s">
        <v>14245</v>
      </c>
      <c r="J714" t="s">
        <v>14246</v>
      </c>
      <c r="K714" t="s">
        <v>74</v>
      </c>
      <c r="L714" t="s">
        <v>74</v>
      </c>
      <c r="M714" t="s">
        <v>78</v>
      </c>
      <c r="N714" t="s">
        <v>79</v>
      </c>
      <c r="O714" t="s">
        <v>74</v>
      </c>
      <c r="P714" t="s">
        <v>74</v>
      </c>
      <c r="Q714" t="s">
        <v>74</v>
      </c>
      <c r="R714" t="s">
        <v>74</v>
      </c>
      <c r="S714" t="s">
        <v>74</v>
      </c>
      <c r="T714" t="s">
        <v>14247</v>
      </c>
      <c r="U714" t="s">
        <v>14248</v>
      </c>
      <c r="V714" t="s">
        <v>14249</v>
      </c>
      <c r="W714" t="s">
        <v>14250</v>
      </c>
      <c r="X714" t="s">
        <v>14251</v>
      </c>
      <c r="Y714" t="s">
        <v>14252</v>
      </c>
      <c r="Z714" t="s">
        <v>14253</v>
      </c>
      <c r="AA714" t="s">
        <v>14254</v>
      </c>
      <c r="AB714" t="s">
        <v>14255</v>
      </c>
      <c r="AC714" t="s">
        <v>74</v>
      </c>
      <c r="AD714" t="s">
        <v>74</v>
      </c>
      <c r="AE714" t="s">
        <v>74</v>
      </c>
      <c r="AF714" t="s">
        <v>74</v>
      </c>
      <c r="AG714">
        <v>34</v>
      </c>
      <c r="AH714">
        <v>0</v>
      </c>
      <c r="AI714">
        <v>0</v>
      </c>
      <c r="AJ714">
        <v>0</v>
      </c>
      <c r="AK714">
        <v>1</v>
      </c>
      <c r="AL714" t="s">
        <v>14256</v>
      </c>
      <c r="AM714" t="s">
        <v>14257</v>
      </c>
      <c r="AN714" t="s">
        <v>14258</v>
      </c>
      <c r="AO714" t="s">
        <v>14259</v>
      </c>
      <c r="AP714" t="s">
        <v>74</v>
      </c>
      <c r="AQ714" t="s">
        <v>74</v>
      </c>
      <c r="AR714" t="s">
        <v>14260</v>
      </c>
      <c r="AS714" t="s">
        <v>14261</v>
      </c>
      <c r="AT714" t="s">
        <v>509</v>
      </c>
      <c r="AU714">
        <v>2025</v>
      </c>
      <c r="AV714">
        <v>16</v>
      </c>
      <c r="AW714">
        <v>3</v>
      </c>
      <c r="AX714" t="s">
        <v>74</v>
      </c>
      <c r="AY714" t="s">
        <v>74</v>
      </c>
      <c r="AZ714" t="s">
        <v>247</v>
      </c>
      <c r="BA714" t="s">
        <v>74</v>
      </c>
      <c r="BB714" t="s">
        <v>74</v>
      </c>
      <c r="BC714" t="s">
        <v>74</v>
      </c>
      <c r="BD714" t="s">
        <v>74</v>
      </c>
      <c r="BE714" t="s">
        <v>14262</v>
      </c>
      <c r="BF714" t="str">
        <f>HYPERLINK("http://dx.doi.org/10.37237/160303","http://dx.doi.org/10.37237/160303")</f>
        <v>http://dx.doi.org/10.37237/160303</v>
      </c>
      <c r="BG714" t="s">
        <v>74</v>
      </c>
      <c r="BH714" t="s">
        <v>74</v>
      </c>
      <c r="BI714">
        <v>23</v>
      </c>
      <c r="BJ714" t="s">
        <v>318</v>
      </c>
      <c r="BK714" t="s">
        <v>102</v>
      </c>
      <c r="BL714" t="s">
        <v>318</v>
      </c>
      <c r="BM714" t="s">
        <v>14263</v>
      </c>
      <c r="BN714" t="s">
        <v>74</v>
      </c>
      <c r="BO714" t="s">
        <v>398</v>
      </c>
      <c r="BP714" t="s">
        <v>74</v>
      </c>
      <c r="BQ714" t="s">
        <v>74</v>
      </c>
      <c r="BR714" t="s">
        <v>106</v>
      </c>
      <c r="BS714" t="s">
        <v>14264</v>
      </c>
      <c r="BT714" t="str">
        <f>HYPERLINK("https%3A%2F%2Fwww.webofscience.com%2Fwos%2Fwoscc%2Ffull-record%2FWOS:001588342400003","View Full Record in Web of Science")</f>
        <v>View Full Record in Web of Science</v>
      </c>
    </row>
    <row r="715" spans="1:72" x14ac:dyDescent="0.25">
      <c r="A715" t="s">
        <v>108</v>
      </c>
      <c r="B715" t="s">
        <v>14265</v>
      </c>
      <c r="C715" t="s">
        <v>74</v>
      </c>
      <c r="D715" t="s">
        <v>14266</v>
      </c>
      <c r="E715" t="s">
        <v>74</v>
      </c>
      <c r="F715" t="s">
        <v>14267</v>
      </c>
      <c r="G715" t="s">
        <v>74</v>
      </c>
      <c r="H715" t="s">
        <v>74</v>
      </c>
      <c r="I715" t="s">
        <v>14268</v>
      </c>
      <c r="J715" t="s">
        <v>14269</v>
      </c>
      <c r="K715" t="s">
        <v>147</v>
      </c>
      <c r="L715" t="s">
        <v>74</v>
      </c>
      <c r="M715" t="s">
        <v>78</v>
      </c>
      <c r="N715" t="s">
        <v>115</v>
      </c>
      <c r="O715" t="s">
        <v>14270</v>
      </c>
      <c r="P715" t="s">
        <v>14271</v>
      </c>
      <c r="Q715" t="s">
        <v>14272</v>
      </c>
      <c r="R715" t="s">
        <v>14273</v>
      </c>
      <c r="S715" t="s">
        <v>74</v>
      </c>
      <c r="T715" t="s">
        <v>14274</v>
      </c>
      <c r="U715" t="s">
        <v>1308</v>
      </c>
      <c r="V715" t="s">
        <v>14275</v>
      </c>
      <c r="W715" t="s">
        <v>14276</v>
      </c>
      <c r="X715" t="s">
        <v>14277</v>
      </c>
      <c r="Y715" t="s">
        <v>14278</v>
      </c>
      <c r="Z715" t="s">
        <v>14279</v>
      </c>
      <c r="AA715" t="s">
        <v>14280</v>
      </c>
      <c r="AB715" t="s">
        <v>14281</v>
      </c>
      <c r="AC715" t="s">
        <v>74</v>
      </c>
      <c r="AD715" t="s">
        <v>74</v>
      </c>
      <c r="AE715" t="s">
        <v>74</v>
      </c>
      <c r="AF715" t="s">
        <v>74</v>
      </c>
      <c r="AG715">
        <v>29</v>
      </c>
      <c r="AH715">
        <v>1</v>
      </c>
      <c r="AI715">
        <v>1</v>
      </c>
      <c r="AJ715">
        <v>0</v>
      </c>
      <c r="AK715">
        <v>0</v>
      </c>
      <c r="AL715" t="s">
        <v>129</v>
      </c>
      <c r="AM715" t="s">
        <v>130</v>
      </c>
      <c r="AN715" t="s">
        <v>131</v>
      </c>
      <c r="AO715" t="s">
        <v>159</v>
      </c>
      <c r="AP715" t="s">
        <v>133</v>
      </c>
      <c r="AQ715" t="s">
        <v>14282</v>
      </c>
      <c r="AR715" t="s">
        <v>161</v>
      </c>
      <c r="AS715" t="s">
        <v>74</v>
      </c>
      <c r="AT715" t="s">
        <v>74</v>
      </c>
      <c r="AU715">
        <v>2018</v>
      </c>
      <c r="AV715">
        <v>11153</v>
      </c>
      <c r="AW715" t="s">
        <v>74</v>
      </c>
      <c r="AX715" t="s">
        <v>74</v>
      </c>
      <c r="AY715" t="s">
        <v>74</v>
      </c>
      <c r="AZ715" t="s">
        <v>74</v>
      </c>
      <c r="BA715" t="s">
        <v>74</v>
      </c>
      <c r="BB715">
        <v>126</v>
      </c>
      <c r="BC715">
        <v>135</v>
      </c>
      <c r="BD715" t="s">
        <v>74</v>
      </c>
      <c r="BE715" t="s">
        <v>14283</v>
      </c>
      <c r="BF715" t="str">
        <f>HYPERLINK("http://dx.doi.org/10.1007/978-3-030-03056-8_11","http://dx.doi.org/10.1007/978-3-030-03056-8_11")</f>
        <v>http://dx.doi.org/10.1007/978-3-030-03056-8_11</v>
      </c>
      <c r="BG715" t="s">
        <v>74</v>
      </c>
      <c r="BH715" t="s">
        <v>74</v>
      </c>
      <c r="BI715">
        <v>10</v>
      </c>
      <c r="BJ715" t="s">
        <v>2292</v>
      </c>
      <c r="BK715" t="s">
        <v>203</v>
      </c>
      <c r="BL715" t="s">
        <v>103</v>
      </c>
      <c r="BM715" t="s">
        <v>14284</v>
      </c>
      <c r="BN715" t="s">
        <v>74</v>
      </c>
      <c r="BO715" t="s">
        <v>74</v>
      </c>
      <c r="BP715" t="s">
        <v>74</v>
      </c>
      <c r="BQ715" t="s">
        <v>74</v>
      </c>
      <c r="BR715" t="s">
        <v>106</v>
      </c>
      <c r="BS715" t="s">
        <v>14285</v>
      </c>
      <c r="BT715" t="str">
        <f>HYPERLINK("https%3A%2F%2Fwww.webofscience.com%2Fwos%2Fwoscc%2Ffull-record%2FWOS:000719422000011","View Full Record in Web of Science")</f>
        <v>View Full Record in Web of Science</v>
      </c>
    </row>
    <row r="716" spans="1:72" x14ac:dyDescent="0.25">
      <c r="A716" t="s">
        <v>108</v>
      </c>
      <c r="B716" t="s">
        <v>14286</v>
      </c>
      <c r="C716" t="s">
        <v>74</v>
      </c>
      <c r="D716" t="s">
        <v>14287</v>
      </c>
      <c r="E716" t="s">
        <v>74</v>
      </c>
      <c r="F716" t="s">
        <v>14288</v>
      </c>
      <c r="G716" t="s">
        <v>74</v>
      </c>
      <c r="H716" t="s">
        <v>74</v>
      </c>
      <c r="I716" t="s">
        <v>14289</v>
      </c>
      <c r="J716" t="s">
        <v>14290</v>
      </c>
      <c r="K716" t="s">
        <v>14291</v>
      </c>
      <c r="L716" t="s">
        <v>74</v>
      </c>
      <c r="M716" t="s">
        <v>78</v>
      </c>
      <c r="N716" t="s">
        <v>115</v>
      </c>
      <c r="O716" t="s">
        <v>14292</v>
      </c>
      <c r="P716" t="s">
        <v>14293</v>
      </c>
      <c r="Q716" t="s">
        <v>14294</v>
      </c>
      <c r="R716" t="s">
        <v>14295</v>
      </c>
      <c r="S716" t="s">
        <v>74</v>
      </c>
      <c r="T716" t="s">
        <v>14296</v>
      </c>
      <c r="U716" t="s">
        <v>74</v>
      </c>
      <c r="V716" t="s">
        <v>14297</v>
      </c>
      <c r="W716" t="s">
        <v>14298</v>
      </c>
      <c r="X716" t="s">
        <v>14299</v>
      </c>
      <c r="Y716" t="s">
        <v>14300</v>
      </c>
      <c r="Z716" t="s">
        <v>14301</v>
      </c>
      <c r="AA716" t="s">
        <v>74</v>
      </c>
      <c r="AB716" t="s">
        <v>74</v>
      </c>
      <c r="AC716" t="s">
        <v>14302</v>
      </c>
      <c r="AD716" t="s">
        <v>14303</v>
      </c>
      <c r="AE716" t="s">
        <v>14304</v>
      </c>
      <c r="AF716" t="s">
        <v>74</v>
      </c>
      <c r="AG716">
        <v>7</v>
      </c>
      <c r="AH716">
        <v>0</v>
      </c>
      <c r="AI716">
        <v>0</v>
      </c>
      <c r="AJ716">
        <v>0</v>
      </c>
      <c r="AK716">
        <v>3</v>
      </c>
      <c r="AL716" t="s">
        <v>14305</v>
      </c>
      <c r="AM716" t="s">
        <v>14306</v>
      </c>
      <c r="AN716" t="s">
        <v>14307</v>
      </c>
      <c r="AO716" t="s">
        <v>14308</v>
      </c>
      <c r="AP716" t="s">
        <v>74</v>
      </c>
      <c r="AQ716" t="s">
        <v>14309</v>
      </c>
      <c r="AR716" t="s">
        <v>14310</v>
      </c>
      <c r="AS716" t="s">
        <v>74</v>
      </c>
      <c r="AT716" t="s">
        <v>74</v>
      </c>
      <c r="AU716">
        <v>2013</v>
      </c>
      <c r="AV716" t="s">
        <v>14311</v>
      </c>
      <c r="AW716" t="s">
        <v>74</v>
      </c>
      <c r="AX716" t="s">
        <v>74</v>
      </c>
      <c r="AY716" t="s">
        <v>74</v>
      </c>
      <c r="AZ716" t="s">
        <v>74</v>
      </c>
      <c r="BA716" t="s">
        <v>74</v>
      </c>
      <c r="BB716">
        <v>1420</v>
      </c>
      <c r="BC716" t="s">
        <v>5459</v>
      </c>
      <c r="BD716" t="s">
        <v>74</v>
      </c>
      <c r="BE716" t="s">
        <v>14312</v>
      </c>
      <c r="BF716" t="str">
        <f>HYPERLINK("http://dx.doi.org/10.4028/www.scientific.net/AMM.303-306.1420","http://dx.doi.org/10.4028/www.scientific.net/AMM.303-306.1420")</f>
        <v>http://dx.doi.org/10.4028/www.scientific.net/AMM.303-306.1420</v>
      </c>
      <c r="BG716" t="s">
        <v>74</v>
      </c>
      <c r="BH716" t="s">
        <v>74</v>
      </c>
      <c r="BI716">
        <v>2</v>
      </c>
      <c r="BJ716" t="s">
        <v>14313</v>
      </c>
      <c r="BK716" t="s">
        <v>203</v>
      </c>
      <c r="BL716" t="s">
        <v>14314</v>
      </c>
      <c r="BM716" t="s">
        <v>14315</v>
      </c>
      <c r="BN716" t="s">
        <v>74</v>
      </c>
      <c r="BO716" t="s">
        <v>105</v>
      </c>
      <c r="BP716" t="s">
        <v>74</v>
      </c>
      <c r="BQ716" t="s">
        <v>74</v>
      </c>
      <c r="BR716" t="s">
        <v>106</v>
      </c>
      <c r="BS716" t="s">
        <v>14316</v>
      </c>
      <c r="BT716" t="str">
        <f>HYPERLINK("https%3A%2F%2Fwww.webofscience.com%2Fwos%2Fwoscc%2Ffull-record%2FWOS:000320625500288","View Full Record in Web of Science")</f>
        <v>View Full Record in Web of Science</v>
      </c>
    </row>
    <row r="717" spans="1:72" x14ac:dyDescent="0.25">
      <c r="A717" t="s">
        <v>108</v>
      </c>
      <c r="B717" t="s">
        <v>14317</v>
      </c>
      <c r="C717" t="s">
        <v>74</v>
      </c>
      <c r="D717" t="s">
        <v>14318</v>
      </c>
      <c r="E717" t="s">
        <v>74</v>
      </c>
      <c r="F717" t="s">
        <v>14319</v>
      </c>
      <c r="G717" t="s">
        <v>74</v>
      </c>
      <c r="H717" t="s">
        <v>74</v>
      </c>
      <c r="I717" t="s">
        <v>14320</v>
      </c>
      <c r="J717" t="s">
        <v>14321</v>
      </c>
      <c r="K717" t="s">
        <v>147</v>
      </c>
      <c r="L717" t="s">
        <v>74</v>
      </c>
      <c r="M717" t="s">
        <v>78</v>
      </c>
      <c r="N717" t="s">
        <v>115</v>
      </c>
      <c r="O717" t="s">
        <v>14322</v>
      </c>
      <c r="P717" t="s">
        <v>14323</v>
      </c>
      <c r="Q717" t="s">
        <v>14324</v>
      </c>
      <c r="R717" t="s">
        <v>74</v>
      </c>
      <c r="S717" t="s">
        <v>74</v>
      </c>
      <c r="T717" t="s">
        <v>14325</v>
      </c>
      <c r="U717" t="s">
        <v>14326</v>
      </c>
      <c r="V717" t="s">
        <v>14327</v>
      </c>
      <c r="W717" t="s">
        <v>14328</v>
      </c>
      <c r="X717" t="s">
        <v>14329</v>
      </c>
      <c r="Y717" t="s">
        <v>14330</v>
      </c>
      <c r="Z717" t="s">
        <v>14331</v>
      </c>
      <c r="AA717" t="s">
        <v>14332</v>
      </c>
      <c r="AB717" t="s">
        <v>14333</v>
      </c>
      <c r="AC717" t="s">
        <v>74</v>
      </c>
      <c r="AD717" t="s">
        <v>74</v>
      </c>
      <c r="AE717" t="s">
        <v>74</v>
      </c>
      <c r="AF717" t="s">
        <v>74</v>
      </c>
      <c r="AG717">
        <v>24</v>
      </c>
      <c r="AH717">
        <v>0</v>
      </c>
      <c r="AI717">
        <v>0</v>
      </c>
      <c r="AJ717">
        <v>0</v>
      </c>
      <c r="AK717">
        <v>4</v>
      </c>
      <c r="AL717" t="s">
        <v>129</v>
      </c>
      <c r="AM717" t="s">
        <v>130</v>
      </c>
      <c r="AN717" t="s">
        <v>131</v>
      </c>
      <c r="AO717" t="s">
        <v>159</v>
      </c>
      <c r="AP717" t="s">
        <v>133</v>
      </c>
      <c r="AQ717" t="s">
        <v>14334</v>
      </c>
      <c r="AR717" t="s">
        <v>161</v>
      </c>
      <c r="AS717" t="s">
        <v>74</v>
      </c>
      <c r="AT717" t="s">
        <v>74</v>
      </c>
      <c r="AU717">
        <v>2025</v>
      </c>
      <c r="AV717">
        <v>15806</v>
      </c>
      <c r="AW717" t="s">
        <v>74</v>
      </c>
      <c r="AX717" t="s">
        <v>74</v>
      </c>
      <c r="AY717" t="s">
        <v>74</v>
      </c>
      <c r="AZ717" t="s">
        <v>74</v>
      </c>
      <c r="BA717" t="s">
        <v>74</v>
      </c>
      <c r="BB717">
        <v>300</v>
      </c>
      <c r="BC717">
        <v>314</v>
      </c>
      <c r="BD717" t="s">
        <v>74</v>
      </c>
      <c r="BE717" t="s">
        <v>14335</v>
      </c>
      <c r="BF717" t="str">
        <f>HYPERLINK("http://dx.doi.org/10.1007/978-3-031-93564-0_18","http://dx.doi.org/10.1007/978-3-031-93564-0_18")</f>
        <v>http://dx.doi.org/10.1007/978-3-031-93564-0_18</v>
      </c>
      <c r="BG717" t="s">
        <v>74</v>
      </c>
      <c r="BH717" t="s">
        <v>74</v>
      </c>
      <c r="BI717">
        <v>15</v>
      </c>
      <c r="BJ717" t="s">
        <v>344</v>
      </c>
      <c r="BK717" t="s">
        <v>138</v>
      </c>
      <c r="BL717" t="s">
        <v>139</v>
      </c>
      <c r="BM717" t="s">
        <v>14336</v>
      </c>
      <c r="BN717" t="s">
        <v>74</v>
      </c>
      <c r="BO717" t="s">
        <v>74</v>
      </c>
      <c r="BP717" t="s">
        <v>74</v>
      </c>
      <c r="BQ717" t="s">
        <v>74</v>
      </c>
      <c r="BR717" t="s">
        <v>106</v>
      </c>
      <c r="BS717" t="s">
        <v>14337</v>
      </c>
      <c r="BT717" t="str">
        <f>HYPERLINK("https%3A%2F%2Fwww.webofscience.com%2Fwos%2Fwoscc%2Ffull-record%2FWOS:001543786600018","View Full Record in Web of Science")</f>
        <v>View Full Record in Web of Science</v>
      </c>
    </row>
    <row r="718" spans="1:72" x14ac:dyDescent="0.25">
      <c r="A718" t="s">
        <v>72</v>
      </c>
      <c r="B718" t="s">
        <v>14338</v>
      </c>
      <c r="C718" t="s">
        <v>74</v>
      </c>
      <c r="D718" t="s">
        <v>74</v>
      </c>
      <c r="E718" t="s">
        <v>74</v>
      </c>
      <c r="F718" t="s">
        <v>14339</v>
      </c>
      <c r="G718" t="s">
        <v>74</v>
      </c>
      <c r="H718" t="s">
        <v>74</v>
      </c>
      <c r="I718" t="s">
        <v>14340</v>
      </c>
      <c r="J718" t="s">
        <v>5225</v>
      </c>
      <c r="K718" t="s">
        <v>74</v>
      </c>
      <c r="L718" t="s">
        <v>74</v>
      </c>
      <c r="M718" t="s">
        <v>78</v>
      </c>
      <c r="N718" t="s">
        <v>79</v>
      </c>
      <c r="O718" t="s">
        <v>74</v>
      </c>
      <c r="P718" t="s">
        <v>74</v>
      </c>
      <c r="Q718" t="s">
        <v>74</v>
      </c>
      <c r="R718" t="s">
        <v>74</v>
      </c>
      <c r="S718" t="s">
        <v>74</v>
      </c>
      <c r="T718" t="s">
        <v>14341</v>
      </c>
      <c r="U718" t="s">
        <v>14342</v>
      </c>
      <c r="V718" t="s">
        <v>14343</v>
      </c>
      <c r="W718" t="s">
        <v>14344</v>
      </c>
      <c r="X718" t="s">
        <v>14345</v>
      </c>
      <c r="Y718" t="s">
        <v>14346</v>
      </c>
      <c r="Z718" t="s">
        <v>14347</v>
      </c>
      <c r="AA718" t="s">
        <v>74</v>
      </c>
      <c r="AB718" t="s">
        <v>74</v>
      </c>
      <c r="AC718" t="s">
        <v>14348</v>
      </c>
      <c r="AD718" t="s">
        <v>14348</v>
      </c>
      <c r="AE718" t="s">
        <v>14349</v>
      </c>
      <c r="AF718" t="s">
        <v>74</v>
      </c>
      <c r="AG718">
        <v>49</v>
      </c>
      <c r="AH718">
        <v>35</v>
      </c>
      <c r="AI718">
        <v>46</v>
      </c>
      <c r="AJ718">
        <v>0</v>
      </c>
      <c r="AK718">
        <v>77</v>
      </c>
      <c r="AL718" t="s">
        <v>736</v>
      </c>
      <c r="AM718" t="s">
        <v>737</v>
      </c>
      <c r="AN718" t="s">
        <v>738</v>
      </c>
      <c r="AO718" t="s">
        <v>5232</v>
      </c>
      <c r="AP718" t="s">
        <v>5233</v>
      </c>
      <c r="AQ718" t="s">
        <v>74</v>
      </c>
      <c r="AR718" t="s">
        <v>5234</v>
      </c>
      <c r="AS718" t="s">
        <v>5235</v>
      </c>
      <c r="AT718" t="s">
        <v>3666</v>
      </c>
      <c r="AU718">
        <v>2015</v>
      </c>
      <c r="AV718">
        <v>42</v>
      </c>
      <c r="AW718">
        <v>5</v>
      </c>
      <c r="AX718" t="s">
        <v>74</v>
      </c>
      <c r="AY718" t="s">
        <v>74</v>
      </c>
      <c r="AZ718" t="s">
        <v>74</v>
      </c>
      <c r="BA718" t="s">
        <v>74</v>
      </c>
      <c r="BB718">
        <v>2547</v>
      </c>
      <c r="BC718">
        <v>2569</v>
      </c>
      <c r="BD718" t="s">
        <v>74</v>
      </c>
      <c r="BE718" t="s">
        <v>14350</v>
      </c>
      <c r="BF718" t="str">
        <f>HYPERLINK("http://dx.doi.org/10.1016/j.eswa.2014.10.032","http://dx.doi.org/10.1016/j.eswa.2014.10.032")</f>
        <v>http://dx.doi.org/10.1016/j.eswa.2014.10.032</v>
      </c>
      <c r="BG718" t="s">
        <v>74</v>
      </c>
      <c r="BH718" t="s">
        <v>74</v>
      </c>
      <c r="BI718">
        <v>23</v>
      </c>
      <c r="BJ718" t="s">
        <v>5237</v>
      </c>
      <c r="BK718" t="s">
        <v>902</v>
      </c>
      <c r="BL718" t="s">
        <v>5238</v>
      </c>
      <c r="BM718" t="s">
        <v>14351</v>
      </c>
      <c r="BN718" t="s">
        <v>74</v>
      </c>
      <c r="BO718" t="s">
        <v>74</v>
      </c>
      <c r="BP718" t="s">
        <v>74</v>
      </c>
      <c r="BQ718" t="s">
        <v>74</v>
      </c>
      <c r="BR718" t="s">
        <v>106</v>
      </c>
      <c r="BS718" t="s">
        <v>14352</v>
      </c>
      <c r="BT718" t="str">
        <f>HYPERLINK("https%3A%2F%2Fwww.webofscience.com%2Fwos%2Fwoscc%2Ffull-record%2FWOS:000348619900025","View Full Record in Web of Science")</f>
        <v>View Full Record in Web of Science</v>
      </c>
    </row>
    <row r="719" spans="1:72" x14ac:dyDescent="0.25">
      <c r="A719" t="s">
        <v>72</v>
      </c>
      <c r="B719" t="s">
        <v>14353</v>
      </c>
      <c r="C719" t="s">
        <v>74</v>
      </c>
      <c r="D719" t="s">
        <v>74</v>
      </c>
      <c r="E719" t="s">
        <v>74</v>
      </c>
      <c r="F719" t="s">
        <v>14354</v>
      </c>
      <c r="G719" t="s">
        <v>74</v>
      </c>
      <c r="H719" t="s">
        <v>74</v>
      </c>
      <c r="I719" t="s">
        <v>14355</v>
      </c>
      <c r="J719" t="s">
        <v>14356</v>
      </c>
      <c r="K719" t="s">
        <v>74</v>
      </c>
      <c r="L719" t="s">
        <v>74</v>
      </c>
      <c r="M719" t="s">
        <v>78</v>
      </c>
      <c r="N719" t="s">
        <v>52</v>
      </c>
      <c r="O719" t="s">
        <v>14357</v>
      </c>
      <c r="P719" t="s">
        <v>14358</v>
      </c>
      <c r="Q719" t="s">
        <v>3677</v>
      </c>
      <c r="R719" t="s">
        <v>74</v>
      </c>
      <c r="S719" t="s">
        <v>74</v>
      </c>
      <c r="T719" t="s">
        <v>74</v>
      </c>
      <c r="U719" t="s">
        <v>74</v>
      </c>
      <c r="V719" t="s">
        <v>74</v>
      </c>
      <c r="W719" t="s">
        <v>74</v>
      </c>
      <c r="X719" t="s">
        <v>74</v>
      </c>
      <c r="Y719" t="s">
        <v>74</v>
      </c>
      <c r="Z719" t="s">
        <v>74</v>
      </c>
      <c r="AA719" t="s">
        <v>74</v>
      </c>
      <c r="AB719" t="s">
        <v>74</v>
      </c>
      <c r="AC719" t="s">
        <v>74</v>
      </c>
      <c r="AD719" t="s">
        <v>74</v>
      </c>
      <c r="AE719" t="s">
        <v>74</v>
      </c>
      <c r="AF719" t="s">
        <v>74</v>
      </c>
      <c r="AG719">
        <v>0</v>
      </c>
      <c r="AH719">
        <v>0</v>
      </c>
      <c r="AI719">
        <v>0</v>
      </c>
      <c r="AJ719">
        <v>0</v>
      </c>
      <c r="AK719">
        <v>2</v>
      </c>
      <c r="AL719" t="s">
        <v>631</v>
      </c>
      <c r="AM719" t="s">
        <v>632</v>
      </c>
      <c r="AN719" t="s">
        <v>633</v>
      </c>
      <c r="AO719" t="s">
        <v>14359</v>
      </c>
      <c r="AP719" t="s">
        <v>14360</v>
      </c>
      <c r="AQ719" t="s">
        <v>74</v>
      </c>
      <c r="AR719" t="s">
        <v>14361</v>
      </c>
      <c r="AS719" t="s">
        <v>14362</v>
      </c>
      <c r="AT719" t="s">
        <v>74</v>
      </c>
      <c r="AU719">
        <v>2022</v>
      </c>
      <c r="AV719">
        <v>36</v>
      </c>
      <c r="AW719" t="s">
        <v>74</v>
      </c>
      <c r="AX719" t="s">
        <v>74</v>
      </c>
      <c r="AY719">
        <v>1</v>
      </c>
      <c r="AZ719" t="s">
        <v>74</v>
      </c>
      <c r="BA719" t="s">
        <v>74</v>
      </c>
      <c r="BB719" t="s">
        <v>74</v>
      </c>
      <c r="BC719" t="s">
        <v>74</v>
      </c>
      <c r="BD719" t="s">
        <v>74</v>
      </c>
      <c r="BE719" t="s">
        <v>14363</v>
      </c>
      <c r="BF719" t="str">
        <f>HYPERLINK("http://dx.doi.org/10.1096/fasebj.2022.36.S1.R4595","http://dx.doi.org/10.1096/fasebj.2022.36.S1.R4595")</f>
        <v>http://dx.doi.org/10.1096/fasebj.2022.36.S1.R4595</v>
      </c>
      <c r="BG719" t="s">
        <v>74</v>
      </c>
      <c r="BH719" t="s">
        <v>74</v>
      </c>
      <c r="BI719">
        <v>1</v>
      </c>
      <c r="BJ719" t="s">
        <v>14364</v>
      </c>
      <c r="BK719" t="s">
        <v>11486</v>
      </c>
      <c r="BL719" t="s">
        <v>14365</v>
      </c>
      <c r="BM719" t="s">
        <v>14366</v>
      </c>
      <c r="BN719">
        <v>35552889</v>
      </c>
      <c r="BO719" t="s">
        <v>74</v>
      </c>
      <c r="BP719" t="s">
        <v>74</v>
      </c>
      <c r="BQ719" t="s">
        <v>74</v>
      </c>
      <c r="BR719" t="s">
        <v>106</v>
      </c>
      <c r="BS719" t="s">
        <v>14367</v>
      </c>
      <c r="BT719" t="str">
        <f>HYPERLINK("https%3A%2F%2Fwww.webofscience.com%2Fwos%2Fwoscc%2Ffull-record%2FWOS:000878430605045","View Full Record in Web of Science")</f>
        <v>View Full Record in Web of Science</v>
      </c>
    </row>
    <row r="720" spans="1:72" x14ac:dyDescent="0.25">
      <c r="A720" t="s">
        <v>72</v>
      </c>
      <c r="B720" t="s">
        <v>14368</v>
      </c>
      <c r="C720" t="s">
        <v>74</v>
      </c>
      <c r="D720" t="s">
        <v>74</v>
      </c>
      <c r="E720" t="s">
        <v>74</v>
      </c>
      <c r="F720" t="s">
        <v>14369</v>
      </c>
      <c r="G720" t="s">
        <v>74</v>
      </c>
      <c r="H720" t="s">
        <v>74</v>
      </c>
      <c r="I720" t="s">
        <v>14370</v>
      </c>
      <c r="J720" t="s">
        <v>7177</v>
      </c>
      <c r="K720" t="s">
        <v>74</v>
      </c>
      <c r="L720" t="s">
        <v>74</v>
      </c>
      <c r="M720" t="s">
        <v>78</v>
      </c>
      <c r="N720" t="s">
        <v>79</v>
      </c>
      <c r="O720" t="s">
        <v>74</v>
      </c>
      <c r="P720" t="s">
        <v>74</v>
      </c>
      <c r="Q720" t="s">
        <v>74</v>
      </c>
      <c r="R720" t="s">
        <v>74</v>
      </c>
      <c r="S720" t="s">
        <v>74</v>
      </c>
      <c r="T720" t="s">
        <v>14371</v>
      </c>
      <c r="U720" t="s">
        <v>74</v>
      </c>
      <c r="V720" t="s">
        <v>14372</v>
      </c>
      <c r="W720" t="s">
        <v>14373</v>
      </c>
      <c r="X720" t="s">
        <v>14374</v>
      </c>
      <c r="Y720" t="s">
        <v>14375</v>
      </c>
      <c r="Z720" t="s">
        <v>14376</v>
      </c>
      <c r="AA720" t="s">
        <v>14377</v>
      </c>
      <c r="AB720" t="s">
        <v>14378</v>
      </c>
      <c r="AC720" t="s">
        <v>14379</v>
      </c>
      <c r="AD720" t="s">
        <v>14380</v>
      </c>
      <c r="AE720" t="s">
        <v>14381</v>
      </c>
      <c r="AF720" t="s">
        <v>74</v>
      </c>
      <c r="AG720">
        <v>73</v>
      </c>
      <c r="AH720">
        <v>7</v>
      </c>
      <c r="AI720">
        <v>7</v>
      </c>
      <c r="AJ720">
        <v>0</v>
      </c>
      <c r="AK720">
        <v>7</v>
      </c>
      <c r="AL720" t="s">
        <v>291</v>
      </c>
      <c r="AM720" t="s">
        <v>92</v>
      </c>
      <c r="AN720" t="s">
        <v>2534</v>
      </c>
      <c r="AO720" t="s">
        <v>7188</v>
      </c>
      <c r="AP720" t="s">
        <v>7189</v>
      </c>
      <c r="AQ720" t="s">
        <v>74</v>
      </c>
      <c r="AR720" t="s">
        <v>7190</v>
      </c>
      <c r="AS720" t="s">
        <v>7191</v>
      </c>
      <c r="AT720" t="s">
        <v>1166</v>
      </c>
      <c r="AU720">
        <v>2022</v>
      </c>
      <c r="AV720">
        <v>40</v>
      </c>
      <c r="AW720">
        <v>3</v>
      </c>
      <c r="AX720" t="s">
        <v>74</v>
      </c>
      <c r="AY720" t="s">
        <v>74</v>
      </c>
      <c r="AZ720" t="s">
        <v>74</v>
      </c>
      <c r="BA720" t="s">
        <v>74</v>
      </c>
      <c r="BB720" t="s">
        <v>74</v>
      </c>
      <c r="BC720" t="s">
        <v>74</v>
      </c>
      <c r="BD720">
        <v>58</v>
      </c>
      <c r="BE720" t="s">
        <v>14382</v>
      </c>
      <c r="BF720" t="str">
        <f>HYPERLINK("http://dx.doi.org/10.1145/3478284","http://dx.doi.org/10.1145/3478284")</f>
        <v>http://dx.doi.org/10.1145/3478284</v>
      </c>
      <c r="BG720" t="s">
        <v>74</v>
      </c>
      <c r="BH720" t="s">
        <v>74</v>
      </c>
      <c r="BI720">
        <v>36</v>
      </c>
      <c r="BJ720" t="s">
        <v>852</v>
      </c>
      <c r="BK720" t="s">
        <v>902</v>
      </c>
      <c r="BL720" t="s">
        <v>103</v>
      </c>
      <c r="BM720" t="s">
        <v>14383</v>
      </c>
      <c r="BN720" t="s">
        <v>74</v>
      </c>
      <c r="BO720" t="s">
        <v>74</v>
      </c>
      <c r="BP720" t="s">
        <v>74</v>
      </c>
      <c r="BQ720" t="s">
        <v>74</v>
      </c>
      <c r="BR720" t="s">
        <v>106</v>
      </c>
      <c r="BS720" t="s">
        <v>14384</v>
      </c>
      <c r="BT720" t="str">
        <f>HYPERLINK("https%3A%2F%2Fwww.webofscience.com%2Fwos%2Fwoscc%2Ffull-record%2FWOS:000776450500017","View Full Record in Web of Science")</f>
        <v>View Full Record in Web of Science</v>
      </c>
    </row>
    <row r="721" spans="1:72" x14ac:dyDescent="0.25">
      <c r="A721" t="s">
        <v>72</v>
      </c>
      <c r="B721" t="s">
        <v>14385</v>
      </c>
      <c r="C721" t="s">
        <v>74</v>
      </c>
      <c r="D721" t="s">
        <v>74</v>
      </c>
      <c r="E721" t="s">
        <v>74</v>
      </c>
      <c r="F721" t="s">
        <v>14385</v>
      </c>
      <c r="G721" t="s">
        <v>74</v>
      </c>
      <c r="H721" t="s">
        <v>74</v>
      </c>
      <c r="I721" t="s">
        <v>14386</v>
      </c>
      <c r="J721" t="s">
        <v>11151</v>
      </c>
      <c r="K721" t="s">
        <v>74</v>
      </c>
      <c r="L721" t="s">
        <v>74</v>
      </c>
      <c r="M721" t="s">
        <v>78</v>
      </c>
      <c r="N721" t="s">
        <v>7584</v>
      </c>
      <c r="O721" t="s">
        <v>14387</v>
      </c>
      <c r="P721" t="s">
        <v>14388</v>
      </c>
      <c r="Q721" t="s">
        <v>14389</v>
      </c>
      <c r="R721" t="s">
        <v>74</v>
      </c>
      <c r="S721" t="s">
        <v>74</v>
      </c>
      <c r="T721" t="s">
        <v>14390</v>
      </c>
      <c r="U721" t="s">
        <v>74</v>
      </c>
      <c r="V721" t="s">
        <v>14391</v>
      </c>
      <c r="W721" t="s">
        <v>14392</v>
      </c>
      <c r="X721" t="s">
        <v>14393</v>
      </c>
      <c r="Y721" t="s">
        <v>14394</v>
      </c>
      <c r="Z721" t="s">
        <v>74</v>
      </c>
      <c r="AA721" t="s">
        <v>74</v>
      </c>
      <c r="AB721" t="s">
        <v>74</v>
      </c>
      <c r="AC721" t="s">
        <v>74</v>
      </c>
      <c r="AD721" t="s">
        <v>74</v>
      </c>
      <c r="AE721" t="s">
        <v>74</v>
      </c>
      <c r="AF721" t="s">
        <v>74</v>
      </c>
      <c r="AG721">
        <v>24</v>
      </c>
      <c r="AH721">
        <v>3</v>
      </c>
      <c r="AI721">
        <v>3</v>
      </c>
      <c r="AJ721">
        <v>0</v>
      </c>
      <c r="AK721">
        <v>2</v>
      </c>
      <c r="AL721" t="s">
        <v>14395</v>
      </c>
      <c r="AM721" t="s">
        <v>1005</v>
      </c>
      <c r="AN721" t="s">
        <v>1006</v>
      </c>
      <c r="AO721" t="s">
        <v>11163</v>
      </c>
      <c r="AP721" t="s">
        <v>74</v>
      </c>
      <c r="AQ721" t="s">
        <v>74</v>
      </c>
      <c r="AR721" t="s">
        <v>11165</v>
      </c>
      <c r="AS721" t="s">
        <v>11166</v>
      </c>
      <c r="AT721" t="s">
        <v>74</v>
      </c>
      <c r="AU721">
        <v>2003</v>
      </c>
      <c r="AV721">
        <v>26</v>
      </c>
      <c r="AW721" t="s">
        <v>14396</v>
      </c>
      <c r="AX721" t="s">
        <v>74</v>
      </c>
      <c r="AY721" t="s">
        <v>74</v>
      </c>
      <c r="AZ721" t="s">
        <v>74</v>
      </c>
      <c r="BA721" t="s">
        <v>74</v>
      </c>
      <c r="BB721">
        <v>135</v>
      </c>
      <c r="BC721">
        <v>147</v>
      </c>
      <c r="BD721" t="s">
        <v>74</v>
      </c>
      <c r="BE721" t="s">
        <v>14397</v>
      </c>
      <c r="BF721" t="str">
        <f>HYPERLINK("http://dx.doi.org/10.1023/A:1025570318413","http://dx.doi.org/10.1023/A:1025570318413")</f>
        <v>http://dx.doi.org/10.1023/A:1025570318413</v>
      </c>
      <c r="BG721" t="s">
        <v>74</v>
      </c>
      <c r="BH721" t="s">
        <v>74</v>
      </c>
      <c r="BI721">
        <v>13</v>
      </c>
      <c r="BJ721" t="s">
        <v>4177</v>
      </c>
      <c r="BK721" t="s">
        <v>12228</v>
      </c>
      <c r="BL721" t="s">
        <v>4177</v>
      </c>
      <c r="BM721" t="s">
        <v>14398</v>
      </c>
      <c r="BN721" t="s">
        <v>74</v>
      </c>
      <c r="BO721" t="s">
        <v>74</v>
      </c>
      <c r="BP721" t="s">
        <v>74</v>
      </c>
      <c r="BQ721" t="s">
        <v>74</v>
      </c>
      <c r="BR721" t="s">
        <v>106</v>
      </c>
      <c r="BS721" t="s">
        <v>14399</v>
      </c>
      <c r="BT721" t="str">
        <f>HYPERLINK("https%3A%2F%2Fwww.webofscience.com%2Fwos%2Fwoscc%2Ffull-record%2FWOS:000185123500005","View Full Record in Web of Science")</f>
        <v>View Full Record in Web of Science</v>
      </c>
    </row>
    <row r="722" spans="1:72" x14ac:dyDescent="0.25">
      <c r="A722" t="s">
        <v>72</v>
      </c>
      <c r="B722" t="s">
        <v>14400</v>
      </c>
      <c r="C722" t="s">
        <v>74</v>
      </c>
      <c r="D722" t="s">
        <v>74</v>
      </c>
      <c r="E722" t="s">
        <v>74</v>
      </c>
      <c r="F722" t="s">
        <v>14401</v>
      </c>
      <c r="G722" t="s">
        <v>74</v>
      </c>
      <c r="H722" t="s">
        <v>74</v>
      </c>
      <c r="I722" t="s">
        <v>14402</v>
      </c>
      <c r="J722" t="s">
        <v>14403</v>
      </c>
      <c r="K722" t="s">
        <v>74</v>
      </c>
      <c r="L722" t="s">
        <v>74</v>
      </c>
      <c r="M722" t="s">
        <v>78</v>
      </c>
      <c r="N722" t="s">
        <v>79</v>
      </c>
      <c r="O722" t="s">
        <v>74</v>
      </c>
      <c r="P722" t="s">
        <v>74</v>
      </c>
      <c r="Q722" t="s">
        <v>74</v>
      </c>
      <c r="R722" t="s">
        <v>74</v>
      </c>
      <c r="S722" t="s">
        <v>74</v>
      </c>
      <c r="T722" t="s">
        <v>74</v>
      </c>
      <c r="U722" t="s">
        <v>74</v>
      </c>
      <c r="V722" t="s">
        <v>14404</v>
      </c>
      <c r="W722" t="s">
        <v>14405</v>
      </c>
      <c r="X722" t="s">
        <v>4288</v>
      </c>
      <c r="Y722" t="s">
        <v>14406</v>
      </c>
      <c r="Z722" t="s">
        <v>74</v>
      </c>
      <c r="AA722" t="s">
        <v>74</v>
      </c>
      <c r="AB722" t="s">
        <v>14407</v>
      </c>
      <c r="AC722" t="s">
        <v>74</v>
      </c>
      <c r="AD722" t="s">
        <v>74</v>
      </c>
      <c r="AE722" t="s">
        <v>74</v>
      </c>
      <c r="AF722" t="s">
        <v>74</v>
      </c>
      <c r="AG722">
        <v>63</v>
      </c>
      <c r="AH722">
        <v>0</v>
      </c>
      <c r="AI722">
        <v>2</v>
      </c>
      <c r="AJ722">
        <v>0</v>
      </c>
      <c r="AK722">
        <v>2</v>
      </c>
      <c r="AL722" t="s">
        <v>1369</v>
      </c>
      <c r="AM722" t="s">
        <v>1320</v>
      </c>
      <c r="AN722" t="s">
        <v>1370</v>
      </c>
      <c r="AO722" t="s">
        <v>14408</v>
      </c>
      <c r="AP722" t="s">
        <v>14409</v>
      </c>
      <c r="AQ722" t="s">
        <v>74</v>
      </c>
      <c r="AR722" t="s">
        <v>14410</v>
      </c>
      <c r="AS722" t="s">
        <v>14411</v>
      </c>
      <c r="AT722" t="s">
        <v>1950</v>
      </c>
      <c r="AU722">
        <v>2014</v>
      </c>
      <c r="AV722" t="s">
        <v>74</v>
      </c>
      <c r="AW722">
        <v>150</v>
      </c>
      <c r="AX722" t="s">
        <v>74</v>
      </c>
      <c r="AY722" t="s">
        <v>74</v>
      </c>
      <c r="AZ722" t="s">
        <v>74</v>
      </c>
      <c r="BA722" t="s">
        <v>74</v>
      </c>
      <c r="BB722">
        <v>122</v>
      </c>
      <c r="BC722">
        <v>129</v>
      </c>
      <c r="BD722" t="s">
        <v>74</v>
      </c>
      <c r="BE722" t="s">
        <v>74</v>
      </c>
      <c r="BF722" t="s">
        <v>74</v>
      </c>
      <c r="BG722" t="s">
        <v>74</v>
      </c>
      <c r="BH722" t="s">
        <v>74</v>
      </c>
      <c r="BI722">
        <v>8</v>
      </c>
      <c r="BJ722" t="s">
        <v>11731</v>
      </c>
      <c r="BK722" t="s">
        <v>250</v>
      </c>
      <c r="BL722" t="s">
        <v>11731</v>
      </c>
      <c r="BM722" t="s">
        <v>14412</v>
      </c>
      <c r="BN722" t="s">
        <v>74</v>
      </c>
      <c r="BO722" t="s">
        <v>74</v>
      </c>
      <c r="BP722" t="s">
        <v>74</v>
      </c>
      <c r="BQ722" t="s">
        <v>74</v>
      </c>
      <c r="BR722" t="s">
        <v>106</v>
      </c>
      <c r="BS722" t="s">
        <v>14413</v>
      </c>
      <c r="BT722" t="str">
        <f>HYPERLINK("https%3A%2F%2Fwww.webofscience.com%2Fwos%2Fwoscc%2Ffull-record%2FWOS:000334895300023","View Full Record in Web of Science")</f>
        <v>View Full Record in Web of Science</v>
      </c>
    </row>
    <row r="723" spans="1:72" x14ac:dyDescent="0.25">
      <c r="A723" t="s">
        <v>108</v>
      </c>
      <c r="B723" t="s">
        <v>14414</v>
      </c>
      <c r="C723" t="s">
        <v>74</v>
      </c>
      <c r="D723" t="s">
        <v>14415</v>
      </c>
      <c r="E723" t="s">
        <v>74</v>
      </c>
      <c r="F723" t="s">
        <v>14416</v>
      </c>
      <c r="G723" t="s">
        <v>74</v>
      </c>
      <c r="H723" t="s">
        <v>74</v>
      </c>
      <c r="I723" t="s">
        <v>14417</v>
      </c>
      <c r="J723" t="s">
        <v>14418</v>
      </c>
      <c r="K723" t="s">
        <v>14419</v>
      </c>
      <c r="L723" t="s">
        <v>74</v>
      </c>
      <c r="M723" t="s">
        <v>78</v>
      </c>
      <c r="N723" t="s">
        <v>115</v>
      </c>
      <c r="O723" t="s">
        <v>14420</v>
      </c>
      <c r="P723" t="s">
        <v>14421</v>
      </c>
      <c r="Q723" t="s">
        <v>2643</v>
      </c>
      <c r="R723" t="s">
        <v>74</v>
      </c>
      <c r="S723" t="s">
        <v>74</v>
      </c>
      <c r="T723" t="s">
        <v>14422</v>
      </c>
      <c r="U723" t="s">
        <v>74</v>
      </c>
      <c r="V723" t="s">
        <v>14423</v>
      </c>
      <c r="W723" t="s">
        <v>14424</v>
      </c>
      <c r="X723" t="s">
        <v>14425</v>
      </c>
      <c r="Y723" t="s">
        <v>14426</v>
      </c>
      <c r="Z723" t="s">
        <v>14427</v>
      </c>
      <c r="AA723" t="s">
        <v>74</v>
      </c>
      <c r="AB723" t="s">
        <v>74</v>
      </c>
      <c r="AC723" t="s">
        <v>74</v>
      </c>
      <c r="AD723" t="s">
        <v>74</v>
      </c>
      <c r="AE723" t="s">
        <v>74</v>
      </c>
      <c r="AF723" t="s">
        <v>74</v>
      </c>
      <c r="AG723">
        <v>10</v>
      </c>
      <c r="AH723">
        <v>0</v>
      </c>
      <c r="AI723">
        <v>0</v>
      </c>
      <c r="AJ723">
        <v>0</v>
      </c>
      <c r="AK723">
        <v>3</v>
      </c>
      <c r="AL723" t="s">
        <v>178</v>
      </c>
      <c r="AM723" t="s">
        <v>92</v>
      </c>
      <c r="AN723" t="s">
        <v>1035</v>
      </c>
      <c r="AO723" t="s">
        <v>14428</v>
      </c>
      <c r="AP723" t="s">
        <v>74</v>
      </c>
      <c r="AQ723" t="s">
        <v>14429</v>
      </c>
      <c r="AR723" t="s">
        <v>14430</v>
      </c>
      <c r="AS723" t="s">
        <v>74</v>
      </c>
      <c r="AT723" t="s">
        <v>74</v>
      </c>
      <c r="AU723">
        <v>2008</v>
      </c>
      <c r="AV723">
        <v>255</v>
      </c>
      <c r="AW723" t="s">
        <v>74</v>
      </c>
      <c r="AX723" t="s">
        <v>74</v>
      </c>
      <c r="AY723" t="s">
        <v>74</v>
      </c>
      <c r="AZ723" t="s">
        <v>74</v>
      </c>
      <c r="BA723" t="s">
        <v>74</v>
      </c>
      <c r="BB723">
        <v>1283</v>
      </c>
      <c r="BC723" t="s">
        <v>5459</v>
      </c>
      <c r="BD723" t="s">
        <v>74</v>
      </c>
      <c r="BE723" t="s">
        <v>74</v>
      </c>
      <c r="BF723" t="s">
        <v>74</v>
      </c>
      <c r="BG723" t="s">
        <v>74</v>
      </c>
      <c r="BH723" t="s">
        <v>74</v>
      </c>
      <c r="BI723">
        <v>2</v>
      </c>
      <c r="BJ723" t="s">
        <v>14431</v>
      </c>
      <c r="BK723" t="s">
        <v>138</v>
      </c>
      <c r="BL723" t="s">
        <v>14432</v>
      </c>
      <c r="BM723" t="s">
        <v>14433</v>
      </c>
      <c r="BN723" t="s">
        <v>74</v>
      </c>
      <c r="BO723" t="s">
        <v>74</v>
      </c>
      <c r="BP723" t="s">
        <v>74</v>
      </c>
      <c r="BQ723" t="s">
        <v>74</v>
      </c>
      <c r="BR723" t="s">
        <v>106</v>
      </c>
      <c r="BS723" t="s">
        <v>14434</v>
      </c>
      <c r="BT723" t="str">
        <f>HYPERLINK("https%3A%2F%2Fwww.webofscience.com%2Fwos%2Fwoscc%2Ffull-record%2FWOS:000250701800059","View Full Record in Web of Science")</f>
        <v>View Full Record in Web of Science</v>
      </c>
    </row>
    <row r="724" spans="1:72" x14ac:dyDescent="0.25">
      <c r="A724" t="s">
        <v>108</v>
      </c>
      <c r="B724" t="s">
        <v>14435</v>
      </c>
      <c r="C724" t="s">
        <v>74</v>
      </c>
      <c r="D724" t="s">
        <v>74</v>
      </c>
      <c r="E724" t="s">
        <v>465</v>
      </c>
      <c r="F724" t="s">
        <v>14436</v>
      </c>
      <c r="G724" t="s">
        <v>74</v>
      </c>
      <c r="H724" t="s">
        <v>74</v>
      </c>
      <c r="I724" t="s">
        <v>14437</v>
      </c>
      <c r="J724" t="s">
        <v>14438</v>
      </c>
      <c r="K724" t="s">
        <v>74</v>
      </c>
      <c r="L724" t="s">
        <v>74</v>
      </c>
      <c r="M724" t="s">
        <v>78</v>
      </c>
      <c r="N724" t="s">
        <v>115</v>
      </c>
      <c r="O724" t="s">
        <v>14439</v>
      </c>
      <c r="P724" t="s">
        <v>14440</v>
      </c>
      <c r="Q724" t="s">
        <v>14441</v>
      </c>
      <c r="R724" t="s">
        <v>14442</v>
      </c>
      <c r="S724" t="s">
        <v>14443</v>
      </c>
      <c r="T724" t="s">
        <v>14444</v>
      </c>
      <c r="U724" t="s">
        <v>74</v>
      </c>
      <c r="V724" t="s">
        <v>14445</v>
      </c>
      <c r="W724" t="s">
        <v>14446</v>
      </c>
      <c r="X724" t="s">
        <v>14447</v>
      </c>
      <c r="Y724" t="s">
        <v>14448</v>
      </c>
      <c r="Z724" t="s">
        <v>14449</v>
      </c>
      <c r="AA724" t="s">
        <v>74</v>
      </c>
      <c r="AB724" t="s">
        <v>14450</v>
      </c>
      <c r="AC724" t="s">
        <v>74</v>
      </c>
      <c r="AD724" t="s">
        <v>74</v>
      </c>
      <c r="AE724" t="s">
        <v>74</v>
      </c>
      <c r="AF724" t="s">
        <v>74</v>
      </c>
      <c r="AG724">
        <v>17</v>
      </c>
      <c r="AH724">
        <v>4</v>
      </c>
      <c r="AI724">
        <v>4</v>
      </c>
      <c r="AJ724">
        <v>0</v>
      </c>
      <c r="AK724">
        <v>2</v>
      </c>
      <c r="AL724" t="s">
        <v>465</v>
      </c>
      <c r="AM724" t="s">
        <v>92</v>
      </c>
      <c r="AN724" t="s">
        <v>480</v>
      </c>
      <c r="AO724" t="s">
        <v>74</v>
      </c>
      <c r="AP724" t="s">
        <v>74</v>
      </c>
      <c r="AQ724" t="s">
        <v>14451</v>
      </c>
      <c r="AR724" t="s">
        <v>74</v>
      </c>
      <c r="AS724" t="s">
        <v>74</v>
      </c>
      <c r="AT724" t="s">
        <v>74</v>
      </c>
      <c r="AU724">
        <v>2013</v>
      </c>
      <c r="AV724" t="s">
        <v>74</v>
      </c>
      <c r="AW724" t="s">
        <v>74</v>
      </c>
      <c r="AX724" t="s">
        <v>74</v>
      </c>
      <c r="AY724" t="s">
        <v>74</v>
      </c>
      <c r="AZ724" t="s">
        <v>74</v>
      </c>
      <c r="BA724" t="s">
        <v>74</v>
      </c>
      <c r="BB724">
        <v>592</v>
      </c>
      <c r="BC724">
        <v>598</v>
      </c>
      <c r="BD724" t="s">
        <v>74</v>
      </c>
      <c r="BE724" t="s">
        <v>74</v>
      </c>
      <c r="BF724" t="s">
        <v>74</v>
      </c>
      <c r="BG724" t="s">
        <v>74</v>
      </c>
      <c r="BH724" t="s">
        <v>74</v>
      </c>
      <c r="BI724">
        <v>7</v>
      </c>
      <c r="BJ724" t="s">
        <v>14452</v>
      </c>
      <c r="BK724" t="s">
        <v>203</v>
      </c>
      <c r="BL724" t="s">
        <v>139</v>
      </c>
      <c r="BM724" t="s">
        <v>14453</v>
      </c>
      <c r="BN724" t="s">
        <v>74</v>
      </c>
      <c r="BO724" t="s">
        <v>74</v>
      </c>
      <c r="BP724" t="s">
        <v>74</v>
      </c>
      <c r="BQ724" t="s">
        <v>74</v>
      </c>
      <c r="BR724" t="s">
        <v>106</v>
      </c>
      <c r="BS724" t="s">
        <v>14454</v>
      </c>
      <c r="BT724" t="str">
        <f>HYPERLINK("https%3A%2F%2Fwww.webofscience.com%2Fwos%2Fwoscc%2Ffull-record%2FWOS:000327302900108","View Full Record in Web of Science")</f>
        <v>View Full Record in Web of Science</v>
      </c>
    </row>
    <row r="725" spans="1:72" x14ac:dyDescent="0.25">
      <c r="A725" t="s">
        <v>72</v>
      </c>
      <c r="B725" t="s">
        <v>14455</v>
      </c>
      <c r="C725" t="s">
        <v>74</v>
      </c>
      <c r="D725" t="s">
        <v>74</v>
      </c>
      <c r="E725" t="s">
        <v>74</v>
      </c>
      <c r="F725" t="s">
        <v>14456</v>
      </c>
      <c r="G725" t="s">
        <v>74</v>
      </c>
      <c r="H725" t="s">
        <v>74</v>
      </c>
      <c r="I725" t="s">
        <v>14457</v>
      </c>
      <c r="J725" t="s">
        <v>10548</v>
      </c>
      <c r="K725" t="s">
        <v>74</v>
      </c>
      <c r="L725" t="s">
        <v>74</v>
      </c>
      <c r="M725" t="s">
        <v>78</v>
      </c>
      <c r="N725" t="s">
        <v>79</v>
      </c>
      <c r="O725" t="s">
        <v>74</v>
      </c>
      <c r="P725" t="s">
        <v>74</v>
      </c>
      <c r="Q725" t="s">
        <v>74</v>
      </c>
      <c r="R725" t="s">
        <v>74</v>
      </c>
      <c r="S725" t="s">
        <v>74</v>
      </c>
      <c r="T725" t="s">
        <v>14458</v>
      </c>
      <c r="U725" t="s">
        <v>14459</v>
      </c>
      <c r="V725" t="s">
        <v>14460</v>
      </c>
      <c r="W725" t="s">
        <v>14461</v>
      </c>
      <c r="X725" t="s">
        <v>6406</v>
      </c>
      <c r="Y725" t="s">
        <v>14462</v>
      </c>
      <c r="Z725" t="s">
        <v>14463</v>
      </c>
      <c r="AA725" t="s">
        <v>14464</v>
      </c>
      <c r="AB725" t="s">
        <v>14465</v>
      </c>
      <c r="AC725" t="s">
        <v>74</v>
      </c>
      <c r="AD725" t="s">
        <v>74</v>
      </c>
      <c r="AE725" t="s">
        <v>74</v>
      </c>
      <c r="AF725" t="s">
        <v>74</v>
      </c>
      <c r="AG725">
        <v>37</v>
      </c>
      <c r="AH725">
        <v>0</v>
      </c>
      <c r="AI725">
        <v>0</v>
      </c>
      <c r="AJ725">
        <v>0</v>
      </c>
      <c r="AK725">
        <v>3</v>
      </c>
      <c r="AL725" t="s">
        <v>362</v>
      </c>
      <c r="AM725" t="s">
        <v>363</v>
      </c>
      <c r="AN725" t="s">
        <v>364</v>
      </c>
      <c r="AO725" t="s">
        <v>10560</v>
      </c>
      <c r="AP725" t="s">
        <v>10561</v>
      </c>
      <c r="AQ725" t="s">
        <v>74</v>
      </c>
      <c r="AR725" t="s">
        <v>10562</v>
      </c>
      <c r="AS725" t="s">
        <v>10563</v>
      </c>
      <c r="AT725" t="s">
        <v>98</v>
      </c>
      <c r="AU725">
        <v>2022</v>
      </c>
      <c r="AV725">
        <v>164</v>
      </c>
      <c r="AW725" t="s">
        <v>74</v>
      </c>
      <c r="AX725" t="s">
        <v>74</v>
      </c>
      <c r="AY725" t="s">
        <v>74</v>
      </c>
      <c r="AZ725" t="s">
        <v>74</v>
      </c>
      <c r="BA725" t="s">
        <v>74</v>
      </c>
      <c r="BB725">
        <v>153</v>
      </c>
      <c r="BC725">
        <v>160</v>
      </c>
      <c r="BD725" t="s">
        <v>74</v>
      </c>
      <c r="BE725" t="s">
        <v>14466</v>
      </c>
      <c r="BF725" t="str">
        <f>HYPERLINK("http://dx.doi.org/10.1016/j.patrec.2022.11.011","http://dx.doi.org/10.1016/j.patrec.2022.11.011")</f>
        <v>http://dx.doi.org/10.1016/j.patrec.2022.11.011</v>
      </c>
      <c r="BG725" t="s">
        <v>74</v>
      </c>
      <c r="BH725" t="s">
        <v>14467</v>
      </c>
      <c r="BI725">
        <v>8</v>
      </c>
      <c r="BJ725" t="s">
        <v>807</v>
      </c>
      <c r="BK725" t="s">
        <v>902</v>
      </c>
      <c r="BL725" t="s">
        <v>103</v>
      </c>
      <c r="BM725" t="s">
        <v>14468</v>
      </c>
      <c r="BN725" t="s">
        <v>74</v>
      </c>
      <c r="BO725" t="s">
        <v>74</v>
      </c>
      <c r="BP725" t="s">
        <v>74</v>
      </c>
      <c r="BQ725" t="s">
        <v>74</v>
      </c>
      <c r="BR725" t="s">
        <v>106</v>
      </c>
      <c r="BS725" t="s">
        <v>14469</v>
      </c>
      <c r="BT725" t="str">
        <f>HYPERLINK("https%3A%2F%2Fwww.webofscience.com%2Fwos%2Fwoscc%2Ffull-record%2FWOS:000919537100006","View Full Record in Web of Science")</f>
        <v>View Full Record in Web of Science</v>
      </c>
    </row>
    <row r="726" spans="1:72" x14ac:dyDescent="0.25">
      <c r="A726" t="s">
        <v>108</v>
      </c>
      <c r="B726" t="s">
        <v>14470</v>
      </c>
      <c r="C726" t="s">
        <v>74</v>
      </c>
      <c r="D726" t="s">
        <v>14471</v>
      </c>
      <c r="E726" t="s">
        <v>74</v>
      </c>
      <c r="F726" t="s">
        <v>14472</v>
      </c>
      <c r="G726" t="s">
        <v>74</v>
      </c>
      <c r="H726" t="s">
        <v>74</v>
      </c>
      <c r="I726" t="s">
        <v>14473</v>
      </c>
      <c r="J726" t="s">
        <v>14474</v>
      </c>
      <c r="K726" t="s">
        <v>74</v>
      </c>
      <c r="L726" t="s">
        <v>74</v>
      </c>
      <c r="M726" t="s">
        <v>78</v>
      </c>
      <c r="N726" t="s">
        <v>115</v>
      </c>
      <c r="O726" t="s">
        <v>14475</v>
      </c>
      <c r="P726" t="s">
        <v>14476</v>
      </c>
      <c r="Q726" t="s">
        <v>14477</v>
      </c>
      <c r="R726" t="s">
        <v>74</v>
      </c>
      <c r="S726" t="s">
        <v>14478</v>
      </c>
      <c r="T726" t="s">
        <v>14479</v>
      </c>
      <c r="U726" t="s">
        <v>74</v>
      </c>
      <c r="V726" t="s">
        <v>14480</v>
      </c>
      <c r="W726" t="s">
        <v>14481</v>
      </c>
      <c r="X726" t="s">
        <v>14425</v>
      </c>
      <c r="Y726" t="s">
        <v>14482</v>
      </c>
      <c r="Z726" t="s">
        <v>14483</v>
      </c>
      <c r="AA726" t="s">
        <v>74</v>
      </c>
      <c r="AB726" t="s">
        <v>74</v>
      </c>
      <c r="AC726" t="s">
        <v>74</v>
      </c>
      <c r="AD726" t="s">
        <v>74</v>
      </c>
      <c r="AE726" t="s">
        <v>74</v>
      </c>
      <c r="AF726" t="s">
        <v>74</v>
      </c>
      <c r="AG726">
        <v>5</v>
      </c>
      <c r="AH726">
        <v>0</v>
      </c>
      <c r="AI726">
        <v>0</v>
      </c>
      <c r="AJ726">
        <v>0</v>
      </c>
      <c r="AK726">
        <v>2</v>
      </c>
      <c r="AL726" t="s">
        <v>14484</v>
      </c>
      <c r="AM726" t="s">
        <v>8028</v>
      </c>
      <c r="AN726" t="s">
        <v>14485</v>
      </c>
      <c r="AO726" t="s">
        <v>74</v>
      </c>
      <c r="AP726" t="s">
        <v>74</v>
      </c>
      <c r="AQ726" t="s">
        <v>14486</v>
      </c>
      <c r="AR726" t="s">
        <v>74</v>
      </c>
      <c r="AS726" t="s">
        <v>74</v>
      </c>
      <c r="AT726" t="s">
        <v>74</v>
      </c>
      <c r="AU726">
        <v>2008</v>
      </c>
      <c r="AV726" t="s">
        <v>74</v>
      </c>
      <c r="AW726" t="s">
        <v>74</v>
      </c>
      <c r="AX726" t="s">
        <v>74</v>
      </c>
      <c r="AY726" t="s">
        <v>74</v>
      </c>
      <c r="AZ726" t="s">
        <v>74</v>
      </c>
      <c r="BA726" t="s">
        <v>74</v>
      </c>
      <c r="BB726">
        <v>1530</v>
      </c>
      <c r="BC726">
        <v>1532</v>
      </c>
      <c r="BD726" t="s">
        <v>74</v>
      </c>
      <c r="BE726" t="s">
        <v>74</v>
      </c>
      <c r="BF726" t="s">
        <v>74</v>
      </c>
      <c r="BG726" t="s">
        <v>74</v>
      </c>
      <c r="BH726" t="s">
        <v>74</v>
      </c>
      <c r="BI726">
        <v>3</v>
      </c>
      <c r="BJ726" t="s">
        <v>14487</v>
      </c>
      <c r="BK726" t="s">
        <v>203</v>
      </c>
      <c r="BL726" t="s">
        <v>953</v>
      </c>
      <c r="BM726" t="s">
        <v>14488</v>
      </c>
      <c r="BN726" t="s">
        <v>74</v>
      </c>
      <c r="BO726" t="s">
        <v>74</v>
      </c>
      <c r="BP726" t="s">
        <v>74</v>
      </c>
      <c r="BQ726" t="s">
        <v>74</v>
      </c>
      <c r="BR726" t="s">
        <v>106</v>
      </c>
      <c r="BS726" t="s">
        <v>14489</v>
      </c>
      <c r="BT726" t="str">
        <f>HYPERLINK("https%3A%2F%2Fwww.webofscience.com%2Fwos%2Fwoscc%2Ffull-record%2FWOS:000262289600222","View Full Record in Web of Science")</f>
        <v>View Full Record in Web of Science</v>
      </c>
    </row>
    <row r="727" spans="1:72" x14ac:dyDescent="0.25">
      <c r="A727" t="s">
        <v>72</v>
      </c>
      <c r="B727" t="s">
        <v>14490</v>
      </c>
      <c r="C727" t="s">
        <v>74</v>
      </c>
      <c r="D727" t="s">
        <v>74</v>
      </c>
      <c r="E727" t="s">
        <v>74</v>
      </c>
      <c r="F727" t="s">
        <v>14491</v>
      </c>
      <c r="G727" t="s">
        <v>74</v>
      </c>
      <c r="H727" t="s">
        <v>74</v>
      </c>
      <c r="I727" t="s">
        <v>14492</v>
      </c>
      <c r="J727" t="s">
        <v>882</v>
      </c>
      <c r="K727" t="s">
        <v>74</v>
      </c>
      <c r="L727" t="s">
        <v>74</v>
      </c>
      <c r="M727" t="s">
        <v>78</v>
      </c>
      <c r="N727" t="s">
        <v>79</v>
      </c>
      <c r="O727" t="s">
        <v>74</v>
      </c>
      <c r="P727" t="s">
        <v>74</v>
      </c>
      <c r="Q727" t="s">
        <v>74</v>
      </c>
      <c r="R727" t="s">
        <v>74</v>
      </c>
      <c r="S727" t="s">
        <v>74</v>
      </c>
      <c r="T727" t="s">
        <v>14493</v>
      </c>
      <c r="U727" t="s">
        <v>74</v>
      </c>
      <c r="V727" t="s">
        <v>14494</v>
      </c>
      <c r="W727" t="s">
        <v>14495</v>
      </c>
      <c r="X727" t="s">
        <v>11195</v>
      </c>
      <c r="Y727" t="s">
        <v>14496</v>
      </c>
      <c r="Z727" t="s">
        <v>14497</v>
      </c>
      <c r="AA727" t="s">
        <v>14498</v>
      </c>
      <c r="AB727" t="s">
        <v>14499</v>
      </c>
      <c r="AC727" t="s">
        <v>74</v>
      </c>
      <c r="AD727" t="s">
        <v>74</v>
      </c>
      <c r="AE727" t="s">
        <v>74</v>
      </c>
      <c r="AF727" t="s">
        <v>74</v>
      </c>
      <c r="AG727">
        <v>31</v>
      </c>
      <c r="AH727">
        <v>27</v>
      </c>
      <c r="AI727">
        <v>40</v>
      </c>
      <c r="AJ727">
        <v>0</v>
      </c>
      <c r="AK727">
        <v>19</v>
      </c>
      <c r="AL727" t="s">
        <v>895</v>
      </c>
      <c r="AM727" t="s">
        <v>896</v>
      </c>
      <c r="AN727" t="s">
        <v>897</v>
      </c>
      <c r="AO727" t="s">
        <v>898</v>
      </c>
      <c r="AP727" t="s">
        <v>74</v>
      </c>
      <c r="AQ727" t="s">
        <v>74</v>
      </c>
      <c r="AR727" t="s">
        <v>882</v>
      </c>
      <c r="AS727" t="s">
        <v>899</v>
      </c>
      <c r="AT727" t="s">
        <v>74</v>
      </c>
      <c r="AU727">
        <v>2019</v>
      </c>
      <c r="AV727">
        <v>7</v>
      </c>
      <c r="AW727" t="s">
        <v>74</v>
      </c>
      <c r="AX727" t="s">
        <v>74</v>
      </c>
      <c r="AY727" t="s">
        <v>74</v>
      </c>
      <c r="AZ727" t="s">
        <v>74</v>
      </c>
      <c r="BA727" t="s">
        <v>74</v>
      </c>
      <c r="BB727">
        <v>68678</v>
      </c>
      <c r="BC727">
        <v>68691</v>
      </c>
      <c r="BD727" t="s">
        <v>74</v>
      </c>
      <c r="BE727" t="s">
        <v>14500</v>
      </c>
      <c r="BF727" t="str">
        <f>HYPERLINK("http://dx.doi.org/10.1109/ACCESS.2019.2919494","http://dx.doi.org/10.1109/ACCESS.2019.2919494")</f>
        <v>http://dx.doi.org/10.1109/ACCESS.2019.2919494</v>
      </c>
      <c r="BG727" t="s">
        <v>74</v>
      </c>
      <c r="BH727" t="s">
        <v>74</v>
      </c>
      <c r="BI727">
        <v>14</v>
      </c>
      <c r="BJ727" t="s">
        <v>901</v>
      </c>
      <c r="BK727" t="s">
        <v>902</v>
      </c>
      <c r="BL727" t="s">
        <v>903</v>
      </c>
      <c r="BM727" t="s">
        <v>14501</v>
      </c>
      <c r="BN727" t="s">
        <v>74</v>
      </c>
      <c r="BO727" t="s">
        <v>398</v>
      </c>
      <c r="BP727" t="s">
        <v>74</v>
      </c>
      <c r="BQ727" t="s">
        <v>74</v>
      </c>
      <c r="BR727" t="s">
        <v>106</v>
      </c>
      <c r="BS727" t="s">
        <v>14502</v>
      </c>
      <c r="BT727" t="str">
        <f>HYPERLINK("https%3A%2F%2Fwww.webofscience.com%2Fwos%2Fwoscc%2Ffull-record%2FWOS:000471342800001","View Full Record in Web of Science")</f>
        <v>View Full Record in Web of Science</v>
      </c>
    </row>
    <row r="728" spans="1:72" x14ac:dyDescent="0.25">
      <c r="A728" t="s">
        <v>72</v>
      </c>
      <c r="B728" t="s">
        <v>14503</v>
      </c>
      <c r="C728" t="s">
        <v>74</v>
      </c>
      <c r="D728" t="s">
        <v>74</v>
      </c>
      <c r="E728" t="s">
        <v>74</v>
      </c>
      <c r="F728" t="s">
        <v>14504</v>
      </c>
      <c r="G728" t="s">
        <v>74</v>
      </c>
      <c r="H728" t="s">
        <v>74</v>
      </c>
      <c r="I728" t="s">
        <v>14505</v>
      </c>
      <c r="J728" t="s">
        <v>882</v>
      </c>
      <c r="K728" t="s">
        <v>74</v>
      </c>
      <c r="L728" t="s">
        <v>74</v>
      </c>
      <c r="M728" t="s">
        <v>78</v>
      </c>
      <c r="N728" t="s">
        <v>79</v>
      </c>
      <c r="O728" t="s">
        <v>74</v>
      </c>
      <c r="P728" t="s">
        <v>74</v>
      </c>
      <c r="Q728" t="s">
        <v>74</v>
      </c>
      <c r="R728" t="s">
        <v>74</v>
      </c>
      <c r="S728" t="s">
        <v>74</v>
      </c>
      <c r="T728" t="s">
        <v>14506</v>
      </c>
      <c r="U728" t="s">
        <v>74</v>
      </c>
      <c r="V728" t="s">
        <v>14507</v>
      </c>
      <c r="W728" t="s">
        <v>14508</v>
      </c>
      <c r="X728" t="s">
        <v>14509</v>
      </c>
      <c r="Y728" t="s">
        <v>14510</v>
      </c>
      <c r="Z728" t="s">
        <v>14511</v>
      </c>
      <c r="AA728" t="s">
        <v>14512</v>
      </c>
      <c r="AB728" t="s">
        <v>14513</v>
      </c>
      <c r="AC728" t="s">
        <v>14514</v>
      </c>
      <c r="AD728" t="s">
        <v>14515</v>
      </c>
      <c r="AE728" t="s">
        <v>14516</v>
      </c>
      <c r="AF728" t="s">
        <v>74</v>
      </c>
      <c r="AG728">
        <v>73</v>
      </c>
      <c r="AH728">
        <v>6</v>
      </c>
      <c r="AI728">
        <v>8</v>
      </c>
      <c r="AJ728">
        <v>0</v>
      </c>
      <c r="AK728">
        <v>9</v>
      </c>
      <c r="AL728" t="s">
        <v>895</v>
      </c>
      <c r="AM728" t="s">
        <v>896</v>
      </c>
      <c r="AN728" t="s">
        <v>897</v>
      </c>
      <c r="AO728" t="s">
        <v>898</v>
      </c>
      <c r="AP728" t="s">
        <v>74</v>
      </c>
      <c r="AQ728" t="s">
        <v>74</v>
      </c>
      <c r="AR728" t="s">
        <v>882</v>
      </c>
      <c r="AS728" t="s">
        <v>899</v>
      </c>
      <c r="AT728" t="s">
        <v>74</v>
      </c>
      <c r="AU728">
        <v>2020</v>
      </c>
      <c r="AV728">
        <v>8</v>
      </c>
      <c r="AW728" t="s">
        <v>74</v>
      </c>
      <c r="AX728" t="s">
        <v>74</v>
      </c>
      <c r="AY728" t="s">
        <v>74</v>
      </c>
      <c r="AZ728" t="s">
        <v>74</v>
      </c>
      <c r="BA728" t="s">
        <v>74</v>
      </c>
      <c r="BB728">
        <v>143818</v>
      </c>
      <c r="BC728">
        <v>143836</v>
      </c>
      <c r="BD728" t="s">
        <v>74</v>
      </c>
      <c r="BE728" t="s">
        <v>14517</v>
      </c>
      <c r="BF728" t="str">
        <f>HYPERLINK("http://dx.doi.org/10.1109/ACCESS.2020.3014424","http://dx.doi.org/10.1109/ACCESS.2020.3014424")</f>
        <v>http://dx.doi.org/10.1109/ACCESS.2020.3014424</v>
      </c>
      <c r="BG728" t="s">
        <v>74</v>
      </c>
      <c r="BH728" t="s">
        <v>74</v>
      </c>
      <c r="BI728">
        <v>19</v>
      </c>
      <c r="BJ728" t="s">
        <v>901</v>
      </c>
      <c r="BK728" t="s">
        <v>902</v>
      </c>
      <c r="BL728" t="s">
        <v>903</v>
      </c>
      <c r="BM728" t="s">
        <v>14518</v>
      </c>
      <c r="BN728" t="s">
        <v>74</v>
      </c>
      <c r="BO728" t="s">
        <v>398</v>
      </c>
      <c r="BP728" t="s">
        <v>74</v>
      </c>
      <c r="BQ728" t="s">
        <v>74</v>
      </c>
      <c r="BR728" t="s">
        <v>106</v>
      </c>
      <c r="BS728" t="s">
        <v>14519</v>
      </c>
      <c r="BT728" t="str">
        <f>HYPERLINK("https%3A%2F%2Fwww.webofscience.com%2Fwos%2Fwoscc%2Ffull-record%2FWOS:000560329000001","View Full Record in Web of Science")</f>
        <v>View Full Record in Web of Science</v>
      </c>
    </row>
    <row r="729" spans="1:72" x14ac:dyDescent="0.25">
      <c r="A729" t="s">
        <v>72</v>
      </c>
      <c r="B729" t="s">
        <v>14520</v>
      </c>
      <c r="C729" t="s">
        <v>74</v>
      </c>
      <c r="D729" t="s">
        <v>74</v>
      </c>
      <c r="E729" t="s">
        <v>74</v>
      </c>
      <c r="F729" t="s">
        <v>14521</v>
      </c>
      <c r="G729" t="s">
        <v>74</v>
      </c>
      <c r="H729" t="s">
        <v>74</v>
      </c>
      <c r="I729" t="s">
        <v>14522</v>
      </c>
      <c r="J729" t="s">
        <v>14523</v>
      </c>
      <c r="K729" t="s">
        <v>74</v>
      </c>
      <c r="L729" t="s">
        <v>74</v>
      </c>
      <c r="M729" t="s">
        <v>12912</v>
      </c>
      <c r="N729" t="s">
        <v>79</v>
      </c>
      <c r="O729" t="s">
        <v>74</v>
      </c>
      <c r="P729" t="s">
        <v>74</v>
      </c>
      <c r="Q729" t="s">
        <v>74</v>
      </c>
      <c r="R729" t="s">
        <v>74</v>
      </c>
      <c r="S729" t="s">
        <v>74</v>
      </c>
      <c r="T729" t="s">
        <v>14524</v>
      </c>
      <c r="U729" t="s">
        <v>1444</v>
      </c>
      <c r="V729" t="s">
        <v>14525</v>
      </c>
      <c r="W729" t="s">
        <v>14526</v>
      </c>
      <c r="X729" t="s">
        <v>14527</v>
      </c>
      <c r="Y729" t="s">
        <v>14528</v>
      </c>
      <c r="Z729" t="s">
        <v>14529</v>
      </c>
      <c r="AA729" t="s">
        <v>74</v>
      </c>
      <c r="AB729" t="s">
        <v>14530</v>
      </c>
      <c r="AC729" t="s">
        <v>74</v>
      </c>
      <c r="AD729" t="s">
        <v>74</v>
      </c>
      <c r="AE729" t="s">
        <v>74</v>
      </c>
      <c r="AF729" t="s">
        <v>74</v>
      </c>
      <c r="AG729">
        <v>34</v>
      </c>
      <c r="AH729">
        <v>0</v>
      </c>
      <c r="AI729">
        <v>0</v>
      </c>
      <c r="AJ729">
        <v>0</v>
      </c>
      <c r="AK729">
        <v>1</v>
      </c>
      <c r="AL729" t="s">
        <v>14531</v>
      </c>
      <c r="AM729" t="s">
        <v>14532</v>
      </c>
      <c r="AN729" t="s">
        <v>14533</v>
      </c>
      <c r="AO729" t="s">
        <v>14534</v>
      </c>
      <c r="AP729" t="s">
        <v>14535</v>
      </c>
      <c r="AQ729" t="s">
        <v>74</v>
      </c>
      <c r="AR729" t="s">
        <v>14536</v>
      </c>
      <c r="AS729" t="s">
        <v>14537</v>
      </c>
      <c r="AT729" t="s">
        <v>3016</v>
      </c>
      <c r="AU729">
        <v>2026</v>
      </c>
      <c r="AV729">
        <v>39</v>
      </c>
      <c r="AW729">
        <v>1</v>
      </c>
      <c r="AX729" t="s">
        <v>74</v>
      </c>
      <c r="AY729" t="s">
        <v>74</v>
      </c>
      <c r="AZ729" t="s">
        <v>74</v>
      </c>
      <c r="BA729" t="s">
        <v>74</v>
      </c>
      <c r="BB729">
        <v>130</v>
      </c>
      <c r="BC729">
        <v>148</v>
      </c>
      <c r="BD729" t="s">
        <v>74</v>
      </c>
      <c r="BE729" t="s">
        <v>14538</v>
      </c>
      <c r="BF729" t="str">
        <f>HYPERLINK("http://dx.doi.org/10.18845/tm.v39i1.7859","http://dx.doi.org/10.18845/tm.v39i1.7859")</f>
        <v>http://dx.doi.org/10.18845/tm.v39i1.7859</v>
      </c>
      <c r="BG729" t="s">
        <v>74</v>
      </c>
      <c r="BH729" t="s">
        <v>74</v>
      </c>
      <c r="BI729">
        <v>19</v>
      </c>
      <c r="BJ729" t="s">
        <v>5861</v>
      </c>
      <c r="BK729" t="s">
        <v>102</v>
      </c>
      <c r="BL729" t="s">
        <v>5862</v>
      </c>
      <c r="BM729" t="s">
        <v>14539</v>
      </c>
      <c r="BN729" t="s">
        <v>74</v>
      </c>
      <c r="BO729" t="s">
        <v>398</v>
      </c>
      <c r="BP729" t="s">
        <v>74</v>
      </c>
      <c r="BQ729" t="s">
        <v>74</v>
      </c>
      <c r="BR729" t="s">
        <v>106</v>
      </c>
      <c r="BS729" t="s">
        <v>14540</v>
      </c>
      <c r="BT729" t="str">
        <f>HYPERLINK("https%3A%2F%2Fwww.webofscience.com%2Fwos%2Fwoscc%2Ffull-record%2FWOS:001654429000010","View Full Record in Web of Science")</f>
        <v>View Full Record in Web of Science</v>
      </c>
    </row>
    <row r="730" spans="1:72" x14ac:dyDescent="0.25">
      <c r="A730" t="s">
        <v>72</v>
      </c>
      <c r="B730" t="s">
        <v>14541</v>
      </c>
      <c r="C730" t="s">
        <v>74</v>
      </c>
      <c r="D730" t="s">
        <v>74</v>
      </c>
      <c r="E730" t="s">
        <v>74</v>
      </c>
      <c r="F730" t="s">
        <v>14541</v>
      </c>
      <c r="G730" t="s">
        <v>74</v>
      </c>
      <c r="H730" t="s">
        <v>74</v>
      </c>
      <c r="I730" t="s">
        <v>14542</v>
      </c>
      <c r="J730" t="s">
        <v>302</v>
      </c>
      <c r="K730" t="s">
        <v>74</v>
      </c>
      <c r="L730" t="s">
        <v>74</v>
      </c>
      <c r="M730" t="s">
        <v>78</v>
      </c>
      <c r="N730" t="s">
        <v>79</v>
      </c>
      <c r="O730" t="s">
        <v>74</v>
      </c>
      <c r="P730" t="s">
        <v>74</v>
      </c>
      <c r="Q730" t="s">
        <v>74</v>
      </c>
      <c r="R730" t="s">
        <v>74</v>
      </c>
      <c r="S730" t="s">
        <v>74</v>
      </c>
      <c r="T730" t="s">
        <v>74</v>
      </c>
      <c r="U730" t="s">
        <v>74</v>
      </c>
      <c r="V730" t="s">
        <v>74</v>
      </c>
      <c r="W730" t="s">
        <v>74</v>
      </c>
      <c r="X730" t="s">
        <v>74</v>
      </c>
      <c r="Y730" t="s">
        <v>14543</v>
      </c>
      <c r="Z730" t="s">
        <v>74</v>
      </c>
      <c r="AA730" t="s">
        <v>74</v>
      </c>
      <c r="AB730" t="s">
        <v>74</v>
      </c>
      <c r="AC730" t="s">
        <v>74</v>
      </c>
      <c r="AD730" t="s">
        <v>74</v>
      </c>
      <c r="AE730" t="s">
        <v>74</v>
      </c>
      <c r="AF730" t="s">
        <v>74</v>
      </c>
      <c r="AG730">
        <v>29</v>
      </c>
      <c r="AH730">
        <v>29</v>
      </c>
      <c r="AI730">
        <v>35</v>
      </c>
      <c r="AJ730">
        <v>0</v>
      </c>
      <c r="AK730">
        <v>3</v>
      </c>
      <c r="AL730" t="s">
        <v>14544</v>
      </c>
      <c r="AM730" t="s">
        <v>240</v>
      </c>
      <c r="AN730" t="s">
        <v>14545</v>
      </c>
      <c r="AO730" t="s">
        <v>313</v>
      </c>
      <c r="AP730" t="s">
        <v>74</v>
      </c>
      <c r="AQ730" t="s">
        <v>74</v>
      </c>
      <c r="AR730" t="s">
        <v>315</v>
      </c>
      <c r="AS730" t="s">
        <v>316</v>
      </c>
      <c r="AT730" t="s">
        <v>14546</v>
      </c>
      <c r="AU730">
        <v>1986</v>
      </c>
      <c r="AV730">
        <v>79</v>
      </c>
      <c r="AW730">
        <v>4</v>
      </c>
      <c r="AX730" t="s">
        <v>74</v>
      </c>
      <c r="AY730" t="s">
        <v>74</v>
      </c>
      <c r="AZ730" t="s">
        <v>74</v>
      </c>
      <c r="BA730" t="s">
        <v>74</v>
      </c>
      <c r="BB730">
        <v>245</v>
      </c>
      <c r="BC730">
        <v>252</v>
      </c>
      <c r="BD730" t="s">
        <v>74</v>
      </c>
      <c r="BE730" t="s">
        <v>14547</v>
      </c>
      <c r="BF730" t="str">
        <f>HYPERLINK("http://dx.doi.org/10.1080/00220671.1986.10885685","http://dx.doi.org/10.1080/00220671.1986.10885685")</f>
        <v>http://dx.doi.org/10.1080/00220671.1986.10885685</v>
      </c>
      <c r="BG730" t="s">
        <v>74</v>
      </c>
      <c r="BH730" t="s">
        <v>74</v>
      </c>
      <c r="BI730">
        <v>8</v>
      </c>
      <c r="BJ730" t="s">
        <v>318</v>
      </c>
      <c r="BK730" t="s">
        <v>250</v>
      </c>
      <c r="BL730" t="s">
        <v>318</v>
      </c>
      <c r="BM730" t="s">
        <v>14548</v>
      </c>
      <c r="BN730" t="s">
        <v>74</v>
      </c>
      <c r="BO730" t="s">
        <v>74</v>
      </c>
      <c r="BP730" t="s">
        <v>74</v>
      </c>
      <c r="BQ730" t="s">
        <v>74</v>
      </c>
      <c r="BR730" t="s">
        <v>106</v>
      </c>
      <c r="BS730" t="s">
        <v>14549</v>
      </c>
      <c r="BT730" t="str">
        <f>HYPERLINK("https%3A%2F%2Fwww.webofscience.com%2Fwos%2Fwoscc%2Ffull-record%2FWOS:A1986A388700009","View Full Record in Web of Science")</f>
        <v>View Full Record in Web of Science</v>
      </c>
    </row>
    <row r="731" spans="1:72" x14ac:dyDescent="0.25">
      <c r="A731" t="s">
        <v>72</v>
      </c>
      <c r="B731" t="s">
        <v>14550</v>
      </c>
      <c r="C731" t="s">
        <v>74</v>
      </c>
      <c r="D731" t="s">
        <v>74</v>
      </c>
      <c r="E731" t="s">
        <v>74</v>
      </c>
      <c r="F731" t="s">
        <v>14551</v>
      </c>
      <c r="G731" t="s">
        <v>74</v>
      </c>
      <c r="H731" t="s">
        <v>74</v>
      </c>
      <c r="I731" t="s">
        <v>14552</v>
      </c>
      <c r="J731" t="s">
        <v>13740</v>
      </c>
      <c r="K731" t="s">
        <v>74</v>
      </c>
      <c r="L731" t="s">
        <v>74</v>
      </c>
      <c r="M731" t="s">
        <v>78</v>
      </c>
      <c r="N731" t="s">
        <v>79</v>
      </c>
      <c r="O731" t="s">
        <v>74</v>
      </c>
      <c r="P731" t="s">
        <v>74</v>
      </c>
      <c r="Q731" t="s">
        <v>74</v>
      </c>
      <c r="R731" t="s">
        <v>74</v>
      </c>
      <c r="S731" t="s">
        <v>74</v>
      </c>
      <c r="T731" t="s">
        <v>74</v>
      </c>
      <c r="U731" t="s">
        <v>14553</v>
      </c>
      <c r="V731" t="s">
        <v>14554</v>
      </c>
      <c r="W731" t="s">
        <v>14555</v>
      </c>
      <c r="X731" t="s">
        <v>14556</v>
      </c>
      <c r="Y731" t="s">
        <v>14557</v>
      </c>
      <c r="Z731" t="s">
        <v>14558</v>
      </c>
      <c r="AA731" t="s">
        <v>14559</v>
      </c>
      <c r="AB731" t="s">
        <v>14560</v>
      </c>
      <c r="AC731" t="s">
        <v>14561</v>
      </c>
      <c r="AD731" t="s">
        <v>14562</v>
      </c>
      <c r="AE731" t="s">
        <v>14563</v>
      </c>
      <c r="AF731" t="s">
        <v>74</v>
      </c>
      <c r="AG731">
        <v>26</v>
      </c>
      <c r="AH731">
        <v>19</v>
      </c>
      <c r="AI731">
        <v>27</v>
      </c>
      <c r="AJ731">
        <v>0</v>
      </c>
      <c r="AK731">
        <v>24</v>
      </c>
      <c r="AL731" t="s">
        <v>13749</v>
      </c>
      <c r="AM731" t="s">
        <v>13750</v>
      </c>
      <c r="AN731" t="s">
        <v>13751</v>
      </c>
      <c r="AO731" t="s">
        <v>13752</v>
      </c>
      <c r="AP731" t="s">
        <v>74</v>
      </c>
      <c r="AQ731" t="s">
        <v>74</v>
      </c>
      <c r="AR731" t="s">
        <v>13753</v>
      </c>
      <c r="AS731" t="s">
        <v>13754</v>
      </c>
      <c r="AT731" t="s">
        <v>509</v>
      </c>
      <c r="AU731">
        <v>2011</v>
      </c>
      <c r="AV731">
        <v>10</v>
      </c>
      <c r="AW731">
        <v>3</v>
      </c>
      <c r="AX731" t="s">
        <v>74</v>
      </c>
      <c r="AY731" t="s">
        <v>74</v>
      </c>
      <c r="AZ731" t="s">
        <v>74</v>
      </c>
      <c r="BA731" t="s">
        <v>74</v>
      </c>
      <c r="BB731">
        <v>298</v>
      </c>
      <c r="BC731">
        <v>308</v>
      </c>
      <c r="BD731" t="s">
        <v>74</v>
      </c>
      <c r="BE731" t="s">
        <v>14564</v>
      </c>
      <c r="BF731" t="str">
        <f>HYPERLINK("http://dx.doi.org/10.1187/cbe.11-03-0031","http://dx.doi.org/10.1187/cbe.11-03-0031")</f>
        <v>http://dx.doi.org/10.1187/cbe.11-03-0031</v>
      </c>
      <c r="BG731" t="s">
        <v>74</v>
      </c>
      <c r="BH731" t="s">
        <v>74</v>
      </c>
      <c r="BI731">
        <v>11</v>
      </c>
      <c r="BJ731" t="s">
        <v>2397</v>
      </c>
      <c r="BK731" t="s">
        <v>745</v>
      </c>
      <c r="BL731" t="s">
        <v>318</v>
      </c>
      <c r="BM731" t="s">
        <v>14565</v>
      </c>
      <c r="BN731">
        <v>21885826</v>
      </c>
      <c r="BO731" t="s">
        <v>1331</v>
      </c>
      <c r="BP731" t="s">
        <v>74</v>
      </c>
      <c r="BQ731" t="s">
        <v>74</v>
      </c>
      <c r="BR731" t="s">
        <v>106</v>
      </c>
      <c r="BS731" t="s">
        <v>14566</v>
      </c>
      <c r="BT731" t="str">
        <f>HYPERLINK("https%3A%2F%2Fwww.webofscience.com%2Fwos%2Fwoscc%2Ffull-record%2FWOS:000294480000008","View Full Record in Web of Science")</f>
        <v>View Full Record in Web of Science</v>
      </c>
    </row>
    <row r="732" spans="1:72" x14ac:dyDescent="0.25">
      <c r="A732" t="s">
        <v>108</v>
      </c>
      <c r="B732" t="s">
        <v>14567</v>
      </c>
      <c r="C732" t="s">
        <v>74</v>
      </c>
      <c r="D732" t="s">
        <v>14568</v>
      </c>
      <c r="E732" t="s">
        <v>74</v>
      </c>
      <c r="F732" t="s">
        <v>14569</v>
      </c>
      <c r="G732" t="s">
        <v>74</v>
      </c>
      <c r="H732" t="s">
        <v>74</v>
      </c>
      <c r="I732" t="s">
        <v>14570</v>
      </c>
      <c r="J732" t="s">
        <v>14571</v>
      </c>
      <c r="K732" t="s">
        <v>14572</v>
      </c>
      <c r="L732" t="s">
        <v>74</v>
      </c>
      <c r="M732" t="s">
        <v>78</v>
      </c>
      <c r="N732" t="s">
        <v>115</v>
      </c>
      <c r="O732" t="s">
        <v>14573</v>
      </c>
      <c r="P732" t="s">
        <v>14574</v>
      </c>
      <c r="Q732" t="s">
        <v>14575</v>
      </c>
      <c r="R732" t="s">
        <v>14576</v>
      </c>
      <c r="S732" t="s">
        <v>14577</v>
      </c>
      <c r="T732" t="s">
        <v>14578</v>
      </c>
      <c r="U732" t="s">
        <v>74</v>
      </c>
      <c r="V732" t="s">
        <v>14579</v>
      </c>
      <c r="W732" t="s">
        <v>14580</v>
      </c>
      <c r="X732" t="s">
        <v>14581</v>
      </c>
      <c r="Y732" t="s">
        <v>14582</v>
      </c>
      <c r="Z732" t="s">
        <v>14583</v>
      </c>
      <c r="AA732" t="s">
        <v>14584</v>
      </c>
      <c r="AB732" t="s">
        <v>74</v>
      </c>
      <c r="AC732" t="s">
        <v>74</v>
      </c>
      <c r="AD732" t="s">
        <v>74</v>
      </c>
      <c r="AE732" t="s">
        <v>74</v>
      </c>
      <c r="AF732" t="s">
        <v>74</v>
      </c>
      <c r="AG732">
        <v>23</v>
      </c>
      <c r="AH732">
        <v>1</v>
      </c>
      <c r="AI732">
        <v>1</v>
      </c>
      <c r="AJ732">
        <v>0</v>
      </c>
      <c r="AK732">
        <v>2</v>
      </c>
      <c r="AL732" t="s">
        <v>14585</v>
      </c>
      <c r="AM732" t="s">
        <v>14586</v>
      </c>
      <c r="AN732" t="s">
        <v>14587</v>
      </c>
      <c r="AO732" t="s">
        <v>14588</v>
      </c>
      <c r="AP732" t="s">
        <v>74</v>
      </c>
      <c r="AQ732" t="s">
        <v>14589</v>
      </c>
      <c r="AR732" t="s">
        <v>14590</v>
      </c>
      <c r="AS732" t="s">
        <v>74</v>
      </c>
      <c r="AT732" t="s">
        <v>74</v>
      </c>
      <c r="AU732">
        <v>2008</v>
      </c>
      <c r="AV732" t="s">
        <v>74</v>
      </c>
      <c r="AW732" t="s">
        <v>74</v>
      </c>
      <c r="AX732" t="s">
        <v>74</v>
      </c>
      <c r="AY732" t="s">
        <v>74</v>
      </c>
      <c r="AZ732" t="s">
        <v>74</v>
      </c>
      <c r="BA732" t="s">
        <v>74</v>
      </c>
      <c r="BB732">
        <v>293</v>
      </c>
      <c r="BC732">
        <v>298</v>
      </c>
      <c r="BD732" t="s">
        <v>74</v>
      </c>
      <c r="BE732" t="s">
        <v>74</v>
      </c>
      <c r="BF732" t="s">
        <v>74</v>
      </c>
      <c r="BG732" t="s">
        <v>74</v>
      </c>
      <c r="BH732" t="s">
        <v>74</v>
      </c>
      <c r="BI732">
        <v>6</v>
      </c>
      <c r="BJ732" t="s">
        <v>14591</v>
      </c>
      <c r="BK732" t="s">
        <v>203</v>
      </c>
      <c r="BL732" t="s">
        <v>14592</v>
      </c>
      <c r="BM732" t="s">
        <v>14593</v>
      </c>
      <c r="BN732" t="s">
        <v>74</v>
      </c>
      <c r="BO732" t="s">
        <v>74</v>
      </c>
      <c r="BP732" t="s">
        <v>74</v>
      </c>
      <c r="BQ732" t="s">
        <v>74</v>
      </c>
      <c r="BR732" t="s">
        <v>106</v>
      </c>
      <c r="BS732" t="s">
        <v>14594</v>
      </c>
      <c r="BT732" t="str">
        <f>HYPERLINK("https%3A%2F%2Fwww.webofscience.com%2Fwos%2Fwoscc%2Ffull-record%2FWOS:000259580600054","View Full Record in Web of Science")</f>
        <v>View Full Record in Web of Science</v>
      </c>
    </row>
    <row r="733" spans="1:72" x14ac:dyDescent="0.25">
      <c r="A733" t="s">
        <v>108</v>
      </c>
      <c r="B733" t="s">
        <v>14595</v>
      </c>
      <c r="C733" t="s">
        <v>74</v>
      </c>
      <c r="D733" t="s">
        <v>74</v>
      </c>
      <c r="E733" t="s">
        <v>273</v>
      </c>
      <c r="F733" t="s">
        <v>14596</v>
      </c>
      <c r="G733" t="s">
        <v>74</v>
      </c>
      <c r="H733" t="s">
        <v>74</v>
      </c>
      <c r="I733" t="s">
        <v>14597</v>
      </c>
      <c r="J733" t="s">
        <v>14598</v>
      </c>
      <c r="K733" t="s">
        <v>74</v>
      </c>
      <c r="L733" t="s">
        <v>74</v>
      </c>
      <c r="M733" t="s">
        <v>78</v>
      </c>
      <c r="N733" t="s">
        <v>115</v>
      </c>
      <c r="O733" t="s">
        <v>14599</v>
      </c>
      <c r="P733" t="s">
        <v>14600</v>
      </c>
      <c r="Q733" t="s">
        <v>11756</v>
      </c>
      <c r="R733" t="s">
        <v>14601</v>
      </c>
      <c r="S733" t="s">
        <v>74</v>
      </c>
      <c r="T733" t="s">
        <v>14602</v>
      </c>
      <c r="U733" t="s">
        <v>74</v>
      </c>
      <c r="V733" t="s">
        <v>14603</v>
      </c>
      <c r="W733" t="s">
        <v>14604</v>
      </c>
      <c r="X733" t="s">
        <v>14605</v>
      </c>
      <c r="Y733" t="s">
        <v>14606</v>
      </c>
      <c r="Z733" t="s">
        <v>14607</v>
      </c>
      <c r="AA733" t="s">
        <v>14608</v>
      </c>
      <c r="AB733" t="s">
        <v>14609</v>
      </c>
      <c r="AC733" t="s">
        <v>14610</v>
      </c>
      <c r="AD733" t="s">
        <v>14611</v>
      </c>
      <c r="AE733" t="s">
        <v>14612</v>
      </c>
      <c r="AF733" t="s">
        <v>74</v>
      </c>
      <c r="AG733">
        <v>32</v>
      </c>
      <c r="AH733">
        <v>45</v>
      </c>
      <c r="AI733">
        <v>57</v>
      </c>
      <c r="AJ733">
        <v>0</v>
      </c>
      <c r="AK733">
        <v>101</v>
      </c>
      <c r="AL733" t="s">
        <v>291</v>
      </c>
      <c r="AM733" t="s">
        <v>92</v>
      </c>
      <c r="AN733" t="s">
        <v>341</v>
      </c>
      <c r="AO733" t="s">
        <v>74</v>
      </c>
      <c r="AP733" t="s">
        <v>74</v>
      </c>
      <c r="AQ733" t="s">
        <v>14613</v>
      </c>
      <c r="AR733" t="s">
        <v>74</v>
      </c>
      <c r="AS733" t="s">
        <v>74</v>
      </c>
      <c r="AT733" t="s">
        <v>74</v>
      </c>
      <c r="AU733">
        <v>2020</v>
      </c>
      <c r="AV733" t="s">
        <v>74</v>
      </c>
      <c r="AW733" t="s">
        <v>74</v>
      </c>
      <c r="AX733" t="s">
        <v>74</v>
      </c>
      <c r="AY733" t="s">
        <v>74</v>
      </c>
      <c r="AZ733" t="s">
        <v>74</v>
      </c>
      <c r="BA733" t="s">
        <v>74</v>
      </c>
      <c r="BB733">
        <v>2878</v>
      </c>
      <c r="BC733">
        <v>2884</v>
      </c>
      <c r="BD733" t="s">
        <v>74</v>
      </c>
      <c r="BE733" t="s">
        <v>14614</v>
      </c>
      <c r="BF733" t="str">
        <f>HYPERLINK("http://dx.doi.org/10.1145/3366423.3380052","http://dx.doi.org/10.1145/3366423.3380052")</f>
        <v>http://dx.doi.org/10.1145/3366423.3380052</v>
      </c>
      <c r="BG733" t="s">
        <v>74</v>
      </c>
      <c r="BH733" t="s">
        <v>74</v>
      </c>
      <c r="BI733">
        <v>7</v>
      </c>
      <c r="BJ733" t="s">
        <v>2674</v>
      </c>
      <c r="BK733" t="s">
        <v>203</v>
      </c>
      <c r="BL733" t="s">
        <v>2422</v>
      </c>
      <c r="BM733" t="s">
        <v>14615</v>
      </c>
      <c r="BN733" t="s">
        <v>74</v>
      </c>
      <c r="BO733" t="s">
        <v>372</v>
      </c>
      <c r="BP733" t="s">
        <v>74</v>
      </c>
      <c r="BQ733" t="s">
        <v>74</v>
      </c>
      <c r="BR733" t="s">
        <v>106</v>
      </c>
      <c r="BS733" t="s">
        <v>14616</v>
      </c>
      <c r="BT733" t="str">
        <f>HYPERLINK("https%3A%2F%2Fwww.webofscience.com%2Fwos%2Fwoscc%2Ffull-record%2FWOS:000626273302109","View Full Record in Web of Science")</f>
        <v>View Full Record in Web of Science</v>
      </c>
    </row>
    <row r="734" spans="1:72" x14ac:dyDescent="0.25">
      <c r="A734" t="s">
        <v>108</v>
      </c>
      <c r="B734" t="s">
        <v>14617</v>
      </c>
      <c r="C734" t="s">
        <v>74</v>
      </c>
      <c r="D734" t="s">
        <v>14618</v>
      </c>
      <c r="E734" t="s">
        <v>74</v>
      </c>
      <c r="F734" t="s">
        <v>14619</v>
      </c>
      <c r="G734" t="s">
        <v>74</v>
      </c>
      <c r="H734" t="s">
        <v>74</v>
      </c>
      <c r="I734" t="s">
        <v>14620</v>
      </c>
      <c r="J734" t="s">
        <v>14621</v>
      </c>
      <c r="K734" t="s">
        <v>74</v>
      </c>
      <c r="L734" t="s">
        <v>74</v>
      </c>
      <c r="M734" t="s">
        <v>78</v>
      </c>
      <c r="N734" t="s">
        <v>115</v>
      </c>
      <c r="O734" t="s">
        <v>14622</v>
      </c>
      <c r="P734" t="s">
        <v>14623</v>
      </c>
      <c r="Q734" t="s">
        <v>14624</v>
      </c>
      <c r="R734" t="s">
        <v>74</v>
      </c>
      <c r="S734" t="s">
        <v>74</v>
      </c>
      <c r="T734" t="s">
        <v>14625</v>
      </c>
      <c r="U734" t="s">
        <v>74</v>
      </c>
      <c r="V734" t="s">
        <v>14626</v>
      </c>
      <c r="W734" t="s">
        <v>14627</v>
      </c>
      <c r="X734" t="s">
        <v>14628</v>
      </c>
      <c r="Y734" t="s">
        <v>14629</v>
      </c>
      <c r="Z734" t="s">
        <v>14630</v>
      </c>
      <c r="AA734" t="s">
        <v>14631</v>
      </c>
      <c r="AB734" t="s">
        <v>74</v>
      </c>
      <c r="AC734" t="s">
        <v>74</v>
      </c>
      <c r="AD734" t="s">
        <v>74</v>
      </c>
      <c r="AE734" t="s">
        <v>74</v>
      </c>
      <c r="AF734" t="s">
        <v>74</v>
      </c>
      <c r="AG734">
        <v>6</v>
      </c>
      <c r="AH734">
        <v>0</v>
      </c>
      <c r="AI734">
        <v>0</v>
      </c>
      <c r="AJ734">
        <v>0</v>
      </c>
      <c r="AK734">
        <v>2</v>
      </c>
      <c r="AL734" t="s">
        <v>14632</v>
      </c>
      <c r="AM734" t="s">
        <v>14633</v>
      </c>
      <c r="AN734" t="s">
        <v>14634</v>
      </c>
      <c r="AO734" t="s">
        <v>74</v>
      </c>
      <c r="AP734" t="s">
        <v>74</v>
      </c>
      <c r="AQ734" t="s">
        <v>14635</v>
      </c>
      <c r="AR734" t="s">
        <v>74</v>
      </c>
      <c r="AS734" t="s">
        <v>74</v>
      </c>
      <c r="AT734" t="s">
        <v>74</v>
      </c>
      <c r="AU734">
        <v>2018</v>
      </c>
      <c r="AV734" t="s">
        <v>74</v>
      </c>
      <c r="AW734" t="s">
        <v>74</v>
      </c>
      <c r="AX734" t="s">
        <v>74</v>
      </c>
      <c r="AY734" t="s">
        <v>74</v>
      </c>
      <c r="AZ734" t="s">
        <v>74</v>
      </c>
      <c r="BA734" t="s">
        <v>74</v>
      </c>
      <c r="BB734">
        <v>591</v>
      </c>
      <c r="BC734">
        <v>596</v>
      </c>
      <c r="BD734" t="s">
        <v>74</v>
      </c>
      <c r="BE734" t="s">
        <v>74</v>
      </c>
      <c r="BF734" t="s">
        <v>74</v>
      </c>
      <c r="BG734" t="s">
        <v>74</v>
      </c>
      <c r="BH734" t="s">
        <v>74</v>
      </c>
      <c r="BI734">
        <v>6</v>
      </c>
      <c r="BJ734" t="s">
        <v>318</v>
      </c>
      <c r="BK734" t="s">
        <v>1042</v>
      </c>
      <c r="BL734" t="s">
        <v>318</v>
      </c>
      <c r="BM734" t="s">
        <v>14636</v>
      </c>
      <c r="BN734" t="s">
        <v>74</v>
      </c>
      <c r="BO734" t="s">
        <v>74</v>
      </c>
      <c r="BP734" t="s">
        <v>74</v>
      </c>
      <c r="BQ734" t="s">
        <v>74</v>
      </c>
      <c r="BR734" t="s">
        <v>106</v>
      </c>
      <c r="BS734" t="s">
        <v>14637</v>
      </c>
      <c r="BT734" t="str">
        <f>HYPERLINK("https%3A%2F%2Fwww.webofscience.com%2Fwos%2Fwoscc%2Ffull-record%2FWOS:000455654000080","View Full Record in Web of Science")</f>
        <v>View Full Record in Web of Science</v>
      </c>
    </row>
    <row r="735" spans="1:72" x14ac:dyDescent="0.25">
      <c r="A735" t="s">
        <v>72</v>
      </c>
      <c r="B735" t="s">
        <v>14638</v>
      </c>
      <c r="C735" t="s">
        <v>74</v>
      </c>
      <c r="D735" t="s">
        <v>74</v>
      </c>
      <c r="E735" t="s">
        <v>74</v>
      </c>
      <c r="F735" t="s">
        <v>14639</v>
      </c>
      <c r="G735" t="s">
        <v>74</v>
      </c>
      <c r="H735" t="s">
        <v>74</v>
      </c>
      <c r="I735" t="s">
        <v>14640</v>
      </c>
      <c r="J735" t="s">
        <v>1442</v>
      </c>
      <c r="K735" t="s">
        <v>74</v>
      </c>
      <c r="L735" t="s">
        <v>74</v>
      </c>
      <c r="M735" t="s">
        <v>78</v>
      </c>
      <c r="N735" t="s">
        <v>79</v>
      </c>
      <c r="O735" t="s">
        <v>74</v>
      </c>
      <c r="P735" t="s">
        <v>74</v>
      </c>
      <c r="Q735" t="s">
        <v>74</v>
      </c>
      <c r="R735" t="s">
        <v>74</v>
      </c>
      <c r="S735" t="s">
        <v>74</v>
      </c>
      <c r="T735" t="s">
        <v>14641</v>
      </c>
      <c r="U735" t="s">
        <v>74</v>
      </c>
      <c r="V735" t="s">
        <v>14642</v>
      </c>
      <c r="W735" t="s">
        <v>14643</v>
      </c>
      <c r="X735" t="s">
        <v>14644</v>
      </c>
      <c r="Y735" t="s">
        <v>14645</v>
      </c>
      <c r="Z735" t="s">
        <v>14646</v>
      </c>
      <c r="AA735" t="s">
        <v>14647</v>
      </c>
      <c r="AB735" t="s">
        <v>14648</v>
      </c>
      <c r="AC735" t="s">
        <v>2664</v>
      </c>
      <c r="AD735" t="s">
        <v>2667</v>
      </c>
      <c r="AE735" t="s">
        <v>2664</v>
      </c>
      <c r="AF735" t="s">
        <v>74</v>
      </c>
      <c r="AG735">
        <v>21</v>
      </c>
      <c r="AH735">
        <v>11</v>
      </c>
      <c r="AI735">
        <v>13</v>
      </c>
      <c r="AJ735">
        <v>0</v>
      </c>
      <c r="AK735">
        <v>31</v>
      </c>
      <c r="AL735" t="s">
        <v>631</v>
      </c>
      <c r="AM735" t="s">
        <v>632</v>
      </c>
      <c r="AN735" t="s">
        <v>633</v>
      </c>
      <c r="AO735" t="s">
        <v>1453</v>
      </c>
      <c r="AP735" t="s">
        <v>1454</v>
      </c>
      <c r="AQ735" t="s">
        <v>74</v>
      </c>
      <c r="AR735" t="s">
        <v>1455</v>
      </c>
      <c r="AS735" t="s">
        <v>1456</v>
      </c>
      <c r="AT735" t="s">
        <v>14649</v>
      </c>
      <c r="AU735">
        <v>2018</v>
      </c>
      <c r="AV735">
        <v>30</v>
      </c>
      <c r="AW735">
        <v>2</v>
      </c>
      <c r="AX735" t="s">
        <v>74</v>
      </c>
      <c r="AY735" t="s">
        <v>74</v>
      </c>
      <c r="AZ735" t="s">
        <v>247</v>
      </c>
      <c r="BA735" t="s">
        <v>74</v>
      </c>
      <c r="BB735" t="s">
        <v>74</v>
      </c>
      <c r="BC735" t="s">
        <v>74</v>
      </c>
      <c r="BD735" t="s">
        <v>14650</v>
      </c>
      <c r="BE735" t="s">
        <v>14651</v>
      </c>
      <c r="BF735" t="str">
        <f>HYPERLINK("http://dx.doi.org/10.1002/cpe.4163","http://dx.doi.org/10.1002/cpe.4163")</f>
        <v>http://dx.doi.org/10.1002/cpe.4163</v>
      </c>
      <c r="BG735" t="s">
        <v>74</v>
      </c>
      <c r="BH735" t="s">
        <v>74</v>
      </c>
      <c r="BI735">
        <v>10</v>
      </c>
      <c r="BJ735" t="s">
        <v>1190</v>
      </c>
      <c r="BK735" t="s">
        <v>902</v>
      </c>
      <c r="BL735" t="s">
        <v>103</v>
      </c>
      <c r="BM735" t="s">
        <v>14652</v>
      </c>
      <c r="BN735" t="s">
        <v>74</v>
      </c>
      <c r="BO735" t="s">
        <v>74</v>
      </c>
      <c r="BP735" t="s">
        <v>74</v>
      </c>
      <c r="BQ735" t="s">
        <v>74</v>
      </c>
      <c r="BR735" t="s">
        <v>106</v>
      </c>
      <c r="BS735" t="s">
        <v>14653</v>
      </c>
      <c r="BT735" t="str">
        <f>HYPERLINK("https%3A%2F%2Fwww.webofscience.com%2Fwos%2Fwoscc%2Ffull-record%2FWOS:000418402600001","View Full Record in Web of Science")</f>
        <v>View Full Record in Web of Science</v>
      </c>
    </row>
    <row r="736" spans="1:72" x14ac:dyDescent="0.25">
      <c r="A736" t="s">
        <v>72</v>
      </c>
      <c r="B736" t="s">
        <v>14654</v>
      </c>
      <c r="C736" t="s">
        <v>74</v>
      </c>
      <c r="D736" t="s">
        <v>74</v>
      </c>
      <c r="E736" t="s">
        <v>74</v>
      </c>
      <c r="F736" t="s">
        <v>14655</v>
      </c>
      <c r="G736" t="s">
        <v>74</v>
      </c>
      <c r="H736" t="s">
        <v>74</v>
      </c>
      <c r="I736" t="s">
        <v>14656</v>
      </c>
      <c r="J736" t="s">
        <v>14657</v>
      </c>
      <c r="K736" t="s">
        <v>74</v>
      </c>
      <c r="L736" t="s">
        <v>74</v>
      </c>
      <c r="M736" t="s">
        <v>78</v>
      </c>
      <c r="N736" t="s">
        <v>79</v>
      </c>
      <c r="O736" t="s">
        <v>74</v>
      </c>
      <c r="P736" t="s">
        <v>74</v>
      </c>
      <c r="Q736" t="s">
        <v>74</v>
      </c>
      <c r="R736" t="s">
        <v>74</v>
      </c>
      <c r="S736" t="s">
        <v>74</v>
      </c>
      <c r="T736" t="s">
        <v>14658</v>
      </c>
      <c r="U736" t="s">
        <v>74</v>
      </c>
      <c r="V736" t="s">
        <v>14659</v>
      </c>
      <c r="W736" t="s">
        <v>14660</v>
      </c>
      <c r="X736" t="s">
        <v>14661</v>
      </c>
      <c r="Y736" t="s">
        <v>14662</v>
      </c>
      <c r="Z736" t="s">
        <v>14663</v>
      </c>
      <c r="AA736" t="s">
        <v>14664</v>
      </c>
      <c r="AB736" t="s">
        <v>74</v>
      </c>
      <c r="AC736" t="s">
        <v>14665</v>
      </c>
      <c r="AD736" t="s">
        <v>14666</v>
      </c>
      <c r="AE736" t="s">
        <v>14667</v>
      </c>
      <c r="AF736" t="s">
        <v>74</v>
      </c>
      <c r="AG736">
        <v>28</v>
      </c>
      <c r="AH736">
        <v>1</v>
      </c>
      <c r="AI736">
        <v>2</v>
      </c>
      <c r="AJ736">
        <v>0</v>
      </c>
      <c r="AK736">
        <v>16</v>
      </c>
      <c r="AL736" t="s">
        <v>1813</v>
      </c>
      <c r="AM736" t="s">
        <v>1814</v>
      </c>
      <c r="AN736" t="s">
        <v>10021</v>
      </c>
      <c r="AO736" t="s">
        <v>14668</v>
      </c>
      <c r="AP736" t="s">
        <v>14669</v>
      </c>
      <c r="AQ736" t="s">
        <v>74</v>
      </c>
      <c r="AR736" t="s">
        <v>14670</v>
      </c>
      <c r="AS736" t="s">
        <v>14671</v>
      </c>
      <c r="AT736" t="s">
        <v>368</v>
      </c>
      <c r="AU736">
        <v>2023</v>
      </c>
      <c r="AV736">
        <v>37</v>
      </c>
      <c r="AW736">
        <v>6</v>
      </c>
      <c r="AX736" t="s">
        <v>74</v>
      </c>
      <c r="AY736" t="s">
        <v>74</v>
      </c>
      <c r="AZ736" t="s">
        <v>74</v>
      </c>
      <c r="BA736" t="s">
        <v>74</v>
      </c>
      <c r="BB736" t="s">
        <v>74</v>
      </c>
      <c r="BC736" t="s">
        <v>74</v>
      </c>
      <c r="BD736" t="s">
        <v>74</v>
      </c>
      <c r="BE736" t="s">
        <v>14672</v>
      </c>
      <c r="BF736" t="str">
        <f>HYPERLINK("http://dx.doi.org/10.1142/S0218001423500131","http://dx.doi.org/10.1142/S0218001423500131")</f>
        <v>http://dx.doi.org/10.1142/S0218001423500131</v>
      </c>
      <c r="BG736" t="s">
        <v>74</v>
      </c>
      <c r="BH736" t="s">
        <v>14673</v>
      </c>
      <c r="BI736">
        <v>20</v>
      </c>
      <c r="BJ736" t="s">
        <v>807</v>
      </c>
      <c r="BK736" t="s">
        <v>902</v>
      </c>
      <c r="BL736" t="s">
        <v>103</v>
      </c>
      <c r="BM736" t="s">
        <v>14674</v>
      </c>
      <c r="BN736" t="s">
        <v>74</v>
      </c>
      <c r="BO736" t="s">
        <v>74</v>
      </c>
      <c r="BP736" t="s">
        <v>74</v>
      </c>
      <c r="BQ736" t="s">
        <v>74</v>
      </c>
      <c r="BR736" t="s">
        <v>106</v>
      </c>
      <c r="BS736" t="s">
        <v>14675</v>
      </c>
      <c r="BT736" t="str">
        <f>HYPERLINK("https%3A%2F%2Fwww.webofscience.com%2Fwos%2Fwoscc%2Ffull-record%2FWOS:000971906100001","View Full Record in Web of Science")</f>
        <v>View Full Record in Web of Science</v>
      </c>
    </row>
    <row r="737" spans="1:72" x14ac:dyDescent="0.25">
      <c r="A737" t="s">
        <v>108</v>
      </c>
      <c r="B737" t="s">
        <v>14676</v>
      </c>
      <c r="C737" t="s">
        <v>74</v>
      </c>
      <c r="D737" t="s">
        <v>74</v>
      </c>
      <c r="E737" t="s">
        <v>465</v>
      </c>
      <c r="F737" t="s">
        <v>14677</v>
      </c>
      <c r="G737" t="s">
        <v>74</v>
      </c>
      <c r="H737" t="s">
        <v>74</v>
      </c>
      <c r="I737" t="s">
        <v>14678</v>
      </c>
      <c r="J737" t="s">
        <v>14679</v>
      </c>
      <c r="K737" t="s">
        <v>74</v>
      </c>
      <c r="L737" t="s">
        <v>74</v>
      </c>
      <c r="M737" t="s">
        <v>78</v>
      </c>
      <c r="N737" t="s">
        <v>115</v>
      </c>
      <c r="O737" t="s">
        <v>14680</v>
      </c>
      <c r="P737" t="s">
        <v>14681</v>
      </c>
      <c r="Q737" t="s">
        <v>14682</v>
      </c>
      <c r="R737" t="s">
        <v>14683</v>
      </c>
      <c r="S737" t="s">
        <v>74</v>
      </c>
      <c r="T737" t="s">
        <v>74</v>
      </c>
      <c r="U737" t="s">
        <v>14684</v>
      </c>
      <c r="V737" t="s">
        <v>14685</v>
      </c>
      <c r="W737" t="s">
        <v>14686</v>
      </c>
      <c r="X737" t="s">
        <v>14687</v>
      </c>
      <c r="Y737" t="s">
        <v>14688</v>
      </c>
      <c r="Z737" t="s">
        <v>14689</v>
      </c>
      <c r="AA737" t="s">
        <v>74</v>
      </c>
      <c r="AB737" t="s">
        <v>74</v>
      </c>
      <c r="AC737" t="s">
        <v>74</v>
      </c>
      <c r="AD737" t="s">
        <v>74</v>
      </c>
      <c r="AE737" t="s">
        <v>74</v>
      </c>
      <c r="AF737" t="s">
        <v>74</v>
      </c>
      <c r="AG737">
        <v>10</v>
      </c>
      <c r="AH737">
        <v>2</v>
      </c>
      <c r="AI737">
        <v>2</v>
      </c>
      <c r="AJ737">
        <v>0</v>
      </c>
      <c r="AK737">
        <v>2</v>
      </c>
      <c r="AL737" t="s">
        <v>465</v>
      </c>
      <c r="AM737" t="s">
        <v>92</v>
      </c>
      <c r="AN737" t="s">
        <v>480</v>
      </c>
      <c r="AO737" t="s">
        <v>74</v>
      </c>
      <c r="AP737" t="s">
        <v>74</v>
      </c>
      <c r="AQ737" t="s">
        <v>14690</v>
      </c>
      <c r="AR737" t="s">
        <v>74</v>
      </c>
      <c r="AS737" t="s">
        <v>74</v>
      </c>
      <c r="AT737" t="s">
        <v>74</v>
      </c>
      <c r="AU737">
        <v>2012</v>
      </c>
      <c r="AV737" t="s">
        <v>74</v>
      </c>
      <c r="AW737" t="s">
        <v>74</v>
      </c>
      <c r="AX737" t="s">
        <v>74</v>
      </c>
      <c r="AY737" t="s">
        <v>74</v>
      </c>
      <c r="AZ737" t="s">
        <v>74</v>
      </c>
      <c r="BA737" t="s">
        <v>74</v>
      </c>
      <c r="BB737">
        <v>113</v>
      </c>
      <c r="BC737">
        <v>118</v>
      </c>
      <c r="BD737" t="s">
        <v>74</v>
      </c>
      <c r="BE737" t="s">
        <v>14691</v>
      </c>
      <c r="BF737" t="str">
        <f>HYPERLINK("http://dx.doi.org/10.1109/SMAP.2012.14","http://dx.doi.org/10.1109/SMAP.2012.14")</f>
        <v>http://dx.doi.org/10.1109/SMAP.2012.14</v>
      </c>
      <c r="BG737" t="s">
        <v>74</v>
      </c>
      <c r="BH737" t="s">
        <v>74</v>
      </c>
      <c r="BI737">
        <v>6</v>
      </c>
      <c r="BJ737" t="s">
        <v>1190</v>
      </c>
      <c r="BK737" t="s">
        <v>203</v>
      </c>
      <c r="BL737" t="s">
        <v>103</v>
      </c>
      <c r="BM737" t="s">
        <v>14692</v>
      </c>
      <c r="BN737" t="s">
        <v>74</v>
      </c>
      <c r="BO737" t="s">
        <v>74</v>
      </c>
      <c r="BP737" t="s">
        <v>74</v>
      </c>
      <c r="BQ737" t="s">
        <v>74</v>
      </c>
      <c r="BR737" t="s">
        <v>106</v>
      </c>
      <c r="BS737" t="s">
        <v>14693</v>
      </c>
      <c r="BT737" t="str">
        <f>HYPERLINK("https%3A%2F%2Fwww.webofscience.com%2Fwos%2Fwoscc%2Ffull-record%2FWOS:000320931700018","View Full Record in Web of Science")</f>
        <v>View Full Record in Web of Science</v>
      </c>
    </row>
    <row r="738" spans="1:72" x14ac:dyDescent="0.25">
      <c r="A738" t="s">
        <v>108</v>
      </c>
      <c r="B738" t="s">
        <v>14694</v>
      </c>
      <c r="C738" t="s">
        <v>74</v>
      </c>
      <c r="D738" t="s">
        <v>74</v>
      </c>
      <c r="E738" t="s">
        <v>465</v>
      </c>
      <c r="F738" t="s">
        <v>14695</v>
      </c>
      <c r="G738" t="s">
        <v>74</v>
      </c>
      <c r="H738" t="s">
        <v>74</v>
      </c>
      <c r="I738" t="s">
        <v>14696</v>
      </c>
      <c r="J738" t="s">
        <v>14697</v>
      </c>
      <c r="K738" t="s">
        <v>14698</v>
      </c>
      <c r="L738" t="s">
        <v>74</v>
      </c>
      <c r="M738" t="s">
        <v>78</v>
      </c>
      <c r="N738" t="s">
        <v>115</v>
      </c>
      <c r="O738" t="s">
        <v>14699</v>
      </c>
      <c r="P738" t="s">
        <v>14700</v>
      </c>
      <c r="Q738" t="s">
        <v>14701</v>
      </c>
      <c r="R738" t="s">
        <v>14702</v>
      </c>
      <c r="S738" t="s">
        <v>74</v>
      </c>
      <c r="T738" t="s">
        <v>14703</v>
      </c>
      <c r="U738" t="s">
        <v>14704</v>
      </c>
      <c r="V738" t="s">
        <v>14705</v>
      </c>
      <c r="W738" t="s">
        <v>14706</v>
      </c>
      <c r="X738" t="s">
        <v>14707</v>
      </c>
      <c r="Y738" t="s">
        <v>14708</v>
      </c>
      <c r="Z738" t="s">
        <v>14709</v>
      </c>
      <c r="AA738" t="s">
        <v>14710</v>
      </c>
      <c r="AB738" t="s">
        <v>74</v>
      </c>
      <c r="AC738" t="s">
        <v>74</v>
      </c>
      <c r="AD738" t="s">
        <v>74</v>
      </c>
      <c r="AE738" t="s">
        <v>74</v>
      </c>
      <c r="AF738" t="s">
        <v>74</v>
      </c>
      <c r="AG738">
        <v>20</v>
      </c>
      <c r="AH738">
        <v>0</v>
      </c>
      <c r="AI738">
        <v>0</v>
      </c>
      <c r="AJ738">
        <v>0</v>
      </c>
      <c r="AK738">
        <v>5</v>
      </c>
      <c r="AL738" t="s">
        <v>465</v>
      </c>
      <c r="AM738" t="s">
        <v>92</v>
      </c>
      <c r="AN738" t="s">
        <v>480</v>
      </c>
      <c r="AO738" t="s">
        <v>14711</v>
      </c>
      <c r="AP738" t="s">
        <v>74</v>
      </c>
      <c r="AQ738" t="s">
        <v>14712</v>
      </c>
      <c r="AR738" t="s">
        <v>14713</v>
      </c>
      <c r="AS738" t="s">
        <v>74</v>
      </c>
      <c r="AT738" t="s">
        <v>74</v>
      </c>
      <c r="AU738">
        <v>2014</v>
      </c>
      <c r="AV738" t="s">
        <v>74</v>
      </c>
      <c r="AW738" t="s">
        <v>74</v>
      </c>
      <c r="AX738" t="s">
        <v>74</v>
      </c>
      <c r="AY738" t="s">
        <v>74</v>
      </c>
      <c r="AZ738" t="s">
        <v>74</v>
      </c>
      <c r="BA738" t="s">
        <v>74</v>
      </c>
      <c r="BB738" t="s">
        <v>74</v>
      </c>
      <c r="BC738" t="s">
        <v>74</v>
      </c>
      <c r="BD738" t="s">
        <v>74</v>
      </c>
      <c r="BE738" t="s">
        <v>74</v>
      </c>
      <c r="BF738" t="s">
        <v>74</v>
      </c>
      <c r="BG738" t="s">
        <v>74</v>
      </c>
      <c r="BH738" t="s">
        <v>74</v>
      </c>
      <c r="BI738">
        <v>6</v>
      </c>
      <c r="BJ738" t="s">
        <v>14714</v>
      </c>
      <c r="BK738" t="s">
        <v>203</v>
      </c>
      <c r="BL738" t="s">
        <v>103</v>
      </c>
      <c r="BM738" t="s">
        <v>14715</v>
      </c>
      <c r="BN738" t="s">
        <v>74</v>
      </c>
      <c r="BO738" t="s">
        <v>74</v>
      </c>
      <c r="BP738" t="s">
        <v>74</v>
      </c>
      <c r="BQ738" t="s">
        <v>74</v>
      </c>
      <c r="BR738" t="s">
        <v>106</v>
      </c>
      <c r="BS738" t="s">
        <v>14716</v>
      </c>
      <c r="BT738" t="str">
        <f>HYPERLINK("https%3A%2F%2Fwww.webofscience.com%2Fwos%2Fwoscc%2Ffull-record%2FWOS:000374588700029","View Full Record in Web of Science")</f>
        <v>View Full Record in Web of Science</v>
      </c>
    </row>
    <row r="739" spans="1:72" x14ac:dyDescent="0.25">
      <c r="A739" t="s">
        <v>72</v>
      </c>
      <c r="B739" t="s">
        <v>14717</v>
      </c>
      <c r="C739" t="s">
        <v>74</v>
      </c>
      <c r="D739" t="s">
        <v>74</v>
      </c>
      <c r="E739" t="s">
        <v>74</v>
      </c>
      <c r="F739" t="s">
        <v>14718</v>
      </c>
      <c r="G739" t="s">
        <v>74</v>
      </c>
      <c r="H739" t="s">
        <v>74</v>
      </c>
      <c r="I739" t="s">
        <v>14719</v>
      </c>
      <c r="J739" t="s">
        <v>14720</v>
      </c>
      <c r="K739" t="s">
        <v>74</v>
      </c>
      <c r="L739" t="s">
        <v>74</v>
      </c>
      <c r="M739" t="s">
        <v>12912</v>
      </c>
      <c r="N739" t="s">
        <v>79</v>
      </c>
      <c r="O739" t="s">
        <v>74</v>
      </c>
      <c r="P739" t="s">
        <v>74</v>
      </c>
      <c r="Q739" t="s">
        <v>74</v>
      </c>
      <c r="R739" t="s">
        <v>74</v>
      </c>
      <c r="S739" t="s">
        <v>74</v>
      </c>
      <c r="T739" t="s">
        <v>14721</v>
      </c>
      <c r="U739" t="s">
        <v>14722</v>
      </c>
      <c r="V739" t="s">
        <v>14723</v>
      </c>
      <c r="W739" t="s">
        <v>14724</v>
      </c>
      <c r="X739" t="s">
        <v>14725</v>
      </c>
      <c r="Y739" t="s">
        <v>14726</v>
      </c>
      <c r="Z739" t="s">
        <v>14727</v>
      </c>
      <c r="AA739" t="s">
        <v>14728</v>
      </c>
      <c r="AB739" t="s">
        <v>74</v>
      </c>
      <c r="AC739" t="s">
        <v>74</v>
      </c>
      <c r="AD739" t="s">
        <v>74</v>
      </c>
      <c r="AE739" t="s">
        <v>74</v>
      </c>
      <c r="AF739" t="s">
        <v>74</v>
      </c>
      <c r="AG739">
        <v>60</v>
      </c>
      <c r="AH739">
        <v>0</v>
      </c>
      <c r="AI739">
        <v>0</v>
      </c>
      <c r="AJ739">
        <v>0</v>
      </c>
      <c r="AK739">
        <v>5</v>
      </c>
      <c r="AL739" t="s">
        <v>14729</v>
      </c>
      <c r="AM739" t="s">
        <v>14730</v>
      </c>
      <c r="AN739" t="s">
        <v>14731</v>
      </c>
      <c r="AO739" t="s">
        <v>14732</v>
      </c>
      <c r="AP739" t="s">
        <v>14733</v>
      </c>
      <c r="AQ739" t="s">
        <v>74</v>
      </c>
      <c r="AR739" t="s">
        <v>14734</v>
      </c>
      <c r="AS739" t="s">
        <v>14735</v>
      </c>
      <c r="AT739" t="s">
        <v>14736</v>
      </c>
      <c r="AU739">
        <v>2020</v>
      </c>
      <c r="AV739">
        <v>35</v>
      </c>
      <c r="AW739">
        <v>1</v>
      </c>
      <c r="AX739" t="s">
        <v>74</v>
      </c>
      <c r="AY739" t="s">
        <v>74</v>
      </c>
      <c r="AZ739" t="s">
        <v>74</v>
      </c>
      <c r="BA739" t="s">
        <v>74</v>
      </c>
      <c r="BB739">
        <v>93</v>
      </c>
      <c r="BC739">
        <v>106</v>
      </c>
      <c r="BD739" t="s">
        <v>74</v>
      </c>
      <c r="BE739" t="s">
        <v>74</v>
      </c>
      <c r="BF739" t="s">
        <v>74</v>
      </c>
      <c r="BG739" t="s">
        <v>74</v>
      </c>
      <c r="BH739" t="s">
        <v>74</v>
      </c>
      <c r="BI739">
        <v>14</v>
      </c>
      <c r="BJ739" t="s">
        <v>318</v>
      </c>
      <c r="BK739" t="s">
        <v>102</v>
      </c>
      <c r="BL739" t="s">
        <v>318</v>
      </c>
      <c r="BM739" t="s">
        <v>14737</v>
      </c>
      <c r="BN739" t="s">
        <v>74</v>
      </c>
      <c r="BO739" t="s">
        <v>74</v>
      </c>
      <c r="BP739" t="s">
        <v>74</v>
      </c>
      <c r="BQ739" t="s">
        <v>74</v>
      </c>
      <c r="BR739" t="s">
        <v>106</v>
      </c>
      <c r="BS739" t="s">
        <v>14738</v>
      </c>
      <c r="BT739" t="str">
        <f>HYPERLINK("https%3A%2F%2Fwww.webofscience.com%2Fwos%2Fwoscc%2Ffull-record%2FWOS:000566735900007","View Full Record in Web of Science")</f>
        <v>View Full Record in Web of Science</v>
      </c>
    </row>
    <row r="740" spans="1:72" x14ac:dyDescent="0.25">
      <c r="A740" t="s">
        <v>72</v>
      </c>
      <c r="B740" t="s">
        <v>14739</v>
      </c>
      <c r="C740" t="s">
        <v>74</v>
      </c>
      <c r="D740" t="s">
        <v>74</v>
      </c>
      <c r="E740" t="s">
        <v>74</v>
      </c>
      <c r="F740" t="s">
        <v>14740</v>
      </c>
      <c r="G740" t="s">
        <v>74</v>
      </c>
      <c r="H740" t="s">
        <v>74</v>
      </c>
      <c r="I740" t="s">
        <v>14741</v>
      </c>
      <c r="J740" t="s">
        <v>14742</v>
      </c>
      <c r="K740" t="s">
        <v>74</v>
      </c>
      <c r="L740" t="s">
        <v>74</v>
      </c>
      <c r="M740" t="s">
        <v>78</v>
      </c>
      <c r="N740" t="s">
        <v>79</v>
      </c>
      <c r="O740" t="s">
        <v>74</v>
      </c>
      <c r="P740" t="s">
        <v>74</v>
      </c>
      <c r="Q740" t="s">
        <v>74</v>
      </c>
      <c r="R740" t="s">
        <v>74</v>
      </c>
      <c r="S740" t="s">
        <v>74</v>
      </c>
      <c r="T740" t="s">
        <v>14743</v>
      </c>
      <c r="U740" t="s">
        <v>14744</v>
      </c>
      <c r="V740" t="s">
        <v>14745</v>
      </c>
      <c r="W740" t="s">
        <v>14746</v>
      </c>
      <c r="X740" t="s">
        <v>14747</v>
      </c>
      <c r="Y740" t="s">
        <v>14748</v>
      </c>
      <c r="Z740" t="s">
        <v>14749</v>
      </c>
      <c r="AA740" t="s">
        <v>14750</v>
      </c>
      <c r="AB740" t="s">
        <v>14751</v>
      </c>
      <c r="AC740" t="s">
        <v>14752</v>
      </c>
      <c r="AD740" t="s">
        <v>14753</v>
      </c>
      <c r="AE740" t="s">
        <v>14754</v>
      </c>
      <c r="AF740" t="s">
        <v>74</v>
      </c>
      <c r="AG740">
        <v>60</v>
      </c>
      <c r="AH740">
        <v>9</v>
      </c>
      <c r="AI740">
        <v>11</v>
      </c>
      <c r="AJ740">
        <v>0</v>
      </c>
      <c r="AK740">
        <v>2</v>
      </c>
      <c r="AL740" t="s">
        <v>895</v>
      </c>
      <c r="AM740" t="s">
        <v>896</v>
      </c>
      <c r="AN740" t="s">
        <v>897</v>
      </c>
      <c r="AO740" t="s">
        <v>14755</v>
      </c>
      <c r="AP740" t="s">
        <v>14756</v>
      </c>
      <c r="AQ740" t="s">
        <v>74</v>
      </c>
      <c r="AR740" t="s">
        <v>14757</v>
      </c>
      <c r="AS740" t="s">
        <v>14758</v>
      </c>
      <c r="AT740" t="s">
        <v>74</v>
      </c>
      <c r="AU740">
        <v>2020</v>
      </c>
      <c r="AV740">
        <v>68</v>
      </c>
      <c r="AW740" t="s">
        <v>74</v>
      </c>
      <c r="AX740" t="s">
        <v>74</v>
      </c>
      <c r="AY740" t="s">
        <v>74</v>
      </c>
      <c r="AZ740" t="s">
        <v>74</v>
      </c>
      <c r="BA740" t="s">
        <v>74</v>
      </c>
      <c r="BB740">
        <v>2935</v>
      </c>
      <c r="BC740">
        <v>2947</v>
      </c>
      <c r="BD740" t="s">
        <v>74</v>
      </c>
      <c r="BE740" t="s">
        <v>14759</v>
      </c>
      <c r="BF740" t="str">
        <f>HYPERLINK("http://dx.doi.org/10.1109/TSP.2020.2989076","http://dx.doi.org/10.1109/TSP.2020.2989076")</f>
        <v>http://dx.doi.org/10.1109/TSP.2020.2989076</v>
      </c>
      <c r="BG740" t="s">
        <v>74</v>
      </c>
      <c r="BH740" t="s">
        <v>74</v>
      </c>
      <c r="BI740">
        <v>13</v>
      </c>
      <c r="BJ740" t="s">
        <v>1736</v>
      </c>
      <c r="BK740" t="s">
        <v>902</v>
      </c>
      <c r="BL740" t="s">
        <v>1737</v>
      </c>
      <c r="BM740" t="s">
        <v>14760</v>
      </c>
      <c r="BN740" t="s">
        <v>74</v>
      </c>
      <c r="BO740" t="s">
        <v>74</v>
      </c>
      <c r="BP740" t="s">
        <v>74</v>
      </c>
      <c r="BQ740" t="s">
        <v>74</v>
      </c>
      <c r="BR740" t="s">
        <v>106</v>
      </c>
      <c r="BS740" t="s">
        <v>14761</v>
      </c>
      <c r="BT740" t="str">
        <f>HYPERLINK("https%3A%2F%2Fwww.webofscience.com%2Fwos%2Fwoscc%2Ffull-record%2FWOS:000538022500001","View Full Record in Web of Science")</f>
        <v>View Full Record in Web of Science</v>
      </c>
    </row>
    <row r="741" spans="1:72" x14ac:dyDescent="0.25">
      <c r="A741" t="s">
        <v>108</v>
      </c>
      <c r="B741" t="s">
        <v>14762</v>
      </c>
      <c r="C741" t="s">
        <v>74</v>
      </c>
      <c r="D741" t="s">
        <v>74</v>
      </c>
      <c r="E741" t="s">
        <v>465</v>
      </c>
      <c r="F741" t="s">
        <v>14763</v>
      </c>
      <c r="G741" t="s">
        <v>74</v>
      </c>
      <c r="H741" t="s">
        <v>74</v>
      </c>
      <c r="I741" t="s">
        <v>14764</v>
      </c>
      <c r="J741" t="s">
        <v>14765</v>
      </c>
      <c r="K741" t="s">
        <v>74</v>
      </c>
      <c r="L741" t="s">
        <v>74</v>
      </c>
      <c r="M741" t="s">
        <v>78</v>
      </c>
      <c r="N741" t="s">
        <v>115</v>
      </c>
      <c r="O741" t="s">
        <v>14766</v>
      </c>
      <c r="P741" t="s">
        <v>14767</v>
      </c>
      <c r="Q741" t="s">
        <v>14768</v>
      </c>
      <c r="R741" t="s">
        <v>74</v>
      </c>
      <c r="S741" t="s">
        <v>74</v>
      </c>
      <c r="T741" t="s">
        <v>14769</v>
      </c>
      <c r="U741" t="s">
        <v>1308</v>
      </c>
      <c r="V741" t="s">
        <v>14770</v>
      </c>
      <c r="W741" t="s">
        <v>14771</v>
      </c>
      <c r="X741" t="s">
        <v>7948</v>
      </c>
      <c r="Y741" t="s">
        <v>14772</v>
      </c>
      <c r="Z741" t="s">
        <v>14773</v>
      </c>
      <c r="AA741" t="s">
        <v>7951</v>
      </c>
      <c r="AB741" t="s">
        <v>74</v>
      </c>
      <c r="AC741" t="s">
        <v>74</v>
      </c>
      <c r="AD741" t="s">
        <v>74</v>
      </c>
      <c r="AE741" t="s">
        <v>74</v>
      </c>
      <c r="AF741" t="s">
        <v>74</v>
      </c>
      <c r="AG741">
        <v>6</v>
      </c>
      <c r="AH741">
        <v>3</v>
      </c>
      <c r="AI741">
        <v>3</v>
      </c>
      <c r="AJ741">
        <v>0</v>
      </c>
      <c r="AK741">
        <v>0</v>
      </c>
      <c r="AL741" t="s">
        <v>465</v>
      </c>
      <c r="AM741" t="s">
        <v>92</v>
      </c>
      <c r="AN741" t="s">
        <v>480</v>
      </c>
      <c r="AO741" t="s">
        <v>74</v>
      </c>
      <c r="AP741" t="s">
        <v>74</v>
      </c>
      <c r="AQ741" t="s">
        <v>14774</v>
      </c>
      <c r="AR741" t="s">
        <v>74</v>
      </c>
      <c r="AS741" t="s">
        <v>74</v>
      </c>
      <c r="AT741" t="s">
        <v>74</v>
      </c>
      <c r="AU741">
        <v>2014</v>
      </c>
      <c r="AV741" t="s">
        <v>74</v>
      </c>
      <c r="AW741" t="s">
        <v>74</v>
      </c>
      <c r="AX741" t="s">
        <v>74</v>
      </c>
      <c r="AY741" t="s">
        <v>74</v>
      </c>
      <c r="AZ741" t="s">
        <v>74</v>
      </c>
      <c r="BA741" t="s">
        <v>74</v>
      </c>
      <c r="BB741" t="s">
        <v>74</v>
      </c>
      <c r="BC741" t="s">
        <v>74</v>
      </c>
      <c r="BD741" t="s">
        <v>74</v>
      </c>
      <c r="BE741" t="s">
        <v>74</v>
      </c>
      <c r="BF741" t="s">
        <v>74</v>
      </c>
      <c r="BG741" t="s">
        <v>74</v>
      </c>
      <c r="BH741" t="s">
        <v>74</v>
      </c>
      <c r="BI741">
        <v>6</v>
      </c>
      <c r="BJ741" t="s">
        <v>2268</v>
      </c>
      <c r="BK741" t="s">
        <v>203</v>
      </c>
      <c r="BL741" t="s">
        <v>2269</v>
      </c>
      <c r="BM741" t="s">
        <v>14775</v>
      </c>
      <c r="BN741" t="s">
        <v>74</v>
      </c>
      <c r="BO741" t="s">
        <v>74</v>
      </c>
      <c r="BP741" t="s">
        <v>74</v>
      </c>
      <c r="BQ741" t="s">
        <v>74</v>
      </c>
      <c r="BR741" t="s">
        <v>106</v>
      </c>
      <c r="BS741" t="s">
        <v>14776</v>
      </c>
      <c r="BT741" t="str">
        <f>HYPERLINK("https%3A%2F%2Fwww.webofscience.com%2Fwos%2Fwoscc%2Ffull-record%2FWOS:000358694800140","View Full Record in Web of Science")</f>
        <v>View Full Record in Web of Science</v>
      </c>
    </row>
    <row r="742" spans="1:72" x14ac:dyDescent="0.25">
      <c r="A742" t="s">
        <v>72</v>
      </c>
      <c r="B742" t="s">
        <v>14777</v>
      </c>
      <c r="C742" t="s">
        <v>74</v>
      </c>
      <c r="D742" t="s">
        <v>74</v>
      </c>
      <c r="E742" t="s">
        <v>74</v>
      </c>
      <c r="F742" t="s">
        <v>14778</v>
      </c>
      <c r="G742" t="s">
        <v>74</v>
      </c>
      <c r="H742" t="s">
        <v>74</v>
      </c>
      <c r="I742" t="s">
        <v>14779</v>
      </c>
      <c r="J742" t="s">
        <v>5225</v>
      </c>
      <c r="K742" t="s">
        <v>74</v>
      </c>
      <c r="L742" t="s">
        <v>74</v>
      </c>
      <c r="M742" t="s">
        <v>78</v>
      </c>
      <c r="N742" t="s">
        <v>79</v>
      </c>
      <c r="O742" t="s">
        <v>74</v>
      </c>
      <c r="P742" t="s">
        <v>74</v>
      </c>
      <c r="Q742" t="s">
        <v>74</v>
      </c>
      <c r="R742" t="s">
        <v>74</v>
      </c>
      <c r="S742" t="s">
        <v>74</v>
      </c>
      <c r="T742" t="s">
        <v>14780</v>
      </c>
      <c r="U742" t="s">
        <v>14781</v>
      </c>
      <c r="V742" t="s">
        <v>14782</v>
      </c>
      <c r="W742" t="s">
        <v>14783</v>
      </c>
      <c r="X742" t="s">
        <v>14784</v>
      </c>
      <c r="Y742" t="s">
        <v>14785</v>
      </c>
      <c r="Z742" t="s">
        <v>14786</v>
      </c>
      <c r="AA742" t="s">
        <v>14787</v>
      </c>
      <c r="AB742" t="s">
        <v>14788</v>
      </c>
      <c r="AC742" t="s">
        <v>14789</v>
      </c>
      <c r="AD742" t="s">
        <v>14790</v>
      </c>
      <c r="AE742" t="s">
        <v>74</v>
      </c>
      <c r="AF742" t="s">
        <v>74</v>
      </c>
      <c r="AG742">
        <v>25</v>
      </c>
      <c r="AH742">
        <v>75</v>
      </c>
      <c r="AI742">
        <v>86</v>
      </c>
      <c r="AJ742">
        <v>0</v>
      </c>
      <c r="AK742">
        <v>62</v>
      </c>
      <c r="AL742" t="s">
        <v>736</v>
      </c>
      <c r="AM742" t="s">
        <v>737</v>
      </c>
      <c r="AN742" t="s">
        <v>738</v>
      </c>
      <c r="AO742" t="s">
        <v>5232</v>
      </c>
      <c r="AP742" t="s">
        <v>5233</v>
      </c>
      <c r="AQ742" t="s">
        <v>74</v>
      </c>
      <c r="AR742" t="s">
        <v>5234</v>
      </c>
      <c r="AS742" t="s">
        <v>5235</v>
      </c>
      <c r="AT742" t="s">
        <v>1278</v>
      </c>
      <c r="AU742">
        <v>2019</v>
      </c>
      <c r="AV742">
        <v>115</v>
      </c>
      <c r="AW742" t="s">
        <v>74</v>
      </c>
      <c r="AX742" t="s">
        <v>74</v>
      </c>
      <c r="AY742" t="s">
        <v>74</v>
      </c>
      <c r="AZ742" t="s">
        <v>74</v>
      </c>
      <c r="BA742" t="s">
        <v>74</v>
      </c>
      <c r="BB742">
        <v>535</v>
      </c>
      <c r="BC742">
        <v>542</v>
      </c>
      <c r="BD742" t="s">
        <v>74</v>
      </c>
      <c r="BE742" t="s">
        <v>14791</v>
      </c>
      <c r="BF742" t="str">
        <f>HYPERLINK("http://dx.doi.org/10.1016/j.eswa.2018.07.077","http://dx.doi.org/10.1016/j.eswa.2018.07.077")</f>
        <v>http://dx.doi.org/10.1016/j.eswa.2018.07.077</v>
      </c>
      <c r="BG742" t="s">
        <v>74</v>
      </c>
      <c r="BH742" t="s">
        <v>74</v>
      </c>
      <c r="BI742">
        <v>8</v>
      </c>
      <c r="BJ742" t="s">
        <v>5237</v>
      </c>
      <c r="BK742" t="s">
        <v>902</v>
      </c>
      <c r="BL742" t="s">
        <v>5238</v>
      </c>
      <c r="BM742" t="s">
        <v>14792</v>
      </c>
      <c r="BN742" t="s">
        <v>74</v>
      </c>
      <c r="BO742" t="s">
        <v>14793</v>
      </c>
      <c r="BP742" t="s">
        <v>74</v>
      </c>
      <c r="BQ742" t="s">
        <v>74</v>
      </c>
      <c r="BR742" t="s">
        <v>106</v>
      </c>
      <c r="BS742" t="s">
        <v>14794</v>
      </c>
      <c r="BT742" t="str">
        <f>HYPERLINK("https%3A%2F%2Fwww.webofscience.com%2Fwos%2Fwoscc%2Ffull-record%2FWOS:000448097700039","View Full Record in Web of Science")</f>
        <v>View Full Record in Web of Science</v>
      </c>
    </row>
    <row r="743" spans="1:72" x14ac:dyDescent="0.25">
      <c r="A743" t="s">
        <v>72</v>
      </c>
      <c r="B743" t="s">
        <v>14795</v>
      </c>
      <c r="C743" t="s">
        <v>74</v>
      </c>
      <c r="D743" t="s">
        <v>74</v>
      </c>
      <c r="E743" t="s">
        <v>74</v>
      </c>
      <c r="F743" t="s">
        <v>14796</v>
      </c>
      <c r="G743" t="s">
        <v>74</v>
      </c>
      <c r="H743" t="s">
        <v>74</v>
      </c>
      <c r="I743" t="s">
        <v>14797</v>
      </c>
      <c r="J743" t="s">
        <v>14798</v>
      </c>
      <c r="K743" t="s">
        <v>74</v>
      </c>
      <c r="L743" t="s">
        <v>74</v>
      </c>
      <c r="M743" t="s">
        <v>78</v>
      </c>
      <c r="N743" t="s">
        <v>79</v>
      </c>
      <c r="O743" t="s">
        <v>74</v>
      </c>
      <c r="P743" t="s">
        <v>74</v>
      </c>
      <c r="Q743" t="s">
        <v>74</v>
      </c>
      <c r="R743" t="s">
        <v>74</v>
      </c>
      <c r="S743" t="s">
        <v>74</v>
      </c>
      <c r="T743" t="s">
        <v>14799</v>
      </c>
      <c r="U743" t="s">
        <v>74</v>
      </c>
      <c r="V743" t="s">
        <v>14800</v>
      </c>
      <c r="W743" t="s">
        <v>14801</v>
      </c>
      <c r="X743" t="s">
        <v>74</v>
      </c>
      <c r="Y743" t="s">
        <v>14802</v>
      </c>
      <c r="Z743" t="s">
        <v>14803</v>
      </c>
      <c r="AA743" t="s">
        <v>74</v>
      </c>
      <c r="AB743" t="s">
        <v>14804</v>
      </c>
      <c r="AC743" t="s">
        <v>74</v>
      </c>
      <c r="AD743" t="s">
        <v>74</v>
      </c>
      <c r="AE743" t="s">
        <v>74</v>
      </c>
      <c r="AF743" t="s">
        <v>74</v>
      </c>
      <c r="AG743">
        <v>22</v>
      </c>
      <c r="AH743">
        <v>0</v>
      </c>
      <c r="AI743">
        <v>0</v>
      </c>
      <c r="AJ743">
        <v>1</v>
      </c>
      <c r="AK743">
        <v>1</v>
      </c>
      <c r="AL743" t="s">
        <v>2465</v>
      </c>
      <c r="AM743" t="s">
        <v>311</v>
      </c>
      <c r="AN743" t="s">
        <v>2466</v>
      </c>
      <c r="AO743" t="s">
        <v>14805</v>
      </c>
      <c r="AP743" t="s">
        <v>14806</v>
      </c>
      <c r="AQ743" t="s">
        <v>74</v>
      </c>
      <c r="AR743" t="s">
        <v>14807</v>
      </c>
      <c r="AS743" t="s">
        <v>14808</v>
      </c>
      <c r="AT743" t="s">
        <v>3232</v>
      </c>
      <c r="AU743">
        <v>2026</v>
      </c>
      <c r="AV743">
        <v>21</v>
      </c>
      <c r="AW743">
        <v>3</v>
      </c>
      <c r="AX743" t="s">
        <v>74</v>
      </c>
      <c r="AY743" t="s">
        <v>74</v>
      </c>
      <c r="AZ743" t="s">
        <v>74</v>
      </c>
      <c r="BA743" t="s">
        <v>74</v>
      </c>
      <c r="BB743">
        <v>357</v>
      </c>
      <c r="BC743">
        <v>365</v>
      </c>
      <c r="BD743" t="s">
        <v>74</v>
      </c>
      <c r="BE743" t="s">
        <v>14809</v>
      </c>
      <c r="BF743" t="str">
        <f>HYPERLINK("http://dx.doi.org/10.1080/18335330.2026.2637446","http://dx.doi.org/10.1080/18335330.2026.2637446")</f>
        <v>http://dx.doi.org/10.1080/18335330.2026.2637446</v>
      </c>
      <c r="BG743" t="s">
        <v>74</v>
      </c>
      <c r="BH743" t="s">
        <v>12175</v>
      </c>
      <c r="BI743">
        <v>9</v>
      </c>
      <c r="BJ743" t="s">
        <v>14810</v>
      </c>
      <c r="BK743" t="s">
        <v>102</v>
      </c>
      <c r="BL743" t="s">
        <v>14811</v>
      </c>
      <c r="BM743" t="s">
        <v>14812</v>
      </c>
      <c r="BN743" t="s">
        <v>74</v>
      </c>
      <c r="BO743" t="s">
        <v>74</v>
      </c>
      <c r="BP743" t="s">
        <v>74</v>
      </c>
      <c r="BQ743" t="s">
        <v>74</v>
      </c>
      <c r="BR743" t="s">
        <v>106</v>
      </c>
      <c r="BS743" t="s">
        <v>14813</v>
      </c>
      <c r="BT743" t="str">
        <f>HYPERLINK("https%3A%2F%2Fwww.webofscience.com%2Fwos%2Fwoscc%2Ffull-record%2FWOS:001707799100001","View Full Record in Web of Science")</f>
        <v>View Full Record in Web of Science</v>
      </c>
    </row>
    <row r="744" spans="1:72" x14ac:dyDescent="0.25">
      <c r="A744" t="s">
        <v>108</v>
      </c>
      <c r="B744" t="s">
        <v>14814</v>
      </c>
      <c r="C744" t="s">
        <v>74</v>
      </c>
      <c r="D744" t="s">
        <v>9391</v>
      </c>
      <c r="E744" t="s">
        <v>74</v>
      </c>
      <c r="F744" t="s">
        <v>14815</v>
      </c>
      <c r="G744" t="s">
        <v>74</v>
      </c>
      <c r="H744" t="s">
        <v>74</v>
      </c>
      <c r="I744" t="s">
        <v>14816</v>
      </c>
      <c r="J744" t="s">
        <v>14817</v>
      </c>
      <c r="K744" t="s">
        <v>74</v>
      </c>
      <c r="L744" t="s">
        <v>74</v>
      </c>
      <c r="M744" t="s">
        <v>78</v>
      </c>
      <c r="N744" t="s">
        <v>115</v>
      </c>
      <c r="O744" t="s">
        <v>14818</v>
      </c>
      <c r="P744" t="s">
        <v>14819</v>
      </c>
      <c r="Q744" t="s">
        <v>14820</v>
      </c>
      <c r="R744" t="s">
        <v>14821</v>
      </c>
      <c r="S744" t="s">
        <v>74</v>
      </c>
      <c r="T744" t="s">
        <v>14822</v>
      </c>
      <c r="U744" t="s">
        <v>74</v>
      </c>
      <c r="V744" t="s">
        <v>14823</v>
      </c>
      <c r="W744" t="s">
        <v>14824</v>
      </c>
      <c r="X744" t="s">
        <v>14825</v>
      </c>
      <c r="Y744" t="s">
        <v>14826</v>
      </c>
      <c r="Z744" t="s">
        <v>74</v>
      </c>
      <c r="AA744" t="s">
        <v>14827</v>
      </c>
      <c r="AB744" t="s">
        <v>74</v>
      </c>
      <c r="AC744" t="s">
        <v>14828</v>
      </c>
      <c r="AD744" t="s">
        <v>14829</v>
      </c>
      <c r="AE744" t="s">
        <v>14830</v>
      </c>
      <c r="AF744" t="s">
        <v>74</v>
      </c>
      <c r="AG744">
        <v>11</v>
      </c>
      <c r="AH744">
        <v>2</v>
      </c>
      <c r="AI744">
        <v>2</v>
      </c>
      <c r="AJ744">
        <v>0</v>
      </c>
      <c r="AK744">
        <v>0</v>
      </c>
      <c r="AL744" t="s">
        <v>465</v>
      </c>
      <c r="AM744" t="s">
        <v>92</v>
      </c>
      <c r="AN744" t="s">
        <v>480</v>
      </c>
      <c r="AO744" t="s">
        <v>74</v>
      </c>
      <c r="AP744" t="s">
        <v>74</v>
      </c>
      <c r="AQ744" t="s">
        <v>14831</v>
      </c>
      <c r="AR744" t="s">
        <v>74</v>
      </c>
      <c r="AS744" t="s">
        <v>74</v>
      </c>
      <c r="AT744" t="s">
        <v>74</v>
      </c>
      <c r="AU744">
        <v>2017</v>
      </c>
      <c r="AV744" t="s">
        <v>74</v>
      </c>
      <c r="AW744" t="s">
        <v>74</v>
      </c>
      <c r="AX744" t="s">
        <v>74</v>
      </c>
      <c r="AY744" t="s">
        <v>74</v>
      </c>
      <c r="AZ744" t="s">
        <v>74</v>
      </c>
      <c r="BA744" t="s">
        <v>74</v>
      </c>
      <c r="BB744">
        <v>2324</v>
      </c>
      <c r="BC744">
        <v>2327</v>
      </c>
      <c r="BD744" t="s">
        <v>74</v>
      </c>
      <c r="BE744" t="s">
        <v>74</v>
      </c>
      <c r="BF744" t="s">
        <v>74</v>
      </c>
      <c r="BG744" t="s">
        <v>74</v>
      </c>
      <c r="BH744" t="s">
        <v>74</v>
      </c>
      <c r="BI744">
        <v>4</v>
      </c>
      <c r="BJ744" t="s">
        <v>2632</v>
      </c>
      <c r="BK744" t="s">
        <v>203</v>
      </c>
      <c r="BL744" t="s">
        <v>2633</v>
      </c>
      <c r="BM744" t="s">
        <v>14832</v>
      </c>
      <c r="BN744" t="s">
        <v>74</v>
      </c>
      <c r="BO744" t="s">
        <v>74</v>
      </c>
      <c r="BP744" t="s">
        <v>74</v>
      </c>
      <c r="BQ744" t="s">
        <v>74</v>
      </c>
      <c r="BR744" t="s">
        <v>106</v>
      </c>
      <c r="BS744" t="s">
        <v>14833</v>
      </c>
      <c r="BT744" t="str">
        <f>HYPERLINK("https%3A%2F%2Fwww.webofscience.com%2Fwos%2Fwoscc%2Ffull-record%2FWOS:000427137300473","View Full Record in Web of Science")</f>
        <v>View Full Record in Web of Science</v>
      </c>
    </row>
    <row r="745" spans="1:72" x14ac:dyDescent="0.25">
      <c r="A745" t="s">
        <v>108</v>
      </c>
      <c r="B745" t="s">
        <v>14834</v>
      </c>
      <c r="C745" t="s">
        <v>74</v>
      </c>
      <c r="D745" t="s">
        <v>74</v>
      </c>
      <c r="E745" t="s">
        <v>322</v>
      </c>
      <c r="F745" t="s">
        <v>14835</v>
      </c>
      <c r="G745" t="s">
        <v>74</v>
      </c>
      <c r="H745" t="s">
        <v>74</v>
      </c>
      <c r="I745" t="s">
        <v>14836</v>
      </c>
      <c r="J745" t="s">
        <v>6699</v>
      </c>
      <c r="K745" t="s">
        <v>74</v>
      </c>
      <c r="L745" t="s">
        <v>74</v>
      </c>
      <c r="M745" t="s">
        <v>78</v>
      </c>
      <c r="N745" t="s">
        <v>115</v>
      </c>
      <c r="O745" t="s">
        <v>6700</v>
      </c>
      <c r="P745" t="s">
        <v>6701</v>
      </c>
      <c r="Q745" t="s">
        <v>6702</v>
      </c>
      <c r="R745" t="s">
        <v>6703</v>
      </c>
      <c r="S745" t="s">
        <v>6704</v>
      </c>
      <c r="T745" t="s">
        <v>14837</v>
      </c>
      <c r="U745" t="s">
        <v>74</v>
      </c>
      <c r="V745" t="s">
        <v>14838</v>
      </c>
      <c r="W745" t="s">
        <v>14839</v>
      </c>
      <c r="X745" t="s">
        <v>14840</v>
      </c>
      <c r="Y745" t="s">
        <v>14841</v>
      </c>
      <c r="Z745" t="s">
        <v>14842</v>
      </c>
      <c r="AA745" t="s">
        <v>74</v>
      </c>
      <c r="AB745" t="s">
        <v>74</v>
      </c>
      <c r="AC745" t="s">
        <v>74</v>
      </c>
      <c r="AD745" t="s">
        <v>74</v>
      </c>
      <c r="AE745" t="s">
        <v>74</v>
      </c>
      <c r="AF745" t="s">
        <v>74</v>
      </c>
      <c r="AG745">
        <v>33</v>
      </c>
      <c r="AH745">
        <v>2</v>
      </c>
      <c r="AI745">
        <v>2</v>
      </c>
      <c r="AJ745">
        <v>0</v>
      </c>
      <c r="AK745">
        <v>3</v>
      </c>
      <c r="AL745" t="s">
        <v>291</v>
      </c>
      <c r="AM745" t="s">
        <v>92</v>
      </c>
      <c r="AN745" t="s">
        <v>292</v>
      </c>
      <c r="AO745" t="s">
        <v>74</v>
      </c>
      <c r="AP745" t="s">
        <v>74</v>
      </c>
      <c r="AQ745" t="s">
        <v>6713</v>
      </c>
      <c r="AR745" t="s">
        <v>74</v>
      </c>
      <c r="AS745" t="s">
        <v>74</v>
      </c>
      <c r="AT745" t="s">
        <v>74</v>
      </c>
      <c r="AU745">
        <v>2016</v>
      </c>
      <c r="AV745" t="s">
        <v>74</v>
      </c>
      <c r="AW745" t="s">
        <v>74</v>
      </c>
      <c r="AX745" t="s">
        <v>74</v>
      </c>
      <c r="AY745" t="s">
        <v>74</v>
      </c>
      <c r="AZ745" t="s">
        <v>74</v>
      </c>
      <c r="BA745" t="s">
        <v>74</v>
      </c>
      <c r="BB745">
        <v>1079</v>
      </c>
      <c r="BC745">
        <v>1088</v>
      </c>
      <c r="BD745" t="s">
        <v>74</v>
      </c>
      <c r="BE745" t="s">
        <v>14843</v>
      </c>
      <c r="BF745" t="str">
        <f>HYPERLINK("http://dx.doi.org/10.1145/2983323.2983760","http://dx.doi.org/10.1145/2983323.2983760")</f>
        <v>http://dx.doi.org/10.1145/2983323.2983760</v>
      </c>
      <c r="BG745" t="s">
        <v>74</v>
      </c>
      <c r="BH745" t="s">
        <v>74</v>
      </c>
      <c r="BI745">
        <v>10</v>
      </c>
      <c r="BJ745" t="s">
        <v>852</v>
      </c>
      <c r="BK745" t="s">
        <v>203</v>
      </c>
      <c r="BL745" t="s">
        <v>103</v>
      </c>
      <c r="BM745" t="s">
        <v>6715</v>
      </c>
      <c r="BN745" t="s">
        <v>74</v>
      </c>
      <c r="BO745" t="s">
        <v>74</v>
      </c>
      <c r="BP745" t="s">
        <v>74</v>
      </c>
      <c r="BQ745" t="s">
        <v>74</v>
      </c>
      <c r="BR745" t="s">
        <v>106</v>
      </c>
      <c r="BS745" t="s">
        <v>14844</v>
      </c>
      <c r="BT745" t="str">
        <f>HYPERLINK("https%3A%2F%2Fwww.webofscience.com%2Fwos%2Fwoscc%2Ffull-record%2FWOS:000390890800111","View Full Record in Web of Science")</f>
        <v>View Full Record in Web of Science</v>
      </c>
    </row>
    <row r="746" spans="1:72" x14ac:dyDescent="0.25">
      <c r="A746" t="s">
        <v>108</v>
      </c>
      <c r="B746" t="s">
        <v>14845</v>
      </c>
      <c r="C746" t="s">
        <v>74</v>
      </c>
      <c r="D746" t="s">
        <v>3324</v>
      </c>
      <c r="E746" t="s">
        <v>74</v>
      </c>
      <c r="F746" t="s">
        <v>14846</v>
      </c>
      <c r="G746" t="s">
        <v>74</v>
      </c>
      <c r="H746" t="s">
        <v>74</v>
      </c>
      <c r="I746" t="s">
        <v>14847</v>
      </c>
      <c r="J746" t="s">
        <v>3327</v>
      </c>
      <c r="K746" t="s">
        <v>3328</v>
      </c>
      <c r="L746" t="s">
        <v>74</v>
      </c>
      <c r="M746" t="s">
        <v>78</v>
      </c>
      <c r="N746" t="s">
        <v>115</v>
      </c>
      <c r="O746" t="s">
        <v>3329</v>
      </c>
      <c r="P746" t="s">
        <v>3330</v>
      </c>
      <c r="Q746" t="s">
        <v>2643</v>
      </c>
      <c r="R746" t="s">
        <v>3331</v>
      </c>
      <c r="S746" t="s">
        <v>74</v>
      </c>
      <c r="T746" t="s">
        <v>74</v>
      </c>
      <c r="U746" t="s">
        <v>74</v>
      </c>
      <c r="V746" t="s">
        <v>14848</v>
      </c>
      <c r="W746" t="s">
        <v>14849</v>
      </c>
      <c r="X746" t="s">
        <v>14850</v>
      </c>
      <c r="Y746" t="s">
        <v>14851</v>
      </c>
      <c r="Z746" t="s">
        <v>14852</v>
      </c>
      <c r="AA746" t="s">
        <v>14853</v>
      </c>
      <c r="AB746" t="s">
        <v>14854</v>
      </c>
      <c r="AC746" t="s">
        <v>14855</v>
      </c>
      <c r="AD746" t="s">
        <v>14856</v>
      </c>
      <c r="AE746" t="s">
        <v>14857</v>
      </c>
      <c r="AF746" t="s">
        <v>74</v>
      </c>
      <c r="AG746">
        <v>22</v>
      </c>
      <c r="AH746">
        <v>3</v>
      </c>
      <c r="AI746">
        <v>5</v>
      </c>
      <c r="AJ746">
        <v>0</v>
      </c>
      <c r="AK746">
        <v>1</v>
      </c>
      <c r="AL746" t="s">
        <v>947</v>
      </c>
      <c r="AM746" t="s">
        <v>948</v>
      </c>
      <c r="AN746" t="s">
        <v>949</v>
      </c>
      <c r="AO746" t="s">
        <v>3341</v>
      </c>
      <c r="AP746" t="s">
        <v>74</v>
      </c>
      <c r="AQ746" t="s">
        <v>3342</v>
      </c>
      <c r="AR746" t="s">
        <v>3343</v>
      </c>
      <c r="AS746" t="s">
        <v>74</v>
      </c>
      <c r="AT746" t="s">
        <v>74</v>
      </c>
      <c r="AU746">
        <v>2019</v>
      </c>
      <c r="AV746" t="s">
        <v>74</v>
      </c>
      <c r="AW746" t="s">
        <v>74</v>
      </c>
      <c r="AX746" t="s">
        <v>74</v>
      </c>
      <c r="AY746" t="s">
        <v>74</v>
      </c>
      <c r="AZ746" t="s">
        <v>74</v>
      </c>
      <c r="BA746" t="s">
        <v>74</v>
      </c>
      <c r="BB746">
        <v>1098</v>
      </c>
      <c r="BC746">
        <v>1101</v>
      </c>
      <c r="BD746" t="s">
        <v>74</v>
      </c>
      <c r="BE746" t="s">
        <v>14858</v>
      </c>
      <c r="BF746" t="str">
        <f>HYPERLINK("http://dx.doi.org/10.1109/ICDMW.2019.00162","http://dx.doi.org/10.1109/ICDMW.2019.00162")</f>
        <v>http://dx.doi.org/10.1109/ICDMW.2019.00162</v>
      </c>
      <c r="BG746" t="s">
        <v>74</v>
      </c>
      <c r="BH746" t="s">
        <v>74</v>
      </c>
      <c r="BI746">
        <v>4</v>
      </c>
      <c r="BJ746" t="s">
        <v>3345</v>
      </c>
      <c r="BK746" t="s">
        <v>203</v>
      </c>
      <c r="BL746" t="s">
        <v>103</v>
      </c>
      <c r="BM746" t="s">
        <v>3346</v>
      </c>
      <c r="BN746" t="s">
        <v>74</v>
      </c>
      <c r="BO746" t="s">
        <v>74</v>
      </c>
      <c r="BP746" t="s">
        <v>74</v>
      </c>
      <c r="BQ746" t="s">
        <v>74</v>
      </c>
      <c r="BR746" t="s">
        <v>106</v>
      </c>
      <c r="BS746" t="s">
        <v>14859</v>
      </c>
      <c r="BT746" t="str">
        <f>HYPERLINK("https%3A%2F%2Fwww.webofscience.com%2Fwos%2Fwoscc%2Ffull-record%2FWOS:001463475000155","View Full Record in Web of Science")</f>
        <v>View Full Record in Web of Science</v>
      </c>
    </row>
    <row r="747" spans="1:72" x14ac:dyDescent="0.25">
      <c r="A747" t="s">
        <v>72</v>
      </c>
      <c r="B747" t="s">
        <v>14860</v>
      </c>
      <c r="C747" t="s">
        <v>74</v>
      </c>
      <c r="D747" t="s">
        <v>74</v>
      </c>
      <c r="E747" t="s">
        <v>74</v>
      </c>
      <c r="F747" t="s">
        <v>14861</v>
      </c>
      <c r="G747" t="s">
        <v>74</v>
      </c>
      <c r="H747" t="s">
        <v>74</v>
      </c>
      <c r="I747" t="s">
        <v>14862</v>
      </c>
      <c r="J747" t="s">
        <v>14863</v>
      </c>
      <c r="K747" t="s">
        <v>74</v>
      </c>
      <c r="L747" t="s">
        <v>74</v>
      </c>
      <c r="M747" t="s">
        <v>78</v>
      </c>
      <c r="N747" t="s">
        <v>79</v>
      </c>
      <c r="O747" t="s">
        <v>74</v>
      </c>
      <c r="P747" t="s">
        <v>74</v>
      </c>
      <c r="Q747" t="s">
        <v>74</v>
      </c>
      <c r="R747" t="s">
        <v>74</v>
      </c>
      <c r="S747" t="s">
        <v>74</v>
      </c>
      <c r="T747" t="s">
        <v>14864</v>
      </c>
      <c r="U747" t="s">
        <v>14865</v>
      </c>
      <c r="V747" t="s">
        <v>14866</v>
      </c>
      <c r="W747" t="s">
        <v>14867</v>
      </c>
      <c r="X747" t="s">
        <v>14868</v>
      </c>
      <c r="Y747" t="s">
        <v>14869</v>
      </c>
      <c r="Z747" t="s">
        <v>14870</v>
      </c>
      <c r="AA747" t="s">
        <v>74</v>
      </c>
      <c r="AB747" t="s">
        <v>74</v>
      </c>
      <c r="AC747" t="s">
        <v>74</v>
      </c>
      <c r="AD747" t="s">
        <v>74</v>
      </c>
      <c r="AE747" t="s">
        <v>74</v>
      </c>
      <c r="AF747" t="s">
        <v>74</v>
      </c>
      <c r="AG747">
        <v>31</v>
      </c>
      <c r="AH747">
        <v>0</v>
      </c>
      <c r="AI747">
        <v>0</v>
      </c>
      <c r="AJ747">
        <v>2</v>
      </c>
      <c r="AK747">
        <v>2</v>
      </c>
      <c r="AL747" t="s">
        <v>3059</v>
      </c>
      <c r="AM747" t="s">
        <v>3060</v>
      </c>
      <c r="AN747" t="s">
        <v>14871</v>
      </c>
      <c r="AO747" t="s">
        <v>14872</v>
      </c>
      <c r="AP747" t="s">
        <v>14873</v>
      </c>
      <c r="AQ747" t="s">
        <v>74</v>
      </c>
      <c r="AR747" t="s">
        <v>14874</v>
      </c>
      <c r="AS747" t="s">
        <v>14875</v>
      </c>
      <c r="AT747" t="s">
        <v>74</v>
      </c>
      <c r="AU747">
        <v>2026</v>
      </c>
      <c r="AV747">
        <v>14</v>
      </c>
      <c r="AW747" t="s">
        <v>74</v>
      </c>
      <c r="AX747" t="s">
        <v>74</v>
      </c>
      <c r="AY747" t="s">
        <v>74</v>
      </c>
      <c r="AZ747" t="s">
        <v>74</v>
      </c>
      <c r="BA747" t="s">
        <v>74</v>
      </c>
      <c r="BB747">
        <v>1</v>
      </c>
      <c r="BC747">
        <v>19</v>
      </c>
      <c r="BD747" t="s">
        <v>74</v>
      </c>
      <c r="BE747" t="s">
        <v>14876</v>
      </c>
      <c r="BF747" t="str">
        <f>HYPERLINK("http://dx.doi.org/10.20343/teachlearninqu.14.6","http://dx.doi.org/10.20343/teachlearninqu.14.6")</f>
        <v>http://dx.doi.org/10.20343/teachlearninqu.14.6</v>
      </c>
      <c r="BG747" t="s">
        <v>74</v>
      </c>
      <c r="BH747" t="s">
        <v>74</v>
      </c>
      <c r="BI747">
        <v>19</v>
      </c>
      <c r="BJ747" t="s">
        <v>318</v>
      </c>
      <c r="BK747" t="s">
        <v>102</v>
      </c>
      <c r="BL747" t="s">
        <v>318</v>
      </c>
      <c r="BM747" t="s">
        <v>14877</v>
      </c>
      <c r="BN747" t="s">
        <v>74</v>
      </c>
      <c r="BO747" t="s">
        <v>372</v>
      </c>
      <c r="BP747" t="s">
        <v>74</v>
      </c>
      <c r="BQ747" t="s">
        <v>74</v>
      </c>
      <c r="BR747" t="s">
        <v>106</v>
      </c>
      <c r="BS747" t="s">
        <v>14878</v>
      </c>
      <c r="BT747" t="str">
        <f>HYPERLINK("https%3A%2F%2Fwww.webofscience.com%2Fwos%2Fwoscc%2Ffull-record%2FWOS:001708556600005","View Full Record in Web of Science")</f>
        <v>View Full Record in Web of Science</v>
      </c>
    </row>
    <row r="748" spans="1:72" x14ac:dyDescent="0.25">
      <c r="A748" t="s">
        <v>108</v>
      </c>
      <c r="B748" t="s">
        <v>14879</v>
      </c>
      <c r="C748" t="s">
        <v>74</v>
      </c>
      <c r="D748" t="s">
        <v>14880</v>
      </c>
      <c r="E748" t="s">
        <v>74</v>
      </c>
      <c r="F748" t="s">
        <v>14881</v>
      </c>
      <c r="G748" t="s">
        <v>74</v>
      </c>
      <c r="H748" t="s">
        <v>74</v>
      </c>
      <c r="I748" t="s">
        <v>14882</v>
      </c>
      <c r="J748" t="s">
        <v>14883</v>
      </c>
      <c r="K748" t="s">
        <v>147</v>
      </c>
      <c r="L748" t="s">
        <v>74</v>
      </c>
      <c r="M748" t="s">
        <v>78</v>
      </c>
      <c r="N748" t="s">
        <v>115</v>
      </c>
      <c r="O748" t="s">
        <v>14884</v>
      </c>
      <c r="P748" t="s">
        <v>14885</v>
      </c>
      <c r="Q748" t="s">
        <v>450</v>
      </c>
      <c r="R748" t="s">
        <v>74</v>
      </c>
      <c r="S748" t="s">
        <v>74</v>
      </c>
      <c r="T748" t="s">
        <v>74</v>
      </c>
      <c r="U748" t="s">
        <v>74</v>
      </c>
      <c r="V748" t="s">
        <v>14886</v>
      </c>
      <c r="W748" t="s">
        <v>14887</v>
      </c>
      <c r="X748" t="s">
        <v>14888</v>
      </c>
      <c r="Y748" t="s">
        <v>14889</v>
      </c>
      <c r="Z748" t="s">
        <v>14890</v>
      </c>
      <c r="AA748" t="s">
        <v>74</v>
      </c>
      <c r="AB748" t="s">
        <v>74</v>
      </c>
      <c r="AC748" t="s">
        <v>14891</v>
      </c>
      <c r="AD748" t="s">
        <v>14892</v>
      </c>
      <c r="AE748" t="s">
        <v>14893</v>
      </c>
      <c r="AF748" t="s">
        <v>74</v>
      </c>
      <c r="AG748">
        <v>19</v>
      </c>
      <c r="AH748">
        <v>0</v>
      </c>
      <c r="AI748">
        <v>0</v>
      </c>
      <c r="AJ748">
        <v>0</v>
      </c>
      <c r="AK748">
        <v>0</v>
      </c>
      <c r="AL748" t="s">
        <v>2996</v>
      </c>
      <c r="AM748" t="s">
        <v>1814</v>
      </c>
      <c r="AN748" t="s">
        <v>2997</v>
      </c>
      <c r="AO748" t="s">
        <v>159</v>
      </c>
      <c r="AP748" t="s">
        <v>133</v>
      </c>
      <c r="AQ748" t="s">
        <v>14894</v>
      </c>
      <c r="AR748" t="s">
        <v>161</v>
      </c>
      <c r="AS748" t="s">
        <v>74</v>
      </c>
      <c r="AT748" t="s">
        <v>74</v>
      </c>
      <c r="AU748">
        <v>2026</v>
      </c>
      <c r="AV748">
        <v>15990</v>
      </c>
      <c r="AW748" t="s">
        <v>74</v>
      </c>
      <c r="AX748" t="s">
        <v>74</v>
      </c>
      <c r="AY748" t="s">
        <v>74</v>
      </c>
      <c r="AZ748" t="s">
        <v>74</v>
      </c>
      <c r="BA748" t="s">
        <v>74</v>
      </c>
      <c r="BB748">
        <v>341</v>
      </c>
      <c r="BC748">
        <v>351</v>
      </c>
      <c r="BD748" t="s">
        <v>74</v>
      </c>
      <c r="BE748" t="s">
        <v>14895</v>
      </c>
      <c r="BF748" t="str">
        <f>HYPERLINK("http://dx.doi.org/10.1007/978-981-95-4155-3_22","http://dx.doi.org/10.1007/978-981-95-4155-3_22")</f>
        <v>http://dx.doi.org/10.1007/978-981-95-4155-3_22</v>
      </c>
      <c r="BG748" t="s">
        <v>74</v>
      </c>
      <c r="BH748" t="s">
        <v>74</v>
      </c>
      <c r="BI748">
        <v>11</v>
      </c>
      <c r="BJ748" t="s">
        <v>1190</v>
      </c>
      <c r="BK748" t="s">
        <v>203</v>
      </c>
      <c r="BL748" t="s">
        <v>103</v>
      </c>
      <c r="BM748" t="s">
        <v>14896</v>
      </c>
      <c r="BN748" t="s">
        <v>74</v>
      </c>
      <c r="BO748" t="s">
        <v>74</v>
      </c>
      <c r="BP748" t="s">
        <v>74</v>
      </c>
      <c r="BQ748" t="s">
        <v>74</v>
      </c>
      <c r="BR748" t="s">
        <v>106</v>
      </c>
      <c r="BS748" t="s">
        <v>14897</v>
      </c>
      <c r="BT748" t="str">
        <f>HYPERLINK("https%3A%2F%2Fwww.webofscience.com%2Fwos%2Fwoscc%2Ffull-record%2FWOS:001758858100022","View Full Record in Web of Science")</f>
        <v>View Full Record in Web of Science</v>
      </c>
    </row>
    <row r="749" spans="1:72" x14ac:dyDescent="0.25">
      <c r="A749" t="s">
        <v>72</v>
      </c>
      <c r="B749" t="s">
        <v>14898</v>
      </c>
      <c r="C749" t="s">
        <v>74</v>
      </c>
      <c r="D749" t="s">
        <v>74</v>
      </c>
      <c r="E749" t="s">
        <v>74</v>
      </c>
      <c r="F749" t="s">
        <v>14899</v>
      </c>
      <c r="G749" t="s">
        <v>74</v>
      </c>
      <c r="H749" t="s">
        <v>74</v>
      </c>
      <c r="I749" t="s">
        <v>14900</v>
      </c>
      <c r="J749" t="s">
        <v>725</v>
      </c>
      <c r="K749" t="s">
        <v>74</v>
      </c>
      <c r="L749" t="s">
        <v>74</v>
      </c>
      <c r="M749" t="s">
        <v>78</v>
      </c>
      <c r="N749" t="s">
        <v>79</v>
      </c>
      <c r="O749" t="s">
        <v>74</v>
      </c>
      <c r="P749" t="s">
        <v>74</v>
      </c>
      <c r="Q749" t="s">
        <v>74</v>
      </c>
      <c r="R749" t="s">
        <v>74</v>
      </c>
      <c r="S749" t="s">
        <v>74</v>
      </c>
      <c r="T749" t="s">
        <v>14901</v>
      </c>
      <c r="U749" t="s">
        <v>14902</v>
      </c>
      <c r="V749" t="s">
        <v>14903</v>
      </c>
      <c r="W749" t="s">
        <v>14904</v>
      </c>
      <c r="X749" t="s">
        <v>14905</v>
      </c>
      <c r="Y749" t="s">
        <v>14906</v>
      </c>
      <c r="Z749" t="s">
        <v>14907</v>
      </c>
      <c r="AA749" t="s">
        <v>14908</v>
      </c>
      <c r="AB749" t="s">
        <v>14909</v>
      </c>
      <c r="AC749" t="s">
        <v>14910</v>
      </c>
      <c r="AD749" t="s">
        <v>14911</v>
      </c>
      <c r="AE749" t="s">
        <v>14912</v>
      </c>
      <c r="AF749" t="s">
        <v>74</v>
      </c>
      <c r="AG749">
        <v>54</v>
      </c>
      <c r="AH749">
        <v>3</v>
      </c>
      <c r="AI749">
        <v>3</v>
      </c>
      <c r="AJ749">
        <v>39</v>
      </c>
      <c r="AK749">
        <v>123</v>
      </c>
      <c r="AL749" t="s">
        <v>736</v>
      </c>
      <c r="AM749" t="s">
        <v>737</v>
      </c>
      <c r="AN749" t="s">
        <v>738</v>
      </c>
      <c r="AO749" t="s">
        <v>739</v>
      </c>
      <c r="AP749" t="s">
        <v>740</v>
      </c>
      <c r="AQ749" t="s">
        <v>74</v>
      </c>
      <c r="AR749" t="s">
        <v>741</v>
      </c>
      <c r="AS749" t="s">
        <v>742</v>
      </c>
      <c r="AT749" t="s">
        <v>1950</v>
      </c>
      <c r="AU749">
        <v>2026</v>
      </c>
      <c r="AV749">
        <v>241</v>
      </c>
      <c r="AW749" t="s">
        <v>74</v>
      </c>
      <c r="AX749" t="s">
        <v>74</v>
      </c>
      <c r="AY749" t="s">
        <v>74</v>
      </c>
      <c r="AZ749" t="s">
        <v>74</v>
      </c>
      <c r="BA749" t="s">
        <v>74</v>
      </c>
      <c r="BB749" t="s">
        <v>74</v>
      </c>
      <c r="BC749" t="s">
        <v>74</v>
      </c>
      <c r="BD749">
        <v>105474</v>
      </c>
      <c r="BE749" t="s">
        <v>14913</v>
      </c>
      <c r="BF749" t="str">
        <f>HYPERLINK("http://dx.doi.org/10.1016/j.compedu.2025.105474","http://dx.doi.org/10.1016/j.compedu.2025.105474")</f>
        <v>http://dx.doi.org/10.1016/j.compedu.2025.105474</v>
      </c>
      <c r="BG749" t="s">
        <v>74</v>
      </c>
      <c r="BH749" t="s">
        <v>612</v>
      </c>
      <c r="BI749">
        <v>27</v>
      </c>
      <c r="BJ749" t="s">
        <v>744</v>
      </c>
      <c r="BK749" t="s">
        <v>745</v>
      </c>
      <c r="BL749" t="s">
        <v>139</v>
      </c>
      <c r="BM749" t="s">
        <v>14914</v>
      </c>
      <c r="BN749" t="s">
        <v>74</v>
      </c>
      <c r="BO749" t="s">
        <v>74</v>
      </c>
      <c r="BP749" t="s">
        <v>74</v>
      </c>
      <c r="BQ749" t="s">
        <v>74</v>
      </c>
      <c r="BR749" t="s">
        <v>106</v>
      </c>
      <c r="BS749" t="s">
        <v>14915</v>
      </c>
      <c r="BT749" t="str">
        <f>HYPERLINK("https%3A%2F%2Fwww.webofscience.com%2Fwos%2Fwoscc%2Ffull-record%2FWOS:001597221400003","View Full Record in Web of Science")</f>
        <v>View Full Record in Web of Science</v>
      </c>
    </row>
    <row r="750" spans="1:72" x14ac:dyDescent="0.25">
      <c r="A750" t="s">
        <v>108</v>
      </c>
      <c r="B750" t="s">
        <v>14916</v>
      </c>
      <c r="C750" t="s">
        <v>74</v>
      </c>
      <c r="D750" t="s">
        <v>74</v>
      </c>
      <c r="E750" t="s">
        <v>14917</v>
      </c>
      <c r="F750" t="s">
        <v>14918</v>
      </c>
      <c r="G750" t="s">
        <v>74</v>
      </c>
      <c r="H750" t="s">
        <v>74</v>
      </c>
      <c r="I750" t="s">
        <v>14919</v>
      </c>
      <c r="J750" t="s">
        <v>14920</v>
      </c>
      <c r="K750" t="s">
        <v>74</v>
      </c>
      <c r="L750" t="s">
        <v>74</v>
      </c>
      <c r="M750" t="s">
        <v>78</v>
      </c>
      <c r="N750" t="s">
        <v>115</v>
      </c>
      <c r="O750" t="s">
        <v>14921</v>
      </c>
      <c r="P750" t="s">
        <v>14922</v>
      </c>
      <c r="Q750" t="s">
        <v>14923</v>
      </c>
      <c r="R750" t="s">
        <v>14924</v>
      </c>
      <c r="S750" t="s">
        <v>74</v>
      </c>
      <c r="T750" t="s">
        <v>74</v>
      </c>
      <c r="U750" t="s">
        <v>74</v>
      </c>
      <c r="V750" t="s">
        <v>14925</v>
      </c>
      <c r="W750" t="s">
        <v>14926</v>
      </c>
      <c r="X750" t="s">
        <v>14927</v>
      </c>
      <c r="Y750" t="s">
        <v>14928</v>
      </c>
      <c r="Z750" t="s">
        <v>14929</v>
      </c>
      <c r="AA750" t="s">
        <v>14930</v>
      </c>
      <c r="AB750" t="s">
        <v>74</v>
      </c>
      <c r="AC750" t="s">
        <v>74</v>
      </c>
      <c r="AD750" t="s">
        <v>74</v>
      </c>
      <c r="AE750" t="s">
        <v>74</v>
      </c>
      <c r="AF750" t="s">
        <v>74</v>
      </c>
      <c r="AG750">
        <v>37</v>
      </c>
      <c r="AH750">
        <v>82</v>
      </c>
      <c r="AI750">
        <v>84</v>
      </c>
      <c r="AJ750">
        <v>0</v>
      </c>
      <c r="AK750">
        <v>2</v>
      </c>
      <c r="AL750" t="s">
        <v>828</v>
      </c>
      <c r="AM750" t="s">
        <v>829</v>
      </c>
      <c r="AN750" t="s">
        <v>830</v>
      </c>
      <c r="AO750" t="s">
        <v>74</v>
      </c>
      <c r="AP750" t="s">
        <v>74</v>
      </c>
      <c r="AQ750" t="s">
        <v>14931</v>
      </c>
      <c r="AR750" t="s">
        <v>74</v>
      </c>
      <c r="AS750" t="s">
        <v>74</v>
      </c>
      <c r="AT750" t="s">
        <v>74</v>
      </c>
      <c r="AU750">
        <v>2022</v>
      </c>
      <c r="AV750" t="s">
        <v>74</v>
      </c>
      <c r="AW750" t="s">
        <v>74</v>
      </c>
      <c r="AX750" t="s">
        <v>74</v>
      </c>
      <c r="AY750" t="s">
        <v>74</v>
      </c>
      <c r="AZ750" t="s">
        <v>74</v>
      </c>
      <c r="BA750" t="s">
        <v>74</v>
      </c>
      <c r="BB750">
        <v>343</v>
      </c>
      <c r="BC750">
        <v>352</v>
      </c>
      <c r="BD750" t="s">
        <v>74</v>
      </c>
      <c r="BE750" t="s">
        <v>74</v>
      </c>
      <c r="BF750" t="s">
        <v>74</v>
      </c>
      <c r="BG750" t="s">
        <v>74</v>
      </c>
      <c r="BH750" t="s">
        <v>74</v>
      </c>
      <c r="BI750">
        <v>10</v>
      </c>
      <c r="BJ750" t="s">
        <v>14932</v>
      </c>
      <c r="BK750" t="s">
        <v>138</v>
      </c>
      <c r="BL750" t="s">
        <v>833</v>
      </c>
      <c r="BM750" t="s">
        <v>14933</v>
      </c>
      <c r="BN750" t="s">
        <v>74</v>
      </c>
      <c r="BO750" t="s">
        <v>74</v>
      </c>
      <c r="BP750" t="s">
        <v>74</v>
      </c>
      <c r="BQ750" t="s">
        <v>74</v>
      </c>
      <c r="BR750" t="s">
        <v>106</v>
      </c>
      <c r="BS750" t="s">
        <v>14934</v>
      </c>
      <c r="BT750" t="str">
        <f>HYPERLINK("https%3A%2F%2Fwww.webofscience.com%2Fwos%2Fwoscc%2Ffull-record%2FWOS:000828767400029","View Full Record in Web of Science")</f>
        <v>View Full Record in Web of Science</v>
      </c>
    </row>
    <row r="751" spans="1:72" x14ac:dyDescent="0.25">
      <c r="A751" t="s">
        <v>108</v>
      </c>
      <c r="B751" t="s">
        <v>14935</v>
      </c>
      <c r="C751" t="s">
        <v>74</v>
      </c>
      <c r="D751" t="s">
        <v>14936</v>
      </c>
      <c r="E751" t="s">
        <v>74</v>
      </c>
      <c r="F751" t="s">
        <v>14937</v>
      </c>
      <c r="G751" t="s">
        <v>74</v>
      </c>
      <c r="H751" t="s">
        <v>74</v>
      </c>
      <c r="I751" t="s">
        <v>14938</v>
      </c>
      <c r="J751" t="s">
        <v>14939</v>
      </c>
      <c r="K751" t="s">
        <v>114</v>
      </c>
      <c r="L751" t="s">
        <v>74</v>
      </c>
      <c r="M751" t="s">
        <v>78</v>
      </c>
      <c r="N751" t="s">
        <v>115</v>
      </c>
      <c r="O751" t="s">
        <v>14940</v>
      </c>
      <c r="P751" t="s">
        <v>14941</v>
      </c>
      <c r="Q751" t="s">
        <v>14942</v>
      </c>
      <c r="R751" t="s">
        <v>12285</v>
      </c>
      <c r="S751" t="s">
        <v>74</v>
      </c>
      <c r="T751" t="s">
        <v>74</v>
      </c>
      <c r="U751" t="s">
        <v>74</v>
      </c>
      <c r="V751" t="s">
        <v>14943</v>
      </c>
      <c r="W751" t="s">
        <v>14944</v>
      </c>
      <c r="X751" t="s">
        <v>14945</v>
      </c>
      <c r="Y751" t="s">
        <v>14946</v>
      </c>
      <c r="Z751" t="s">
        <v>14947</v>
      </c>
      <c r="AA751" t="s">
        <v>74</v>
      </c>
      <c r="AB751" t="s">
        <v>74</v>
      </c>
      <c r="AC751" t="s">
        <v>74</v>
      </c>
      <c r="AD751" t="s">
        <v>74</v>
      </c>
      <c r="AE751" t="s">
        <v>74</v>
      </c>
      <c r="AF751" t="s">
        <v>74</v>
      </c>
      <c r="AG751">
        <v>15</v>
      </c>
      <c r="AH751">
        <v>0</v>
      </c>
      <c r="AI751">
        <v>0</v>
      </c>
      <c r="AJ751">
        <v>0</v>
      </c>
      <c r="AK751">
        <v>0</v>
      </c>
      <c r="AL751" t="s">
        <v>129</v>
      </c>
      <c r="AM751" t="s">
        <v>130</v>
      </c>
      <c r="AN751" t="s">
        <v>131</v>
      </c>
      <c r="AO751" t="s">
        <v>159</v>
      </c>
      <c r="AP751" t="s">
        <v>133</v>
      </c>
      <c r="AQ751" t="s">
        <v>14948</v>
      </c>
      <c r="AR751" t="s">
        <v>135</v>
      </c>
      <c r="AS751" t="s">
        <v>74</v>
      </c>
      <c r="AT751" t="s">
        <v>74</v>
      </c>
      <c r="AU751">
        <v>2018</v>
      </c>
      <c r="AV751">
        <v>11298</v>
      </c>
      <c r="AW751" t="s">
        <v>74</v>
      </c>
      <c r="AX751" t="s">
        <v>74</v>
      </c>
      <c r="AY751" t="s">
        <v>74</v>
      </c>
      <c r="AZ751" t="s">
        <v>74</v>
      </c>
      <c r="BA751" t="s">
        <v>74</v>
      </c>
      <c r="BB751">
        <v>502</v>
      </c>
      <c r="BC751">
        <v>515</v>
      </c>
      <c r="BD751" t="s">
        <v>74</v>
      </c>
      <c r="BE751" t="s">
        <v>14949</v>
      </c>
      <c r="BF751" t="str">
        <f>HYPERLINK("http://dx.doi.org/10.1007/978-3-030-03840-3_37","http://dx.doi.org/10.1007/978-3-030-03840-3_37")</f>
        <v>http://dx.doi.org/10.1007/978-3-030-03840-3_37</v>
      </c>
      <c r="BG751" t="s">
        <v>74</v>
      </c>
      <c r="BH751" t="s">
        <v>74</v>
      </c>
      <c r="BI751">
        <v>14</v>
      </c>
      <c r="BJ751" t="s">
        <v>807</v>
      </c>
      <c r="BK751" t="s">
        <v>203</v>
      </c>
      <c r="BL751" t="s">
        <v>103</v>
      </c>
      <c r="BM751" t="s">
        <v>14950</v>
      </c>
      <c r="BN751" t="s">
        <v>74</v>
      </c>
      <c r="BO751" t="s">
        <v>74</v>
      </c>
      <c r="BP751" t="s">
        <v>74</v>
      </c>
      <c r="BQ751" t="s">
        <v>74</v>
      </c>
      <c r="BR751" t="s">
        <v>106</v>
      </c>
      <c r="BS751" t="s">
        <v>14951</v>
      </c>
      <c r="BT751" t="str">
        <f>HYPERLINK("https%3A%2F%2Fwww.webofscience.com%2Fwos%2Fwoscc%2Ffull-record%2FWOS:000590143900037","View Full Record in Web of Science")</f>
        <v>View Full Record in Web of Science</v>
      </c>
    </row>
    <row r="752" spans="1:72" x14ac:dyDescent="0.25">
      <c r="A752" t="s">
        <v>72</v>
      </c>
      <c r="B752" t="s">
        <v>14952</v>
      </c>
      <c r="C752" t="s">
        <v>74</v>
      </c>
      <c r="D752" t="s">
        <v>74</v>
      </c>
      <c r="E752" t="s">
        <v>74</v>
      </c>
      <c r="F752" t="s">
        <v>14953</v>
      </c>
      <c r="G752" t="s">
        <v>74</v>
      </c>
      <c r="H752" t="s">
        <v>74</v>
      </c>
      <c r="I752" t="s">
        <v>14954</v>
      </c>
      <c r="J752" t="s">
        <v>5652</v>
      </c>
      <c r="K752" t="s">
        <v>74</v>
      </c>
      <c r="L752" t="s">
        <v>74</v>
      </c>
      <c r="M752" t="s">
        <v>78</v>
      </c>
      <c r="N752" t="s">
        <v>79</v>
      </c>
      <c r="O752" t="s">
        <v>74</v>
      </c>
      <c r="P752" t="s">
        <v>74</v>
      </c>
      <c r="Q752" t="s">
        <v>74</v>
      </c>
      <c r="R752" t="s">
        <v>74</v>
      </c>
      <c r="S752" t="s">
        <v>74</v>
      </c>
      <c r="T752" t="s">
        <v>74</v>
      </c>
      <c r="U752" t="s">
        <v>14955</v>
      </c>
      <c r="V752" t="s">
        <v>14956</v>
      </c>
      <c r="W752" t="s">
        <v>14957</v>
      </c>
      <c r="X752" t="s">
        <v>14958</v>
      </c>
      <c r="Y752" t="s">
        <v>14959</v>
      </c>
      <c r="Z752" t="s">
        <v>14960</v>
      </c>
      <c r="AA752" t="s">
        <v>14961</v>
      </c>
      <c r="AB752" t="s">
        <v>14962</v>
      </c>
      <c r="AC752" t="s">
        <v>74</v>
      </c>
      <c r="AD752" t="s">
        <v>74</v>
      </c>
      <c r="AE752" t="s">
        <v>74</v>
      </c>
      <c r="AF752" t="s">
        <v>74</v>
      </c>
      <c r="AG752">
        <v>48</v>
      </c>
      <c r="AH752">
        <v>8</v>
      </c>
      <c r="AI752">
        <v>9</v>
      </c>
      <c r="AJ752">
        <v>1</v>
      </c>
      <c r="AK752">
        <v>4</v>
      </c>
      <c r="AL752" t="s">
        <v>1319</v>
      </c>
      <c r="AM752" t="s">
        <v>1320</v>
      </c>
      <c r="AN752" t="s">
        <v>1321</v>
      </c>
      <c r="AO752" t="s">
        <v>5662</v>
      </c>
      <c r="AP752" t="s">
        <v>5663</v>
      </c>
      <c r="AQ752" t="s">
        <v>74</v>
      </c>
      <c r="AR752" t="s">
        <v>5664</v>
      </c>
      <c r="AS752" t="s">
        <v>5665</v>
      </c>
      <c r="AT752" t="s">
        <v>14963</v>
      </c>
      <c r="AU752">
        <v>2022</v>
      </c>
      <c r="AV752">
        <v>2022</v>
      </c>
      <c r="AW752" t="s">
        <v>74</v>
      </c>
      <c r="AX752" t="s">
        <v>74</v>
      </c>
      <c r="AY752" t="s">
        <v>74</v>
      </c>
      <c r="AZ752" t="s">
        <v>74</v>
      </c>
      <c r="BA752" t="s">
        <v>74</v>
      </c>
      <c r="BB752" t="s">
        <v>74</v>
      </c>
      <c r="BC752" t="s">
        <v>74</v>
      </c>
      <c r="BD752">
        <v>6536908</v>
      </c>
      <c r="BE752" t="s">
        <v>14964</v>
      </c>
      <c r="BF752" t="str">
        <f>HYPERLINK("http://dx.doi.org/10.1155/2022/6536908","http://dx.doi.org/10.1155/2022/6536908")</f>
        <v>http://dx.doi.org/10.1155/2022/6536908</v>
      </c>
      <c r="BG752" t="s">
        <v>74</v>
      </c>
      <c r="BH752" t="s">
        <v>74</v>
      </c>
      <c r="BI752">
        <v>14</v>
      </c>
      <c r="BJ752" t="s">
        <v>3795</v>
      </c>
      <c r="BK752" t="s">
        <v>902</v>
      </c>
      <c r="BL752" t="s">
        <v>3796</v>
      </c>
      <c r="BM752" t="s">
        <v>14965</v>
      </c>
      <c r="BN752" t="s">
        <v>74</v>
      </c>
      <c r="BO752" t="s">
        <v>105</v>
      </c>
      <c r="BP752" t="s">
        <v>74</v>
      </c>
      <c r="BQ752" t="s">
        <v>74</v>
      </c>
      <c r="BR752" t="s">
        <v>106</v>
      </c>
      <c r="BS752" t="s">
        <v>14966</v>
      </c>
      <c r="BT752" t="str">
        <f>HYPERLINK("https%3A%2F%2Fwww.webofscience.com%2Fwos%2Fwoscc%2Ffull-record%2FWOS:000831317400002","View Full Record in Web of Science")</f>
        <v>View Full Record in Web of Science</v>
      </c>
    </row>
    <row r="753" spans="1:72" x14ac:dyDescent="0.25">
      <c r="A753" t="s">
        <v>72</v>
      </c>
      <c r="B753" t="s">
        <v>14967</v>
      </c>
      <c r="C753" t="s">
        <v>74</v>
      </c>
      <c r="D753" t="s">
        <v>74</v>
      </c>
      <c r="E753" t="s">
        <v>74</v>
      </c>
      <c r="F753" t="s">
        <v>14968</v>
      </c>
      <c r="G753" t="s">
        <v>74</v>
      </c>
      <c r="H753" t="s">
        <v>74</v>
      </c>
      <c r="I753" t="s">
        <v>14969</v>
      </c>
      <c r="J753" t="s">
        <v>14970</v>
      </c>
      <c r="K753" t="s">
        <v>74</v>
      </c>
      <c r="L753" t="s">
        <v>74</v>
      </c>
      <c r="M753" t="s">
        <v>14971</v>
      </c>
      <c r="N753" t="s">
        <v>79</v>
      </c>
      <c r="O753" t="s">
        <v>74</v>
      </c>
      <c r="P753" t="s">
        <v>74</v>
      </c>
      <c r="Q753" t="s">
        <v>74</v>
      </c>
      <c r="R753" t="s">
        <v>74</v>
      </c>
      <c r="S753" t="s">
        <v>74</v>
      </c>
      <c r="T753" t="s">
        <v>14972</v>
      </c>
      <c r="U753" t="s">
        <v>74</v>
      </c>
      <c r="V753" t="s">
        <v>14973</v>
      </c>
      <c r="W753" t="s">
        <v>14974</v>
      </c>
      <c r="X753" t="s">
        <v>9058</v>
      </c>
      <c r="Y753" t="s">
        <v>14975</v>
      </c>
      <c r="Z753" t="s">
        <v>74</v>
      </c>
      <c r="AA753" t="s">
        <v>74</v>
      </c>
      <c r="AB753" t="s">
        <v>74</v>
      </c>
      <c r="AC753" t="s">
        <v>74</v>
      </c>
      <c r="AD753" t="s">
        <v>74</v>
      </c>
      <c r="AE753" t="s">
        <v>74</v>
      </c>
      <c r="AF753" t="s">
        <v>74</v>
      </c>
      <c r="AG753">
        <v>32</v>
      </c>
      <c r="AH753">
        <v>0</v>
      </c>
      <c r="AI753">
        <v>0</v>
      </c>
      <c r="AJ753">
        <v>0</v>
      </c>
      <c r="AK753">
        <v>13</v>
      </c>
      <c r="AL753" t="s">
        <v>14976</v>
      </c>
      <c r="AM753" t="s">
        <v>14977</v>
      </c>
      <c r="AN753" t="s">
        <v>14978</v>
      </c>
      <c r="AO753" t="s">
        <v>14979</v>
      </c>
      <c r="AP753" t="s">
        <v>14980</v>
      </c>
      <c r="AQ753" t="s">
        <v>74</v>
      </c>
      <c r="AR753" t="s">
        <v>14981</v>
      </c>
      <c r="AS753" t="s">
        <v>14982</v>
      </c>
      <c r="AT753" t="s">
        <v>74</v>
      </c>
      <c r="AU753">
        <v>2008</v>
      </c>
      <c r="AV753" t="s">
        <v>74</v>
      </c>
      <c r="AW753">
        <v>37</v>
      </c>
      <c r="AX753" t="s">
        <v>74</v>
      </c>
      <c r="AY753" t="s">
        <v>74</v>
      </c>
      <c r="AZ753" t="s">
        <v>74</v>
      </c>
      <c r="BA753" t="s">
        <v>74</v>
      </c>
      <c r="BB753">
        <v>37</v>
      </c>
      <c r="BC753">
        <v>64</v>
      </c>
      <c r="BD753" t="s">
        <v>74</v>
      </c>
      <c r="BE753" t="s">
        <v>74</v>
      </c>
      <c r="BF753" t="s">
        <v>74</v>
      </c>
      <c r="BG753" t="s">
        <v>74</v>
      </c>
      <c r="BH753" t="s">
        <v>74</v>
      </c>
      <c r="BI753">
        <v>28</v>
      </c>
      <c r="BJ753" t="s">
        <v>14983</v>
      </c>
      <c r="BK753" t="s">
        <v>102</v>
      </c>
      <c r="BL753" t="s">
        <v>14983</v>
      </c>
      <c r="BM753" t="s">
        <v>14984</v>
      </c>
      <c r="BN753" t="s">
        <v>74</v>
      </c>
      <c r="BO753" t="s">
        <v>74</v>
      </c>
      <c r="BP753" t="s">
        <v>74</v>
      </c>
      <c r="BQ753" t="s">
        <v>74</v>
      </c>
      <c r="BR753" t="s">
        <v>106</v>
      </c>
      <c r="BS753" t="s">
        <v>14985</v>
      </c>
      <c r="BT753" t="str">
        <f>HYPERLINK("https%3A%2F%2Fwww.webofscience.com%2Fwos%2Fwoscc%2Ffull-record%2FWOS:000409761900003","View Full Record in Web of Science")</f>
        <v>View Full Record in Web of Science</v>
      </c>
    </row>
    <row r="754" spans="1:72" x14ac:dyDescent="0.25">
      <c r="A754" t="s">
        <v>72</v>
      </c>
      <c r="B754" t="s">
        <v>14986</v>
      </c>
      <c r="C754" t="s">
        <v>74</v>
      </c>
      <c r="D754" t="s">
        <v>74</v>
      </c>
      <c r="E754" t="s">
        <v>74</v>
      </c>
      <c r="F754" t="s">
        <v>14987</v>
      </c>
      <c r="G754" t="s">
        <v>74</v>
      </c>
      <c r="H754" t="s">
        <v>74</v>
      </c>
      <c r="I754" t="s">
        <v>14988</v>
      </c>
      <c r="J754" t="s">
        <v>14989</v>
      </c>
      <c r="K754" t="s">
        <v>74</v>
      </c>
      <c r="L754" t="s">
        <v>74</v>
      </c>
      <c r="M754" t="s">
        <v>78</v>
      </c>
      <c r="N754" t="s">
        <v>79</v>
      </c>
      <c r="O754" t="s">
        <v>74</v>
      </c>
      <c r="P754" t="s">
        <v>74</v>
      </c>
      <c r="Q754" t="s">
        <v>74</v>
      </c>
      <c r="R754" t="s">
        <v>74</v>
      </c>
      <c r="S754" t="s">
        <v>74</v>
      </c>
      <c r="T754" t="s">
        <v>14990</v>
      </c>
      <c r="U754" t="s">
        <v>74</v>
      </c>
      <c r="V754" t="s">
        <v>14991</v>
      </c>
      <c r="W754" t="s">
        <v>14992</v>
      </c>
      <c r="X754" t="s">
        <v>14993</v>
      </c>
      <c r="Y754" t="s">
        <v>14994</v>
      </c>
      <c r="Z754" t="s">
        <v>14995</v>
      </c>
      <c r="AA754" t="s">
        <v>14996</v>
      </c>
      <c r="AB754" t="s">
        <v>14997</v>
      </c>
      <c r="AC754" t="s">
        <v>14998</v>
      </c>
      <c r="AD754" t="s">
        <v>14999</v>
      </c>
      <c r="AE754" t="s">
        <v>74</v>
      </c>
      <c r="AF754" t="s">
        <v>74</v>
      </c>
      <c r="AG754">
        <v>19</v>
      </c>
      <c r="AH754">
        <v>24</v>
      </c>
      <c r="AI754">
        <v>26</v>
      </c>
      <c r="AJ754">
        <v>0</v>
      </c>
      <c r="AK754">
        <v>4</v>
      </c>
      <c r="AL754" t="s">
        <v>91</v>
      </c>
      <c r="AM754" t="s">
        <v>92</v>
      </c>
      <c r="AN754" t="s">
        <v>2307</v>
      </c>
      <c r="AO754" t="s">
        <v>15000</v>
      </c>
      <c r="AP754" t="s">
        <v>15001</v>
      </c>
      <c r="AQ754" t="s">
        <v>74</v>
      </c>
      <c r="AR754" t="s">
        <v>15002</v>
      </c>
      <c r="AS754" t="s">
        <v>15003</v>
      </c>
      <c r="AT754" t="s">
        <v>10167</v>
      </c>
      <c r="AU754">
        <v>2022</v>
      </c>
      <c r="AV754">
        <v>79</v>
      </c>
      <c r="AW754">
        <v>1</v>
      </c>
      <c r="AX754" t="s">
        <v>74</v>
      </c>
      <c r="AY754" t="s">
        <v>74</v>
      </c>
      <c r="AZ754" t="s">
        <v>74</v>
      </c>
      <c r="BA754" t="s">
        <v>74</v>
      </c>
      <c r="BB754">
        <v>11</v>
      </c>
      <c r="BC754">
        <v>16</v>
      </c>
      <c r="BD754" t="s">
        <v>74</v>
      </c>
      <c r="BE754" t="s">
        <v>15004</v>
      </c>
      <c r="BF754" t="str">
        <f>HYPERLINK("http://dx.doi.org/10.1016/j.jsurg.2021.07.003","http://dx.doi.org/10.1016/j.jsurg.2021.07.003")</f>
        <v>http://dx.doi.org/10.1016/j.jsurg.2021.07.003</v>
      </c>
      <c r="BG754" t="s">
        <v>74</v>
      </c>
      <c r="BH754" t="s">
        <v>15005</v>
      </c>
      <c r="BI754">
        <v>6</v>
      </c>
      <c r="BJ754" t="s">
        <v>15006</v>
      </c>
      <c r="BK754" t="s">
        <v>902</v>
      </c>
      <c r="BL754" t="s">
        <v>15007</v>
      </c>
      <c r="BM754" t="s">
        <v>15008</v>
      </c>
      <c r="BN754">
        <v>34315681</v>
      </c>
      <c r="BO754" t="s">
        <v>346</v>
      </c>
      <c r="BP754" t="s">
        <v>74</v>
      </c>
      <c r="BQ754" t="s">
        <v>74</v>
      </c>
      <c r="BR754" t="s">
        <v>106</v>
      </c>
      <c r="BS754" t="s">
        <v>15009</v>
      </c>
      <c r="BT754" t="str">
        <f>HYPERLINK("https%3A%2F%2Fwww.webofscience.com%2Fwos%2Fwoscc%2Ffull-record%2FWOS:000737575200004","View Full Record in Web of Science")</f>
        <v>View Full Record in Web of Science</v>
      </c>
    </row>
    <row r="755" spans="1:72" x14ac:dyDescent="0.25">
      <c r="A755" t="s">
        <v>72</v>
      </c>
      <c r="B755" t="s">
        <v>15010</v>
      </c>
      <c r="C755" t="s">
        <v>74</v>
      </c>
      <c r="D755" t="s">
        <v>74</v>
      </c>
      <c r="E755" t="s">
        <v>74</v>
      </c>
      <c r="F755" t="s">
        <v>15010</v>
      </c>
      <c r="G755" t="s">
        <v>74</v>
      </c>
      <c r="H755" t="s">
        <v>74</v>
      </c>
      <c r="I755" t="s">
        <v>15011</v>
      </c>
      <c r="J755" t="s">
        <v>13604</v>
      </c>
      <c r="K755" t="s">
        <v>74</v>
      </c>
      <c r="L755" t="s">
        <v>74</v>
      </c>
      <c r="M755" t="s">
        <v>78</v>
      </c>
      <c r="N755" t="s">
        <v>79</v>
      </c>
      <c r="O755" t="s">
        <v>74</v>
      </c>
      <c r="P755" t="s">
        <v>74</v>
      </c>
      <c r="Q755" t="s">
        <v>74</v>
      </c>
      <c r="R755" t="s">
        <v>74</v>
      </c>
      <c r="S755" t="s">
        <v>74</v>
      </c>
      <c r="T755" t="s">
        <v>74</v>
      </c>
      <c r="U755" t="s">
        <v>15012</v>
      </c>
      <c r="V755" t="s">
        <v>15013</v>
      </c>
      <c r="W755" t="s">
        <v>74</v>
      </c>
      <c r="X755" t="s">
        <v>74</v>
      </c>
      <c r="Y755" t="s">
        <v>15014</v>
      </c>
      <c r="Z755" t="s">
        <v>74</v>
      </c>
      <c r="AA755" t="s">
        <v>74</v>
      </c>
      <c r="AB755" t="s">
        <v>74</v>
      </c>
      <c r="AC755" t="s">
        <v>74</v>
      </c>
      <c r="AD755" t="s">
        <v>74</v>
      </c>
      <c r="AE755" t="s">
        <v>74</v>
      </c>
      <c r="AF755" t="s">
        <v>74</v>
      </c>
      <c r="AG755">
        <v>31</v>
      </c>
      <c r="AH755">
        <v>3</v>
      </c>
      <c r="AI755">
        <v>6</v>
      </c>
      <c r="AJ755">
        <v>0</v>
      </c>
      <c r="AK755">
        <v>2</v>
      </c>
      <c r="AL755" t="s">
        <v>4549</v>
      </c>
      <c r="AM755" t="s">
        <v>4550</v>
      </c>
      <c r="AN755" t="s">
        <v>4551</v>
      </c>
      <c r="AO755" t="s">
        <v>13611</v>
      </c>
      <c r="AP755" t="s">
        <v>15015</v>
      </c>
      <c r="AQ755" t="s">
        <v>74</v>
      </c>
      <c r="AR755" t="s">
        <v>13612</v>
      </c>
      <c r="AS755" t="s">
        <v>13613</v>
      </c>
      <c r="AT755" t="s">
        <v>1950</v>
      </c>
      <c r="AU755">
        <v>1996</v>
      </c>
      <c r="AV755">
        <v>48</v>
      </c>
      <c r="AW755">
        <v>1</v>
      </c>
      <c r="AX755" t="s">
        <v>74</v>
      </c>
      <c r="AY755" t="s">
        <v>74</v>
      </c>
      <c r="AZ755" t="s">
        <v>74</v>
      </c>
      <c r="BA755" t="s">
        <v>74</v>
      </c>
      <c r="BB755">
        <v>107</v>
      </c>
      <c r="BC755">
        <v>117</v>
      </c>
      <c r="BD755" t="s">
        <v>74</v>
      </c>
      <c r="BE755" t="s">
        <v>15016</v>
      </c>
      <c r="BF755" t="str">
        <f>HYPERLINK("http://dx.doi.org/10.1006/jvbe.1996.0011","http://dx.doi.org/10.1006/jvbe.1996.0011")</f>
        <v>http://dx.doi.org/10.1006/jvbe.1996.0011</v>
      </c>
      <c r="BG755" t="s">
        <v>74</v>
      </c>
      <c r="BH755" t="s">
        <v>74</v>
      </c>
      <c r="BI755">
        <v>11</v>
      </c>
      <c r="BJ755" t="s">
        <v>10400</v>
      </c>
      <c r="BK755" t="s">
        <v>250</v>
      </c>
      <c r="BL755" t="s">
        <v>251</v>
      </c>
      <c r="BM755" t="s">
        <v>13615</v>
      </c>
      <c r="BN755" t="s">
        <v>74</v>
      </c>
      <c r="BO755" t="s">
        <v>74</v>
      </c>
      <c r="BP755" t="s">
        <v>74</v>
      </c>
      <c r="BQ755" t="s">
        <v>74</v>
      </c>
      <c r="BR755" t="s">
        <v>106</v>
      </c>
      <c r="BS755" t="s">
        <v>15017</v>
      </c>
      <c r="BT755" t="str">
        <f>HYPERLINK("https%3A%2F%2Fwww.webofscience.com%2Fwos%2Fwoscc%2Ffull-record%2FWOS:A1996TU65800011","View Full Record in Web of Science")</f>
        <v>View Full Record in Web of Science</v>
      </c>
    </row>
    <row r="756" spans="1:72" x14ac:dyDescent="0.25">
      <c r="A756" t="s">
        <v>72</v>
      </c>
      <c r="B756" t="s">
        <v>15018</v>
      </c>
      <c r="C756" t="s">
        <v>74</v>
      </c>
      <c r="D756" t="s">
        <v>74</v>
      </c>
      <c r="E756" t="s">
        <v>74</v>
      </c>
      <c r="F756" t="s">
        <v>15019</v>
      </c>
      <c r="G756" t="s">
        <v>74</v>
      </c>
      <c r="H756" t="s">
        <v>74</v>
      </c>
      <c r="I756" t="s">
        <v>15020</v>
      </c>
      <c r="J756" t="s">
        <v>15021</v>
      </c>
      <c r="K756" t="s">
        <v>74</v>
      </c>
      <c r="L756" t="s">
        <v>74</v>
      </c>
      <c r="M756" t="s">
        <v>78</v>
      </c>
      <c r="N756" t="s">
        <v>79</v>
      </c>
      <c r="O756" t="s">
        <v>74</v>
      </c>
      <c r="P756" t="s">
        <v>74</v>
      </c>
      <c r="Q756" t="s">
        <v>74</v>
      </c>
      <c r="R756" t="s">
        <v>74</v>
      </c>
      <c r="S756" t="s">
        <v>74</v>
      </c>
      <c r="T756" t="s">
        <v>15022</v>
      </c>
      <c r="U756" t="s">
        <v>15023</v>
      </c>
      <c r="V756" t="s">
        <v>15024</v>
      </c>
      <c r="W756" t="s">
        <v>15025</v>
      </c>
      <c r="X756" t="s">
        <v>15026</v>
      </c>
      <c r="Y756" t="s">
        <v>15027</v>
      </c>
      <c r="Z756" t="s">
        <v>15028</v>
      </c>
      <c r="AA756" t="s">
        <v>15029</v>
      </c>
      <c r="AB756" t="s">
        <v>74</v>
      </c>
      <c r="AC756" t="s">
        <v>15030</v>
      </c>
      <c r="AD756" t="s">
        <v>15031</v>
      </c>
      <c r="AE756" t="s">
        <v>15032</v>
      </c>
      <c r="AF756" t="s">
        <v>74</v>
      </c>
      <c r="AG756">
        <v>49</v>
      </c>
      <c r="AH756">
        <v>0</v>
      </c>
      <c r="AI756">
        <v>0</v>
      </c>
      <c r="AJ756">
        <v>2</v>
      </c>
      <c r="AK756">
        <v>2</v>
      </c>
      <c r="AL756" t="s">
        <v>362</v>
      </c>
      <c r="AM756" t="s">
        <v>363</v>
      </c>
      <c r="AN756" t="s">
        <v>364</v>
      </c>
      <c r="AO756" t="s">
        <v>15033</v>
      </c>
      <c r="AP756" t="s">
        <v>15034</v>
      </c>
      <c r="AQ756" t="s">
        <v>74</v>
      </c>
      <c r="AR756" t="s">
        <v>15035</v>
      </c>
      <c r="AS756" t="s">
        <v>15036</v>
      </c>
      <c r="AT756" t="s">
        <v>368</v>
      </c>
      <c r="AU756">
        <v>2026</v>
      </c>
      <c r="AV756">
        <v>235</v>
      </c>
      <c r="AW756" t="s">
        <v>74</v>
      </c>
      <c r="AX756" t="s">
        <v>74</v>
      </c>
      <c r="AY756" t="s">
        <v>74</v>
      </c>
      <c r="AZ756" t="s">
        <v>74</v>
      </c>
      <c r="BA756" t="s">
        <v>74</v>
      </c>
      <c r="BB756">
        <v>211</v>
      </c>
      <c r="BC756">
        <v>223</v>
      </c>
      <c r="BD756" t="s">
        <v>74</v>
      </c>
      <c r="BE756" t="s">
        <v>15037</v>
      </c>
      <c r="BF756" t="str">
        <f>HYPERLINK("http://dx.doi.org/10.1016/j.isprsjprs.2026.03.005","http://dx.doi.org/10.1016/j.isprsjprs.2026.03.005")</f>
        <v>http://dx.doi.org/10.1016/j.isprsjprs.2026.03.005</v>
      </c>
      <c r="BG756" t="s">
        <v>74</v>
      </c>
      <c r="BH756" t="s">
        <v>74</v>
      </c>
      <c r="BI756">
        <v>13</v>
      </c>
      <c r="BJ756" t="s">
        <v>15038</v>
      </c>
      <c r="BK756" t="s">
        <v>902</v>
      </c>
      <c r="BL756" t="s">
        <v>15039</v>
      </c>
      <c r="BM756" t="s">
        <v>15040</v>
      </c>
      <c r="BN756" t="s">
        <v>74</v>
      </c>
      <c r="BO756" t="s">
        <v>74</v>
      </c>
      <c r="BP756" t="s">
        <v>74</v>
      </c>
      <c r="BQ756" t="s">
        <v>74</v>
      </c>
      <c r="BR756" t="s">
        <v>106</v>
      </c>
      <c r="BS756" t="s">
        <v>15041</v>
      </c>
      <c r="BT756" t="str">
        <f>HYPERLINK("https%3A%2F%2Fwww.webofscience.com%2Fwos%2Fwoscc%2Ffull-record%2FWOS:001716234000001","View Full Record in Web of Science")</f>
        <v>View Full Record in Web of Science</v>
      </c>
    </row>
    <row r="757" spans="1:72" x14ac:dyDescent="0.25">
      <c r="A757" t="s">
        <v>72</v>
      </c>
      <c r="B757" t="s">
        <v>15042</v>
      </c>
      <c r="C757" t="s">
        <v>74</v>
      </c>
      <c r="D757" t="s">
        <v>74</v>
      </c>
      <c r="E757" t="s">
        <v>74</v>
      </c>
      <c r="F757" t="s">
        <v>15043</v>
      </c>
      <c r="G757" t="s">
        <v>74</v>
      </c>
      <c r="H757" t="s">
        <v>74</v>
      </c>
      <c r="I757" t="s">
        <v>15044</v>
      </c>
      <c r="J757" t="s">
        <v>10091</v>
      </c>
      <c r="K757" t="s">
        <v>74</v>
      </c>
      <c r="L757" t="s">
        <v>74</v>
      </c>
      <c r="M757" t="s">
        <v>78</v>
      </c>
      <c r="N757" t="s">
        <v>10845</v>
      </c>
      <c r="O757" t="s">
        <v>74</v>
      </c>
      <c r="P757" t="s">
        <v>74</v>
      </c>
      <c r="Q757" t="s">
        <v>74</v>
      </c>
      <c r="R757" t="s">
        <v>74</v>
      </c>
      <c r="S757" t="s">
        <v>74</v>
      </c>
      <c r="T757" t="s">
        <v>15045</v>
      </c>
      <c r="U757" t="s">
        <v>15046</v>
      </c>
      <c r="V757" t="s">
        <v>15047</v>
      </c>
      <c r="W757" t="s">
        <v>15048</v>
      </c>
      <c r="X757" t="s">
        <v>15049</v>
      </c>
      <c r="Y757" t="s">
        <v>15050</v>
      </c>
      <c r="Z757" t="s">
        <v>15051</v>
      </c>
      <c r="AA757" t="s">
        <v>74</v>
      </c>
      <c r="AB757" t="s">
        <v>74</v>
      </c>
      <c r="AC757" t="s">
        <v>74</v>
      </c>
      <c r="AD757" t="s">
        <v>74</v>
      </c>
      <c r="AE757" t="s">
        <v>74</v>
      </c>
      <c r="AF757" t="s">
        <v>74</v>
      </c>
      <c r="AG757">
        <v>49</v>
      </c>
      <c r="AH757">
        <v>0</v>
      </c>
      <c r="AI757">
        <v>0</v>
      </c>
      <c r="AJ757">
        <v>3</v>
      </c>
      <c r="AK757">
        <v>3</v>
      </c>
      <c r="AL757" t="s">
        <v>10100</v>
      </c>
      <c r="AM757" t="s">
        <v>10101</v>
      </c>
      <c r="AN757" t="s">
        <v>10102</v>
      </c>
      <c r="AO757" t="s">
        <v>10103</v>
      </c>
      <c r="AP757" t="s">
        <v>10104</v>
      </c>
      <c r="AQ757" t="s">
        <v>74</v>
      </c>
      <c r="AR757" t="s">
        <v>10105</v>
      </c>
      <c r="AS757" t="s">
        <v>10106</v>
      </c>
      <c r="AT757" t="s">
        <v>15052</v>
      </c>
      <c r="AU757">
        <v>2026</v>
      </c>
      <c r="AV757" t="s">
        <v>74</v>
      </c>
      <c r="AW757" t="s">
        <v>74</v>
      </c>
      <c r="AX757" t="s">
        <v>74</v>
      </c>
      <c r="AY757" t="s">
        <v>74</v>
      </c>
      <c r="AZ757" t="s">
        <v>74</v>
      </c>
      <c r="BA757" t="s">
        <v>74</v>
      </c>
      <c r="BB757" t="s">
        <v>74</v>
      </c>
      <c r="BC757" t="s">
        <v>74</v>
      </c>
      <c r="BD757" t="s">
        <v>74</v>
      </c>
      <c r="BE757" t="s">
        <v>15053</v>
      </c>
      <c r="BF757" t="str">
        <f>HYPERLINK("http://dx.doi.org/10.1123/jtpe.2025-0026","http://dx.doi.org/10.1123/jtpe.2025-0026")</f>
        <v>http://dx.doi.org/10.1123/jtpe.2025-0026</v>
      </c>
      <c r="BG757" t="s">
        <v>74</v>
      </c>
      <c r="BH757" t="s">
        <v>13896</v>
      </c>
      <c r="BI757">
        <v>11</v>
      </c>
      <c r="BJ757" t="s">
        <v>10109</v>
      </c>
      <c r="BK757" t="s">
        <v>745</v>
      </c>
      <c r="BL757" t="s">
        <v>10109</v>
      </c>
      <c r="BM757" t="s">
        <v>15054</v>
      </c>
      <c r="BN757" t="s">
        <v>74</v>
      </c>
      <c r="BO757" t="s">
        <v>74</v>
      </c>
      <c r="BP757" t="s">
        <v>74</v>
      </c>
      <c r="BQ757" t="s">
        <v>74</v>
      </c>
      <c r="BR757" t="s">
        <v>106</v>
      </c>
      <c r="BS757" t="s">
        <v>15055</v>
      </c>
      <c r="BT757" t="str">
        <f>HYPERLINK("https%3A%2F%2Fwww.webofscience.com%2Fwos%2Fwoscc%2Ffull-record%2FWOS:001760837500001","View Full Record in Web of Science")</f>
        <v>View Full Record in Web of Science</v>
      </c>
    </row>
    <row r="758" spans="1:72" x14ac:dyDescent="0.25">
      <c r="A758" t="s">
        <v>108</v>
      </c>
      <c r="B758" t="s">
        <v>15056</v>
      </c>
      <c r="C758" t="s">
        <v>74</v>
      </c>
      <c r="D758" t="s">
        <v>15057</v>
      </c>
      <c r="E758" t="s">
        <v>74</v>
      </c>
      <c r="F758" t="s">
        <v>15058</v>
      </c>
      <c r="G758" t="s">
        <v>74</v>
      </c>
      <c r="H758" t="s">
        <v>74</v>
      </c>
      <c r="I758" t="s">
        <v>15059</v>
      </c>
      <c r="J758" t="s">
        <v>15060</v>
      </c>
      <c r="K758" t="s">
        <v>74</v>
      </c>
      <c r="L758" t="s">
        <v>74</v>
      </c>
      <c r="M758" t="s">
        <v>78</v>
      </c>
      <c r="N758" t="s">
        <v>115</v>
      </c>
      <c r="O758" t="s">
        <v>15061</v>
      </c>
      <c r="P758" t="s">
        <v>15062</v>
      </c>
      <c r="Q758" t="s">
        <v>15063</v>
      </c>
      <c r="R758" t="s">
        <v>15064</v>
      </c>
      <c r="S758" t="s">
        <v>74</v>
      </c>
      <c r="T758" t="s">
        <v>74</v>
      </c>
      <c r="U758" t="s">
        <v>74</v>
      </c>
      <c r="V758" t="s">
        <v>15065</v>
      </c>
      <c r="W758" t="s">
        <v>15066</v>
      </c>
      <c r="X758" t="s">
        <v>15067</v>
      </c>
      <c r="Y758" t="s">
        <v>15068</v>
      </c>
      <c r="Z758" t="s">
        <v>15069</v>
      </c>
      <c r="AA758" t="s">
        <v>15070</v>
      </c>
      <c r="AB758" t="s">
        <v>74</v>
      </c>
      <c r="AC758" t="s">
        <v>15071</v>
      </c>
      <c r="AD758" t="s">
        <v>15072</v>
      </c>
      <c r="AE758" t="s">
        <v>15073</v>
      </c>
      <c r="AF758" t="s">
        <v>74</v>
      </c>
      <c r="AG758">
        <v>23</v>
      </c>
      <c r="AH758">
        <v>1</v>
      </c>
      <c r="AI758">
        <v>1</v>
      </c>
      <c r="AJ758">
        <v>0</v>
      </c>
      <c r="AK758">
        <v>1</v>
      </c>
      <c r="AL758" t="s">
        <v>828</v>
      </c>
      <c r="AM758" t="s">
        <v>829</v>
      </c>
      <c r="AN758" t="s">
        <v>830</v>
      </c>
      <c r="AO758" t="s">
        <v>74</v>
      </c>
      <c r="AP758" t="s">
        <v>74</v>
      </c>
      <c r="AQ758" t="s">
        <v>15074</v>
      </c>
      <c r="AR758" t="s">
        <v>74</v>
      </c>
      <c r="AS758" t="s">
        <v>74</v>
      </c>
      <c r="AT758" t="s">
        <v>74</v>
      </c>
      <c r="AU758">
        <v>2024</v>
      </c>
      <c r="AV758" t="s">
        <v>74</v>
      </c>
      <c r="AW758" t="s">
        <v>74</v>
      </c>
      <c r="AX758" t="s">
        <v>74</v>
      </c>
      <c r="AY758" t="s">
        <v>74</v>
      </c>
      <c r="AZ758" t="s">
        <v>74</v>
      </c>
      <c r="BA758" t="s">
        <v>74</v>
      </c>
      <c r="BB758">
        <v>2984</v>
      </c>
      <c r="BC758">
        <v>2993</v>
      </c>
      <c r="BD758" t="s">
        <v>74</v>
      </c>
      <c r="BE758" t="s">
        <v>74</v>
      </c>
      <c r="BF758" t="s">
        <v>74</v>
      </c>
      <c r="BG758" t="s">
        <v>74</v>
      </c>
      <c r="BH758" t="s">
        <v>74</v>
      </c>
      <c r="BI758">
        <v>10</v>
      </c>
      <c r="BJ758" t="s">
        <v>15075</v>
      </c>
      <c r="BK758" t="s">
        <v>138</v>
      </c>
      <c r="BL758" t="s">
        <v>833</v>
      </c>
      <c r="BM758" t="s">
        <v>15076</v>
      </c>
      <c r="BN758" t="s">
        <v>74</v>
      </c>
      <c r="BO758" t="s">
        <v>74</v>
      </c>
      <c r="BP758" t="s">
        <v>74</v>
      </c>
      <c r="BQ758" t="s">
        <v>74</v>
      </c>
      <c r="BR758" t="s">
        <v>106</v>
      </c>
      <c r="BS758" t="s">
        <v>15077</v>
      </c>
      <c r="BT758" t="str">
        <f>HYPERLINK("https%3A%2F%2Fwww.webofscience.com%2Fwos%2Fwoscc%2Ffull-record%2FWOS:001511154403005","View Full Record in Web of Science")</f>
        <v>View Full Record in Web of Science</v>
      </c>
    </row>
    <row r="759" spans="1:72" x14ac:dyDescent="0.25">
      <c r="A759" t="s">
        <v>72</v>
      </c>
      <c r="B759" t="s">
        <v>15078</v>
      </c>
      <c r="C759" t="s">
        <v>74</v>
      </c>
      <c r="D759" t="s">
        <v>74</v>
      </c>
      <c r="E759" t="s">
        <v>74</v>
      </c>
      <c r="F759" t="s">
        <v>15079</v>
      </c>
      <c r="G759" t="s">
        <v>74</v>
      </c>
      <c r="H759" t="s">
        <v>74</v>
      </c>
      <c r="I759" t="s">
        <v>15080</v>
      </c>
      <c r="J759" t="s">
        <v>15081</v>
      </c>
      <c r="K759" t="s">
        <v>74</v>
      </c>
      <c r="L759" t="s">
        <v>74</v>
      </c>
      <c r="M759" t="s">
        <v>78</v>
      </c>
      <c r="N759" t="s">
        <v>79</v>
      </c>
      <c r="O759" t="s">
        <v>74</v>
      </c>
      <c r="P759" t="s">
        <v>74</v>
      </c>
      <c r="Q759" t="s">
        <v>74</v>
      </c>
      <c r="R759" t="s">
        <v>74</v>
      </c>
      <c r="S759" t="s">
        <v>74</v>
      </c>
      <c r="T759" t="s">
        <v>15082</v>
      </c>
      <c r="U759" t="s">
        <v>74</v>
      </c>
      <c r="V759" t="s">
        <v>15083</v>
      </c>
      <c r="W759" t="s">
        <v>15084</v>
      </c>
      <c r="X759" t="s">
        <v>15085</v>
      </c>
      <c r="Y759" t="s">
        <v>15086</v>
      </c>
      <c r="Z759" t="s">
        <v>15087</v>
      </c>
      <c r="AA759" t="s">
        <v>74</v>
      </c>
      <c r="AB759" t="s">
        <v>74</v>
      </c>
      <c r="AC759" t="s">
        <v>74</v>
      </c>
      <c r="AD759" t="s">
        <v>74</v>
      </c>
      <c r="AE759" t="s">
        <v>74</v>
      </c>
      <c r="AF759" t="s">
        <v>74</v>
      </c>
      <c r="AG759">
        <v>23</v>
      </c>
      <c r="AH759">
        <v>0</v>
      </c>
      <c r="AI759">
        <v>0</v>
      </c>
      <c r="AJ759">
        <v>1</v>
      </c>
      <c r="AK759">
        <v>1</v>
      </c>
      <c r="AL759" t="s">
        <v>3157</v>
      </c>
      <c r="AM759" t="s">
        <v>3158</v>
      </c>
      <c r="AN759" t="s">
        <v>3159</v>
      </c>
      <c r="AO759" t="s">
        <v>15088</v>
      </c>
      <c r="AP759" t="s">
        <v>15089</v>
      </c>
      <c r="AQ759" t="s">
        <v>74</v>
      </c>
      <c r="AR759" t="s">
        <v>15090</v>
      </c>
      <c r="AS759" t="s">
        <v>15091</v>
      </c>
      <c r="AT759" t="s">
        <v>74</v>
      </c>
      <c r="AU759">
        <v>2025</v>
      </c>
      <c r="AV759">
        <v>77</v>
      </c>
      <c r="AW759" t="s">
        <v>1476</v>
      </c>
      <c r="AX759" t="s">
        <v>74</v>
      </c>
      <c r="AY759" t="s">
        <v>74</v>
      </c>
      <c r="AZ759" t="s">
        <v>74</v>
      </c>
      <c r="BA759" t="s">
        <v>74</v>
      </c>
      <c r="BB759">
        <v>74</v>
      </c>
      <c r="BC759">
        <v>84</v>
      </c>
      <c r="BD759" t="s">
        <v>74</v>
      </c>
      <c r="BE759" t="s">
        <v>15092</v>
      </c>
      <c r="BF759" t="str">
        <f>HYPERLINK("http://dx.doi.org/10.1504/IJCAT.2025.149865","http://dx.doi.org/10.1504/IJCAT.2025.149865")</f>
        <v>http://dx.doi.org/10.1504/IJCAT.2025.149865</v>
      </c>
      <c r="BG759" t="s">
        <v>74</v>
      </c>
      <c r="BH759" t="s">
        <v>74</v>
      </c>
      <c r="BI759">
        <v>11</v>
      </c>
      <c r="BJ759" t="s">
        <v>101</v>
      </c>
      <c r="BK759" t="s">
        <v>102</v>
      </c>
      <c r="BL759" t="s">
        <v>103</v>
      </c>
      <c r="BM759" t="s">
        <v>15093</v>
      </c>
      <c r="BN759" t="s">
        <v>74</v>
      </c>
      <c r="BO759" t="s">
        <v>74</v>
      </c>
      <c r="BP759" t="s">
        <v>74</v>
      </c>
      <c r="BQ759" t="s">
        <v>74</v>
      </c>
      <c r="BR759" t="s">
        <v>106</v>
      </c>
      <c r="BS759" t="s">
        <v>15094</v>
      </c>
      <c r="BT759" t="str">
        <f>HYPERLINK("https%3A%2F%2Fwww.webofscience.com%2Fwos%2Fwoscc%2Ffull-record%2FWOS:001715993700001","View Full Record in Web of Science")</f>
        <v>View Full Record in Web of Science</v>
      </c>
    </row>
    <row r="760" spans="1:72" x14ac:dyDescent="0.25">
      <c r="A760" t="s">
        <v>72</v>
      </c>
      <c r="B760" t="s">
        <v>15095</v>
      </c>
      <c r="C760" t="s">
        <v>74</v>
      </c>
      <c r="D760" t="s">
        <v>74</v>
      </c>
      <c r="E760" t="s">
        <v>74</v>
      </c>
      <c r="F760" t="s">
        <v>15096</v>
      </c>
      <c r="G760" t="s">
        <v>74</v>
      </c>
      <c r="H760" t="s">
        <v>74</v>
      </c>
      <c r="I760" t="s">
        <v>15097</v>
      </c>
      <c r="J760" t="s">
        <v>15098</v>
      </c>
      <c r="K760" t="s">
        <v>74</v>
      </c>
      <c r="L760" t="s">
        <v>74</v>
      </c>
      <c r="M760" t="s">
        <v>78</v>
      </c>
      <c r="N760" t="s">
        <v>79</v>
      </c>
      <c r="O760" t="s">
        <v>74</v>
      </c>
      <c r="P760" t="s">
        <v>74</v>
      </c>
      <c r="Q760" t="s">
        <v>74</v>
      </c>
      <c r="R760" t="s">
        <v>74</v>
      </c>
      <c r="S760" t="s">
        <v>74</v>
      </c>
      <c r="T760" t="s">
        <v>15099</v>
      </c>
      <c r="U760" t="s">
        <v>15100</v>
      </c>
      <c r="V760" t="s">
        <v>15101</v>
      </c>
      <c r="W760" t="s">
        <v>15102</v>
      </c>
      <c r="X760" t="s">
        <v>15103</v>
      </c>
      <c r="Y760" t="s">
        <v>15104</v>
      </c>
      <c r="Z760" t="s">
        <v>15105</v>
      </c>
      <c r="AA760" t="s">
        <v>15106</v>
      </c>
      <c r="AB760" t="s">
        <v>15107</v>
      </c>
      <c r="AC760" t="s">
        <v>15108</v>
      </c>
      <c r="AD760" t="s">
        <v>15109</v>
      </c>
      <c r="AE760" t="s">
        <v>15110</v>
      </c>
      <c r="AF760" t="s">
        <v>74</v>
      </c>
      <c r="AG760">
        <v>47</v>
      </c>
      <c r="AH760">
        <v>2</v>
      </c>
      <c r="AI760">
        <v>2</v>
      </c>
      <c r="AJ760">
        <v>0</v>
      </c>
      <c r="AK760">
        <v>4</v>
      </c>
      <c r="AL760" t="s">
        <v>6065</v>
      </c>
      <c r="AM760" t="s">
        <v>6066</v>
      </c>
      <c r="AN760" t="s">
        <v>15111</v>
      </c>
      <c r="AO760" t="s">
        <v>74</v>
      </c>
      <c r="AP760" t="s">
        <v>15112</v>
      </c>
      <c r="AQ760" t="s">
        <v>74</v>
      </c>
      <c r="AR760" t="s">
        <v>15113</v>
      </c>
      <c r="AS760" t="s">
        <v>15114</v>
      </c>
      <c r="AT760" t="s">
        <v>15115</v>
      </c>
      <c r="AU760">
        <v>2024</v>
      </c>
      <c r="AV760">
        <v>19</v>
      </c>
      <c r="AW760" t="s">
        <v>74</v>
      </c>
      <c r="AX760" t="s">
        <v>74</v>
      </c>
      <c r="AY760" t="s">
        <v>74</v>
      </c>
      <c r="AZ760" t="s">
        <v>74</v>
      </c>
      <c r="BA760" t="s">
        <v>74</v>
      </c>
      <c r="BB760" t="s">
        <v>74</v>
      </c>
      <c r="BC760" t="s">
        <v>74</v>
      </c>
      <c r="BD760">
        <v>31</v>
      </c>
      <c r="BE760" t="s">
        <v>15116</v>
      </c>
      <c r="BF760" t="str">
        <f>HYPERLINK("http://dx.doi.org/10.58459/rptel.2024.19031","http://dx.doi.org/10.58459/rptel.2024.19031")</f>
        <v>http://dx.doi.org/10.58459/rptel.2024.19031</v>
      </c>
      <c r="BG760" t="s">
        <v>74</v>
      </c>
      <c r="BH760" t="s">
        <v>74</v>
      </c>
      <c r="BI760">
        <v>27</v>
      </c>
      <c r="BJ760" t="s">
        <v>318</v>
      </c>
      <c r="BK760" t="s">
        <v>102</v>
      </c>
      <c r="BL760" t="s">
        <v>318</v>
      </c>
      <c r="BM760" t="s">
        <v>15117</v>
      </c>
      <c r="BN760" t="s">
        <v>74</v>
      </c>
      <c r="BO760" t="s">
        <v>372</v>
      </c>
      <c r="BP760" t="s">
        <v>74</v>
      </c>
      <c r="BQ760" t="s">
        <v>74</v>
      </c>
      <c r="BR760" t="s">
        <v>106</v>
      </c>
      <c r="BS760" t="s">
        <v>15118</v>
      </c>
      <c r="BT760" t="str">
        <f>HYPERLINK("https%3A%2F%2Fwww.webofscience.com%2Fwos%2Fwoscc%2Ffull-record%2FWOS:001193271800001","View Full Record in Web of Science")</f>
        <v>View Full Record in Web of Science</v>
      </c>
    </row>
    <row r="761" spans="1:72" x14ac:dyDescent="0.25">
      <c r="A761" t="s">
        <v>72</v>
      </c>
      <c r="B761" t="s">
        <v>15119</v>
      </c>
      <c r="C761" t="s">
        <v>74</v>
      </c>
      <c r="D761" t="s">
        <v>74</v>
      </c>
      <c r="E761" t="s">
        <v>74</v>
      </c>
      <c r="F761" t="s">
        <v>15120</v>
      </c>
      <c r="G761" t="s">
        <v>74</v>
      </c>
      <c r="H761" t="s">
        <v>74</v>
      </c>
      <c r="I761" t="s">
        <v>15121</v>
      </c>
      <c r="J761" t="s">
        <v>15122</v>
      </c>
      <c r="K761" t="s">
        <v>74</v>
      </c>
      <c r="L761" t="s">
        <v>74</v>
      </c>
      <c r="M761" t="s">
        <v>78</v>
      </c>
      <c r="N761" t="s">
        <v>79</v>
      </c>
      <c r="O761" t="s">
        <v>74</v>
      </c>
      <c r="P761" t="s">
        <v>74</v>
      </c>
      <c r="Q761" t="s">
        <v>74</v>
      </c>
      <c r="R761" t="s">
        <v>74</v>
      </c>
      <c r="S761" t="s">
        <v>74</v>
      </c>
      <c r="T761" t="s">
        <v>15123</v>
      </c>
      <c r="U761" t="s">
        <v>74</v>
      </c>
      <c r="V761" t="s">
        <v>15124</v>
      </c>
      <c r="W761" t="s">
        <v>15125</v>
      </c>
      <c r="X761" t="s">
        <v>15126</v>
      </c>
      <c r="Y761" t="s">
        <v>15127</v>
      </c>
      <c r="Z761" t="s">
        <v>15128</v>
      </c>
      <c r="AA761" t="s">
        <v>15129</v>
      </c>
      <c r="AB761" t="s">
        <v>15130</v>
      </c>
      <c r="AC761" t="s">
        <v>74</v>
      </c>
      <c r="AD761" t="s">
        <v>74</v>
      </c>
      <c r="AE761" t="s">
        <v>74</v>
      </c>
      <c r="AF761" t="s">
        <v>74</v>
      </c>
      <c r="AG761">
        <v>18</v>
      </c>
      <c r="AH761">
        <v>0</v>
      </c>
      <c r="AI761">
        <v>0</v>
      </c>
      <c r="AJ761">
        <v>0</v>
      </c>
      <c r="AK761">
        <v>8</v>
      </c>
      <c r="AL761" t="s">
        <v>15131</v>
      </c>
      <c r="AM761" t="s">
        <v>15132</v>
      </c>
      <c r="AN761" t="s">
        <v>15133</v>
      </c>
      <c r="AO761" t="s">
        <v>15134</v>
      </c>
      <c r="AP761" t="s">
        <v>15135</v>
      </c>
      <c r="AQ761" t="s">
        <v>74</v>
      </c>
      <c r="AR761" t="s">
        <v>15136</v>
      </c>
      <c r="AS761" t="s">
        <v>15137</v>
      </c>
      <c r="AT761" t="s">
        <v>1166</v>
      </c>
      <c r="AU761">
        <v>2016</v>
      </c>
      <c r="AV761">
        <v>36</v>
      </c>
      <c r="AW761">
        <v>4</v>
      </c>
      <c r="AX761" t="s">
        <v>74</v>
      </c>
      <c r="AY761" t="s">
        <v>74</v>
      </c>
      <c r="AZ761" t="s">
        <v>74</v>
      </c>
      <c r="BA761" t="s">
        <v>74</v>
      </c>
      <c r="BB761">
        <v>199</v>
      </c>
      <c r="BC761">
        <v>204</v>
      </c>
      <c r="BD761" t="s">
        <v>74</v>
      </c>
      <c r="BE761" t="s">
        <v>15138</v>
      </c>
      <c r="BF761" t="str">
        <f>HYPERLINK("http://dx.doi.org/10.14429/djlit.36.4.9600","http://dx.doi.org/10.14429/djlit.36.4.9600")</f>
        <v>http://dx.doi.org/10.14429/djlit.36.4.9600</v>
      </c>
      <c r="BG761" t="s">
        <v>74</v>
      </c>
      <c r="BH761" t="s">
        <v>74</v>
      </c>
      <c r="BI761">
        <v>6</v>
      </c>
      <c r="BJ761" t="s">
        <v>1041</v>
      </c>
      <c r="BK761" t="s">
        <v>102</v>
      </c>
      <c r="BL761" t="s">
        <v>1041</v>
      </c>
      <c r="BM761" t="s">
        <v>15139</v>
      </c>
      <c r="BN761" t="s">
        <v>74</v>
      </c>
      <c r="BO761" t="s">
        <v>372</v>
      </c>
      <c r="BP761" t="s">
        <v>74</v>
      </c>
      <c r="BQ761" t="s">
        <v>74</v>
      </c>
      <c r="BR761" t="s">
        <v>106</v>
      </c>
      <c r="BS761" t="s">
        <v>15140</v>
      </c>
      <c r="BT761" t="str">
        <f>HYPERLINK("https%3A%2F%2Fwww.webofscience.com%2Fwos%2Fwoscc%2Ffull-record%2FWOS:000390698900003","View Full Record in Web of Science")</f>
        <v>View Full Record in Web of Science</v>
      </c>
    </row>
    <row r="762" spans="1:72" x14ac:dyDescent="0.25">
      <c r="A762" t="s">
        <v>72</v>
      </c>
      <c r="B762" t="s">
        <v>15141</v>
      </c>
      <c r="C762" t="s">
        <v>74</v>
      </c>
      <c r="D762" t="s">
        <v>74</v>
      </c>
      <c r="E762" t="s">
        <v>74</v>
      </c>
      <c r="F762" t="s">
        <v>15142</v>
      </c>
      <c r="G762" t="s">
        <v>74</v>
      </c>
      <c r="H762" t="s">
        <v>74</v>
      </c>
      <c r="I762" t="s">
        <v>15143</v>
      </c>
      <c r="J762" t="s">
        <v>3941</v>
      </c>
      <c r="K762" t="s">
        <v>74</v>
      </c>
      <c r="L762" t="s">
        <v>74</v>
      </c>
      <c r="M762" t="s">
        <v>78</v>
      </c>
      <c r="N762" t="s">
        <v>79</v>
      </c>
      <c r="O762" t="s">
        <v>74</v>
      </c>
      <c r="P762" t="s">
        <v>74</v>
      </c>
      <c r="Q762" t="s">
        <v>74</v>
      </c>
      <c r="R762" t="s">
        <v>74</v>
      </c>
      <c r="S762" t="s">
        <v>74</v>
      </c>
      <c r="T762" t="s">
        <v>15144</v>
      </c>
      <c r="U762" t="s">
        <v>74</v>
      </c>
      <c r="V762" t="s">
        <v>15145</v>
      </c>
      <c r="W762" t="s">
        <v>15146</v>
      </c>
      <c r="X762" t="s">
        <v>5539</v>
      </c>
      <c r="Y762" t="s">
        <v>7005</v>
      </c>
      <c r="Z762" t="s">
        <v>15147</v>
      </c>
      <c r="AA762" t="s">
        <v>5542</v>
      </c>
      <c r="AB762" t="s">
        <v>5543</v>
      </c>
      <c r="AC762" t="s">
        <v>15148</v>
      </c>
      <c r="AD762" t="s">
        <v>15149</v>
      </c>
      <c r="AE762" t="s">
        <v>15150</v>
      </c>
      <c r="AF762" t="s">
        <v>74</v>
      </c>
      <c r="AG762">
        <v>39</v>
      </c>
      <c r="AH762">
        <v>37</v>
      </c>
      <c r="AI762">
        <v>41</v>
      </c>
      <c r="AJ762">
        <v>0</v>
      </c>
      <c r="AK762">
        <v>44</v>
      </c>
      <c r="AL762" t="s">
        <v>736</v>
      </c>
      <c r="AM762" t="s">
        <v>737</v>
      </c>
      <c r="AN762" t="s">
        <v>738</v>
      </c>
      <c r="AO762" t="s">
        <v>3947</v>
      </c>
      <c r="AP762" t="s">
        <v>3948</v>
      </c>
      <c r="AQ762" t="s">
        <v>74</v>
      </c>
      <c r="AR762" t="s">
        <v>3949</v>
      </c>
      <c r="AS762" t="s">
        <v>3950</v>
      </c>
      <c r="AT762" t="s">
        <v>1251</v>
      </c>
      <c r="AU762">
        <v>2017</v>
      </c>
      <c r="AV762">
        <v>65</v>
      </c>
      <c r="AW762" t="s">
        <v>74</v>
      </c>
      <c r="AX762" t="s">
        <v>74</v>
      </c>
      <c r="AY762" t="s">
        <v>74</v>
      </c>
      <c r="AZ762" t="s">
        <v>74</v>
      </c>
      <c r="BA762" t="s">
        <v>74</v>
      </c>
      <c r="BB762">
        <v>52</v>
      </c>
      <c r="BC762">
        <v>64</v>
      </c>
      <c r="BD762" t="s">
        <v>74</v>
      </c>
      <c r="BE762" t="s">
        <v>15151</v>
      </c>
      <c r="BF762" t="str">
        <f>HYPERLINK("http://dx.doi.org/10.1016/j.is.2016.11.003","http://dx.doi.org/10.1016/j.is.2016.11.003")</f>
        <v>http://dx.doi.org/10.1016/j.is.2016.11.003</v>
      </c>
      <c r="BG762" t="s">
        <v>74</v>
      </c>
      <c r="BH762" t="s">
        <v>74</v>
      </c>
      <c r="BI762">
        <v>13</v>
      </c>
      <c r="BJ762" t="s">
        <v>852</v>
      </c>
      <c r="BK762" t="s">
        <v>902</v>
      </c>
      <c r="BL762" t="s">
        <v>103</v>
      </c>
      <c r="BM762" t="s">
        <v>15152</v>
      </c>
      <c r="BN762" t="s">
        <v>74</v>
      </c>
      <c r="BO762" t="s">
        <v>74</v>
      </c>
      <c r="BP762" t="s">
        <v>74</v>
      </c>
      <c r="BQ762" t="s">
        <v>74</v>
      </c>
      <c r="BR762" t="s">
        <v>106</v>
      </c>
      <c r="BS762" t="s">
        <v>15153</v>
      </c>
      <c r="BT762" t="str">
        <f>HYPERLINK("https%3A%2F%2Fwww.webofscience.com%2Fwos%2Fwoscc%2Ffull-record%2FWOS:000393631700005","View Full Record in Web of Science")</f>
        <v>View Full Record in Web of Science</v>
      </c>
    </row>
    <row r="763" spans="1:72" x14ac:dyDescent="0.25">
      <c r="A763" t="s">
        <v>108</v>
      </c>
      <c r="B763" t="s">
        <v>15154</v>
      </c>
      <c r="C763" t="s">
        <v>74</v>
      </c>
      <c r="D763" t="s">
        <v>74</v>
      </c>
      <c r="E763" t="s">
        <v>15155</v>
      </c>
      <c r="F763" t="s">
        <v>15156</v>
      </c>
      <c r="G763" t="s">
        <v>74</v>
      </c>
      <c r="H763" t="s">
        <v>74</v>
      </c>
      <c r="I763" t="s">
        <v>15157</v>
      </c>
      <c r="J763" t="s">
        <v>15158</v>
      </c>
      <c r="K763" t="s">
        <v>15159</v>
      </c>
      <c r="L763" t="s">
        <v>74</v>
      </c>
      <c r="M763" t="s">
        <v>78</v>
      </c>
      <c r="N763" t="s">
        <v>115</v>
      </c>
      <c r="O763" t="s">
        <v>15160</v>
      </c>
      <c r="P763" t="s">
        <v>15161</v>
      </c>
      <c r="Q763" t="s">
        <v>15162</v>
      </c>
      <c r="R763" t="s">
        <v>15163</v>
      </c>
      <c r="S763" t="s">
        <v>74</v>
      </c>
      <c r="T763" t="s">
        <v>74</v>
      </c>
      <c r="U763" t="s">
        <v>74</v>
      </c>
      <c r="V763" t="s">
        <v>15164</v>
      </c>
      <c r="W763" t="s">
        <v>15165</v>
      </c>
      <c r="X763" t="s">
        <v>7887</v>
      </c>
      <c r="Y763" t="s">
        <v>15166</v>
      </c>
      <c r="Z763" t="s">
        <v>74</v>
      </c>
      <c r="AA763" t="s">
        <v>15167</v>
      </c>
      <c r="AB763" t="s">
        <v>15168</v>
      </c>
      <c r="AC763" t="s">
        <v>74</v>
      </c>
      <c r="AD763" t="s">
        <v>74</v>
      </c>
      <c r="AE763" t="s">
        <v>74</v>
      </c>
      <c r="AF763" t="s">
        <v>74</v>
      </c>
      <c r="AG763">
        <v>33</v>
      </c>
      <c r="AH763">
        <v>40</v>
      </c>
      <c r="AI763">
        <v>58</v>
      </c>
      <c r="AJ763">
        <v>0</v>
      </c>
      <c r="AK763">
        <v>3</v>
      </c>
      <c r="AL763" t="s">
        <v>947</v>
      </c>
      <c r="AM763" t="s">
        <v>948</v>
      </c>
      <c r="AN763" t="s">
        <v>949</v>
      </c>
      <c r="AO763" t="s">
        <v>15169</v>
      </c>
      <c r="AP763" t="s">
        <v>74</v>
      </c>
      <c r="AQ763" t="s">
        <v>15170</v>
      </c>
      <c r="AR763" t="s">
        <v>15171</v>
      </c>
      <c r="AS763" t="s">
        <v>74</v>
      </c>
      <c r="AT763" t="s">
        <v>74</v>
      </c>
      <c r="AU763">
        <v>2011</v>
      </c>
      <c r="AV763" t="s">
        <v>74</v>
      </c>
      <c r="AW763" t="s">
        <v>74</v>
      </c>
      <c r="AX763" t="s">
        <v>74</v>
      </c>
      <c r="AY763" t="s">
        <v>74</v>
      </c>
      <c r="AZ763" t="s">
        <v>74</v>
      </c>
      <c r="BA763" t="s">
        <v>74</v>
      </c>
      <c r="BB763">
        <v>131</v>
      </c>
      <c r="BC763">
        <v>146</v>
      </c>
      <c r="BD763" t="s">
        <v>74</v>
      </c>
      <c r="BE763" t="s">
        <v>15172</v>
      </c>
      <c r="BF763" t="str">
        <f>HYPERLINK("http://dx.doi.org/10.1109/SP.2011.37","http://dx.doi.org/10.1109/SP.2011.37")</f>
        <v>http://dx.doi.org/10.1109/SP.2011.37</v>
      </c>
      <c r="BG763" t="s">
        <v>74</v>
      </c>
      <c r="BH763" t="s">
        <v>74</v>
      </c>
      <c r="BI763">
        <v>16</v>
      </c>
      <c r="BJ763" t="s">
        <v>696</v>
      </c>
      <c r="BK763" t="s">
        <v>203</v>
      </c>
      <c r="BL763" t="s">
        <v>103</v>
      </c>
      <c r="BM763" t="s">
        <v>15173</v>
      </c>
      <c r="BN763" t="s">
        <v>74</v>
      </c>
      <c r="BO763" t="s">
        <v>74</v>
      </c>
      <c r="BP763" t="s">
        <v>74</v>
      </c>
      <c r="BQ763" t="s">
        <v>74</v>
      </c>
      <c r="BR763" t="s">
        <v>106</v>
      </c>
      <c r="BS763" t="s">
        <v>15174</v>
      </c>
      <c r="BT763" t="str">
        <f>HYPERLINK("https%3A%2F%2Fwww.webofscience.com%2Fwos%2Fwoscc%2Ffull-record%2FWOS:000295408400009","View Full Record in Web of Science")</f>
        <v>View Full Record in Web of Science</v>
      </c>
    </row>
    <row r="764" spans="1:72" x14ac:dyDescent="0.25">
      <c r="A764" t="s">
        <v>72</v>
      </c>
      <c r="B764" t="s">
        <v>15175</v>
      </c>
      <c r="C764" t="s">
        <v>74</v>
      </c>
      <c r="D764" t="s">
        <v>74</v>
      </c>
      <c r="E764" t="s">
        <v>74</v>
      </c>
      <c r="F764" t="s">
        <v>15176</v>
      </c>
      <c r="G764" t="s">
        <v>74</v>
      </c>
      <c r="H764" t="s">
        <v>74</v>
      </c>
      <c r="I764" t="s">
        <v>15177</v>
      </c>
      <c r="J764" t="s">
        <v>15178</v>
      </c>
      <c r="K764" t="s">
        <v>74</v>
      </c>
      <c r="L764" t="s">
        <v>74</v>
      </c>
      <c r="M764" t="s">
        <v>12912</v>
      </c>
      <c r="N764" t="s">
        <v>79</v>
      </c>
      <c r="O764" t="s">
        <v>74</v>
      </c>
      <c r="P764" t="s">
        <v>74</v>
      </c>
      <c r="Q764" t="s">
        <v>74</v>
      </c>
      <c r="R764" t="s">
        <v>74</v>
      </c>
      <c r="S764" t="s">
        <v>74</v>
      </c>
      <c r="T764" t="s">
        <v>15179</v>
      </c>
      <c r="U764" t="s">
        <v>15180</v>
      </c>
      <c r="V764" t="s">
        <v>15181</v>
      </c>
      <c r="W764" t="s">
        <v>15182</v>
      </c>
      <c r="X764" t="s">
        <v>15183</v>
      </c>
      <c r="Y764" t="s">
        <v>15184</v>
      </c>
      <c r="Z764" t="s">
        <v>15185</v>
      </c>
      <c r="AA764" t="s">
        <v>15186</v>
      </c>
      <c r="AB764" t="s">
        <v>15187</v>
      </c>
      <c r="AC764" t="s">
        <v>74</v>
      </c>
      <c r="AD764" t="s">
        <v>74</v>
      </c>
      <c r="AE764" t="s">
        <v>74</v>
      </c>
      <c r="AF764" t="s">
        <v>74</v>
      </c>
      <c r="AG764">
        <v>47</v>
      </c>
      <c r="AH764">
        <v>4</v>
      </c>
      <c r="AI764">
        <v>4</v>
      </c>
      <c r="AJ764">
        <v>0</v>
      </c>
      <c r="AK764">
        <v>3</v>
      </c>
      <c r="AL764" t="s">
        <v>15188</v>
      </c>
      <c r="AM764" t="s">
        <v>15189</v>
      </c>
      <c r="AN764" t="s">
        <v>15190</v>
      </c>
      <c r="AO764" t="s">
        <v>15191</v>
      </c>
      <c r="AP764" t="s">
        <v>15192</v>
      </c>
      <c r="AQ764" t="s">
        <v>74</v>
      </c>
      <c r="AR764" t="s">
        <v>15178</v>
      </c>
      <c r="AS764" t="s">
        <v>15193</v>
      </c>
      <c r="AT764" t="s">
        <v>15194</v>
      </c>
      <c r="AU764">
        <v>2024</v>
      </c>
      <c r="AV764">
        <v>53</v>
      </c>
      <c r="AW764">
        <v>3</v>
      </c>
      <c r="AX764" t="s">
        <v>74</v>
      </c>
      <c r="AY764" t="s">
        <v>74</v>
      </c>
      <c r="AZ764" t="s">
        <v>74</v>
      </c>
      <c r="BA764" t="s">
        <v>74</v>
      </c>
      <c r="BB764">
        <v>277</v>
      </c>
      <c r="BC764">
        <v>283</v>
      </c>
      <c r="BD764" t="s">
        <v>74</v>
      </c>
      <c r="BE764" t="s">
        <v>15195</v>
      </c>
      <c r="BF764" t="str">
        <f>HYPERLINK("http://dx.doi.org/10.17811/rifie.21004","http://dx.doi.org/10.17811/rifie.21004")</f>
        <v>http://dx.doi.org/10.17811/rifie.21004</v>
      </c>
      <c r="BG764" t="s">
        <v>74</v>
      </c>
      <c r="BH764" t="s">
        <v>74</v>
      </c>
      <c r="BI764">
        <v>7</v>
      </c>
      <c r="BJ764" t="s">
        <v>318</v>
      </c>
      <c r="BK764" t="s">
        <v>102</v>
      </c>
      <c r="BL764" t="s">
        <v>318</v>
      </c>
      <c r="BM764" t="s">
        <v>15196</v>
      </c>
      <c r="BN764" t="s">
        <v>74</v>
      </c>
      <c r="BO764" t="s">
        <v>6888</v>
      </c>
      <c r="BP764" t="s">
        <v>74</v>
      </c>
      <c r="BQ764" t="s">
        <v>74</v>
      </c>
      <c r="BR764" t="s">
        <v>106</v>
      </c>
      <c r="BS764" t="s">
        <v>15197</v>
      </c>
      <c r="BT764" t="str">
        <f>HYPERLINK("https%3A%2F%2Fwww.webofscience.com%2Fwos%2Fwoscc%2Ffull-record%2FWOS:001330453600008","View Full Record in Web of Science")</f>
        <v>View Full Record in Web of Science</v>
      </c>
    </row>
    <row r="765" spans="1:72" x14ac:dyDescent="0.25">
      <c r="A765" t="s">
        <v>108</v>
      </c>
      <c r="B765" t="s">
        <v>15198</v>
      </c>
      <c r="C765" t="s">
        <v>74</v>
      </c>
      <c r="D765" t="s">
        <v>15199</v>
      </c>
      <c r="E765" t="s">
        <v>74</v>
      </c>
      <c r="F765" t="s">
        <v>15200</v>
      </c>
      <c r="G765" t="s">
        <v>74</v>
      </c>
      <c r="H765" t="s">
        <v>74</v>
      </c>
      <c r="I765" t="s">
        <v>15201</v>
      </c>
      <c r="J765" t="s">
        <v>15202</v>
      </c>
      <c r="K765" t="s">
        <v>74</v>
      </c>
      <c r="L765" t="s">
        <v>74</v>
      </c>
      <c r="M765" t="s">
        <v>78</v>
      </c>
      <c r="N765" t="s">
        <v>115</v>
      </c>
      <c r="O765" t="s">
        <v>15203</v>
      </c>
      <c r="P765" t="s">
        <v>15204</v>
      </c>
      <c r="Q765" t="s">
        <v>4669</v>
      </c>
      <c r="R765" t="s">
        <v>15205</v>
      </c>
      <c r="S765" t="s">
        <v>74</v>
      </c>
      <c r="T765" t="s">
        <v>15206</v>
      </c>
      <c r="U765" t="s">
        <v>9854</v>
      </c>
      <c r="V765" t="s">
        <v>15207</v>
      </c>
      <c r="W765" t="s">
        <v>15208</v>
      </c>
      <c r="X765" t="s">
        <v>15209</v>
      </c>
      <c r="Y765" t="s">
        <v>15210</v>
      </c>
      <c r="Z765" t="s">
        <v>74</v>
      </c>
      <c r="AA765" t="s">
        <v>15211</v>
      </c>
      <c r="AB765" t="s">
        <v>15212</v>
      </c>
      <c r="AC765" t="s">
        <v>15213</v>
      </c>
      <c r="AD765" t="s">
        <v>15214</v>
      </c>
      <c r="AE765" t="s">
        <v>15215</v>
      </c>
      <c r="AF765" t="s">
        <v>74</v>
      </c>
      <c r="AG765">
        <v>23</v>
      </c>
      <c r="AH765">
        <v>1</v>
      </c>
      <c r="AI765">
        <v>2</v>
      </c>
      <c r="AJ765">
        <v>1</v>
      </c>
      <c r="AK765">
        <v>3</v>
      </c>
      <c r="AL765" t="s">
        <v>465</v>
      </c>
      <c r="AM765" t="s">
        <v>92</v>
      </c>
      <c r="AN765" t="s">
        <v>480</v>
      </c>
      <c r="AO765" t="s">
        <v>74</v>
      </c>
      <c r="AP765" t="s">
        <v>74</v>
      </c>
      <c r="AQ765" t="s">
        <v>15216</v>
      </c>
      <c r="AR765" t="s">
        <v>74</v>
      </c>
      <c r="AS765" t="s">
        <v>74</v>
      </c>
      <c r="AT765" t="s">
        <v>74</v>
      </c>
      <c r="AU765">
        <v>2021</v>
      </c>
      <c r="AV765" t="s">
        <v>74</v>
      </c>
      <c r="AW765" t="s">
        <v>74</v>
      </c>
      <c r="AX765" t="s">
        <v>74</v>
      </c>
      <c r="AY765" t="s">
        <v>74</v>
      </c>
      <c r="AZ765" t="s">
        <v>74</v>
      </c>
      <c r="BA765" t="s">
        <v>74</v>
      </c>
      <c r="BB765">
        <v>297</v>
      </c>
      <c r="BC765">
        <v>303</v>
      </c>
      <c r="BD765" t="s">
        <v>74</v>
      </c>
      <c r="BE765" t="s">
        <v>15217</v>
      </c>
      <c r="BF765" t="str">
        <f>HYPERLINK("http://dx.doi.org/10.23919/ILRN52045.2021.9459381","http://dx.doi.org/10.23919/ILRN52045.2021.9459381")</f>
        <v>http://dx.doi.org/10.23919/ILRN52045.2021.9459381</v>
      </c>
      <c r="BG765" t="s">
        <v>74</v>
      </c>
      <c r="BH765" t="s">
        <v>74</v>
      </c>
      <c r="BI765">
        <v>7</v>
      </c>
      <c r="BJ765" t="s">
        <v>15218</v>
      </c>
      <c r="BK765" t="s">
        <v>203</v>
      </c>
      <c r="BL765" t="s">
        <v>139</v>
      </c>
      <c r="BM765" t="s">
        <v>15219</v>
      </c>
      <c r="BN765" t="s">
        <v>74</v>
      </c>
      <c r="BO765" t="s">
        <v>346</v>
      </c>
      <c r="BP765" t="s">
        <v>74</v>
      </c>
      <c r="BQ765" t="s">
        <v>74</v>
      </c>
      <c r="BR765" t="s">
        <v>106</v>
      </c>
      <c r="BS765" t="s">
        <v>15220</v>
      </c>
      <c r="BT765" t="str">
        <f>HYPERLINK("https%3A%2F%2Fwww.webofscience.com%2Fwos%2Fwoscc%2Ffull-record%2FWOS:000694861600060","View Full Record in Web of Science")</f>
        <v>View Full Record in Web of Science</v>
      </c>
    </row>
    <row r="766" spans="1:72" x14ac:dyDescent="0.25">
      <c r="A766" t="s">
        <v>72</v>
      </c>
      <c r="B766" t="s">
        <v>14025</v>
      </c>
      <c r="C766" t="s">
        <v>74</v>
      </c>
      <c r="D766" t="s">
        <v>74</v>
      </c>
      <c r="E766" t="s">
        <v>74</v>
      </c>
      <c r="F766" t="s">
        <v>14025</v>
      </c>
      <c r="G766" t="s">
        <v>74</v>
      </c>
      <c r="H766" t="s">
        <v>74</v>
      </c>
      <c r="I766" t="s">
        <v>15221</v>
      </c>
      <c r="J766" t="s">
        <v>15222</v>
      </c>
      <c r="K766" t="s">
        <v>74</v>
      </c>
      <c r="L766" t="s">
        <v>74</v>
      </c>
      <c r="M766" t="s">
        <v>78</v>
      </c>
      <c r="N766" t="s">
        <v>79</v>
      </c>
      <c r="O766" t="s">
        <v>74</v>
      </c>
      <c r="P766" t="s">
        <v>74</v>
      </c>
      <c r="Q766" t="s">
        <v>74</v>
      </c>
      <c r="R766" t="s">
        <v>74</v>
      </c>
      <c r="S766" t="s">
        <v>74</v>
      </c>
      <c r="T766" t="s">
        <v>74</v>
      </c>
      <c r="U766" t="s">
        <v>74</v>
      </c>
      <c r="V766" t="s">
        <v>15223</v>
      </c>
      <c r="W766" t="s">
        <v>15224</v>
      </c>
      <c r="X766" t="s">
        <v>14032</v>
      </c>
      <c r="Y766" t="s">
        <v>15225</v>
      </c>
      <c r="Z766" t="s">
        <v>74</v>
      </c>
      <c r="AA766" t="s">
        <v>74</v>
      </c>
      <c r="AB766" t="s">
        <v>74</v>
      </c>
      <c r="AC766" t="s">
        <v>74</v>
      </c>
      <c r="AD766" t="s">
        <v>74</v>
      </c>
      <c r="AE766" t="s">
        <v>74</v>
      </c>
      <c r="AF766" t="s">
        <v>74</v>
      </c>
      <c r="AG766">
        <v>3</v>
      </c>
      <c r="AH766">
        <v>1</v>
      </c>
      <c r="AI766">
        <v>1</v>
      </c>
      <c r="AJ766">
        <v>0</v>
      </c>
      <c r="AK766">
        <v>5</v>
      </c>
      <c r="AL766" t="s">
        <v>15222</v>
      </c>
      <c r="AM766" t="s">
        <v>15226</v>
      </c>
      <c r="AN766" t="s">
        <v>15227</v>
      </c>
      <c r="AO766" t="s">
        <v>15228</v>
      </c>
      <c r="AP766" t="s">
        <v>74</v>
      </c>
      <c r="AQ766" t="s">
        <v>74</v>
      </c>
      <c r="AR766" t="s">
        <v>15229</v>
      </c>
      <c r="AS766" t="s">
        <v>15230</v>
      </c>
      <c r="AT766" t="s">
        <v>1375</v>
      </c>
      <c r="AU766">
        <v>2003</v>
      </c>
      <c r="AV766">
        <v>92</v>
      </c>
      <c r="AW766">
        <v>3</v>
      </c>
      <c r="AX766">
        <v>2</v>
      </c>
      <c r="AY766" t="s">
        <v>74</v>
      </c>
      <c r="AZ766" t="s">
        <v>74</v>
      </c>
      <c r="BA766" t="s">
        <v>74</v>
      </c>
      <c r="BB766">
        <v>1061</v>
      </c>
      <c r="BC766">
        <v>1064</v>
      </c>
      <c r="BD766" t="s">
        <v>74</v>
      </c>
      <c r="BE766" t="s">
        <v>74</v>
      </c>
      <c r="BF766" t="s">
        <v>74</v>
      </c>
      <c r="BG766" t="s">
        <v>74</v>
      </c>
      <c r="BH766" t="s">
        <v>74</v>
      </c>
      <c r="BI766">
        <v>4</v>
      </c>
      <c r="BJ766" t="s">
        <v>2446</v>
      </c>
      <c r="BK766" t="s">
        <v>250</v>
      </c>
      <c r="BL766" t="s">
        <v>251</v>
      </c>
      <c r="BM766" t="s">
        <v>15231</v>
      </c>
      <c r="BN766">
        <v>12931916</v>
      </c>
      <c r="BO766" t="s">
        <v>74</v>
      </c>
      <c r="BP766" t="s">
        <v>74</v>
      </c>
      <c r="BQ766" t="s">
        <v>74</v>
      </c>
      <c r="BR766" t="s">
        <v>106</v>
      </c>
      <c r="BS766" t="s">
        <v>15232</v>
      </c>
      <c r="BT766" t="str">
        <f>HYPERLINK("https%3A%2F%2Fwww.webofscience.com%2Fwos%2Fwoscc%2Ffull-record%2FWOS:000184261800003","View Full Record in Web of Science")</f>
        <v>View Full Record in Web of Science</v>
      </c>
    </row>
    <row r="767" spans="1:72" x14ac:dyDescent="0.25">
      <c r="A767" t="s">
        <v>72</v>
      </c>
      <c r="B767" t="s">
        <v>15233</v>
      </c>
      <c r="C767" t="s">
        <v>74</v>
      </c>
      <c r="D767" t="s">
        <v>74</v>
      </c>
      <c r="E767" t="s">
        <v>74</v>
      </c>
      <c r="F767" t="s">
        <v>15234</v>
      </c>
      <c r="G767" t="s">
        <v>74</v>
      </c>
      <c r="H767" t="s">
        <v>74</v>
      </c>
      <c r="I767" t="s">
        <v>15235</v>
      </c>
      <c r="J767" t="s">
        <v>1532</v>
      </c>
      <c r="K767" t="s">
        <v>74</v>
      </c>
      <c r="L767" t="s">
        <v>74</v>
      </c>
      <c r="M767" t="s">
        <v>78</v>
      </c>
      <c r="N767" t="s">
        <v>79</v>
      </c>
      <c r="O767" t="s">
        <v>74</v>
      </c>
      <c r="P767" t="s">
        <v>74</v>
      </c>
      <c r="Q767" t="s">
        <v>74</v>
      </c>
      <c r="R767" t="s">
        <v>74</v>
      </c>
      <c r="S767" t="s">
        <v>74</v>
      </c>
      <c r="T767" t="s">
        <v>15236</v>
      </c>
      <c r="U767" t="s">
        <v>15237</v>
      </c>
      <c r="V767" t="s">
        <v>15238</v>
      </c>
      <c r="W767" t="s">
        <v>15239</v>
      </c>
      <c r="X767" t="s">
        <v>15240</v>
      </c>
      <c r="Y767" t="s">
        <v>15241</v>
      </c>
      <c r="Z767" t="s">
        <v>15242</v>
      </c>
      <c r="AA767" t="s">
        <v>15243</v>
      </c>
      <c r="AB767" t="s">
        <v>15244</v>
      </c>
      <c r="AC767" t="s">
        <v>15245</v>
      </c>
      <c r="AD767" t="s">
        <v>15246</v>
      </c>
      <c r="AE767" t="s">
        <v>15247</v>
      </c>
      <c r="AF767" t="s">
        <v>74</v>
      </c>
      <c r="AG767">
        <v>232</v>
      </c>
      <c r="AH767">
        <v>14</v>
      </c>
      <c r="AI767">
        <v>15</v>
      </c>
      <c r="AJ767">
        <v>2</v>
      </c>
      <c r="AK767">
        <v>36</v>
      </c>
      <c r="AL767" t="s">
        <v>895</v>
      </c>
      <c r="AM767" t="s">
        <v>896</v>
      </c>
      <c r="AN767" t="s">
        <v>897</v>
      </c>
      <c r="AO767" t="s">
        <v>1541</v>
      </c>
      <c r="AP767" t="s">
        <v>74</v>
      </c>
      <c r="AQ767" t="s">
        <v>74</v>
      </c>
      <c r="AR767" t="s">
        <v>1542</v>
      </c>
      <c r="AS767" t="s">
        <v>1543</v>
      </c>
      <c r="AT767" t="s">
        <v>1950</v>
      </c>
      <c r="AU767">
        <v>2025</v>
      </c>
      <c r="AV767">
        <v>12</v>
      </c>
      <c r="AW767">
        <v>1</v>
      </c>
      <c r="AX767" t="s">
        <v>74</v>
      </c>
      <c r="AY767" t="s">
        <v>74</v>
      </c>
      <c r="AZ767" t="s">
        <v>74</v>
      </c>
      <c r="BA767" t="s">
        <v>74</v>
      </c>
      <c r="BB767">
        <v>77</v>
      </c>
      <c r="BC767">
        <v>100</v>
      </c>
      <c r="BD767" t="s">
        <v>74</v>
      </c>
      <c r="BE767" t="s">
        <v>15248</v>
      </c>
      <c r="BF767" t="str">
        <f>HYPERLINK("http://dx.doi.org/10.1109/TCSS.2024.3448624","http://dx.doi.org/10.1109/TCSS.2024.3448624")</f>
        <v>http://dx.doi.org/10.1109/TCSS.2024.3448624</v>
      </c>
      <c r="BG767" t="s">
        <v>74</v>
      </c>
      <c r="BH767" t="s">
        <v>15249</v>
      </c>
      <c r="BI767">
        <v>24</v>
      </c>
      <c r="BJ767" t="s">
        <v>1546</v>
      </c>
      <c r="BK767" t="s">
        <v>902</v>
      </c>
      <c r="BL767" t="s">
        <v>103</v>
      </c>
      <c r="BM767" t="s">
        <v>15250</v>
      </c>
      <c r="BN767" t="s">
        <v>74</v>
      </c>
      <c r="BO767" t="s">
        <v>74</v>
      </c>
      <c r="BP767" t="s">
        <v>74</v>
      </c>
      <c r="BQ767" t="s">
        <v>74</v>
      </c>
      <c r="BR767" t="s">
        <v>106</v>
      </c>
      <c r="BS767" t="s">
        <v>15251</v>
      </c>
      <c r="BT767" t="str">
        <f>HYPERLINK("https%3A%2F%2Fwww.webofscience.com%2Fwos%2Fwoscc%2Ffull-record%2FWOS:001358214400001","View Full Record in Web of Science")</f>
        <v>View Full Record in Web of Science</v>
      </c>
    </row>
    <row r="768" spans="1:72" x14ac:dyDescent="0.25">
      <c r="A768" t="s">
        <v>108</v>
      </c>
      <c r="B768" t="s">
        <v>15252</v>
      </c>
      <c r="C768" t="s">
        <v>74</v>
      </c>
      <c r="D768" t="s">
        <v>74</v>
      </c>
      <c r="E768" t="s">
        <v>322</v>
      </c>
      <c r="F768" t="s">
        <v>15253</v>
      </c>
      <c r="G768" t="s">
        <v>74</v>
      </c>
      <c r="H768" t="s">
        <v>74</v>
      </c>
      <c r="I768" t="s">
        <v>15254</v>
      </c>
      <c r="J768" t="s">
        <v>9338</v>
      </c>
      <c r="K768" t="s">
        <v>74</v>
      </c>
      <c r="L768" t="s">
        <v>74</v>
      </c>
      <c r="M768" t="s">
        <v>78</v>
      </c>
      <c r="N768" t="s">
        <v>115</v>
      </c>
      <c r="O768" t="s">
        <v>9339</v>
      </c>
      <c r="P768" t="s">
        <v>9340</v>
      </c>
      <c r="Q768" t="s">
        <v>1339</v>
      </c>
      <c r="R768" t="s">
        <v>406</v>
      </c>
      <c r="S768" t="s">
        <v>74</v>
      </c>
      <c r="T768" t="s">
        <v>15255</v>
      </c>
      <c r="U768" t="s">
        <v>74</v>
      </c>
      <c r="V768" t="s">
        <v>15256</v>
      </c>
      <c r="W768" t="s">
        <v>15257</v>
      </c>
      <c r="X768" t="s">
        <v>15258</v>
      </c>
      <c r="Y768" t="s">
        <v>15259</v>
      </c>
      <c r="Z768" t="s">
        <v>15260</v>
      </c>
      <c r="AA768" t="s">
        <v>74</v>
      </c>
      <c r="AB768" t="s">
        <v>74</v>
      </c>
      <c r="AC768" t="s">
        <v>74</v>
      </c>
      <c r="AD768" t="s">
        <v>74</v>
      </c>
      <c r="AE768" t="s">
        <v>74</v>
      </c>
      <c r="AF768" t="s">
        <v>74</v>
      </c>
      <c r="AG768">
        <v>22</v>
      </c>
      <c r="AH768">
        <v>0</v>
      </c>
      <c r="AI768">
        <v>0</v>
      </c>
      <c r="AJ768">
        <v>0</v>
      </c>
      <c r="AK768">
        <v>0</v>
      </c>
      <c r="AL768" t="s">
        <v>291</v>
      </c>
      <c r="AM768" t="s">
        <v>92</v>
      </c>
      <c r="AN768" t="s">
        <v>341</v>
      </c>
      <c r="AO768" t="s">
        <v>74</v>
      </c>
      <c r="AP768" t="s">
        <v>74</v>
      </c>
      <c r="AQ768" t="s">
        <v>9351</v>
      </c>
      <c r="AR768" t="s">
        <v>74</v>
      </c>
      <c r="AS768" t="s">
        <v>74</v>
      </c>
      <c r="AT768" t="s">
        <v>74</v>
      </c>
      <c r="AU768">
        <v>2026</v>
      </c>
      <c r="AV768" t="s">
        <v>74</v>
      </c>
      <c r="AW768" t="s">
        <v>74</v>
      </c>
      <c r="AX768" t="s">
        <v>74</v>
      </c>
      <c r="AY768" t="s">
        <v>74</v>
      </c>
      <c r="AZ768" t="s">
        <v>74</v>
      </c>
      <c r="BA768" t="s">
        <v>74</v>
      </c>
      <c r="BB768">
        <v>1195</v>
      </c>
      <c r="BC768">
        <v>1199</v>
      </c>
      <c r="BD768" t="s">
        <v>74</v>
      </c>
      <c r="BE768" t="s">
        <v>15261</v>
      </c>
      <c r="BF768" t="str">
        <f>HYPERLINK("http://dx.doi.org/10.1145/3773966.3779399","http://dx.doi.org/10.1145/3773966.3779399")</f>
        <v>http://dx.doi.org/10.1145/3773966.3779399</v>
      </c>
      <c r="BG768" t="s">
        <v>74</v>
      </c>
      <c r="BH768" t="s">
        <v>74</v>
      </c>
      <c r="BI768">
        <v>5</v>
      </c>
      <c r="BJ768" t="s">
        <v>461</v>
      </c>
      <c r="BK768" t="s">
        <v>203</v>
      </c>
      <c r="BL768" t="s">
        <v>103</v>
      </c>
      <c r="BM768" t="s">
        <v>9353</v>
      </c>
      <c r="BN768" t="s">
        <v>74</v>
      </c>
      <c r="BO768" t="s">
        <v>372</v>
      </c>
      <c r="BP768" t="s">
        <v>74</v>
      </c>
      <c r="BQ768" t="s">
        <v>74</v>
      </c>
      <c r="BR768" t="s">
        <v>106</v>
      </c>
      <c r="BS768" t="s">
        <v>15262</v>
      </c>
      <c r="BT768" t="str">
        <f>HYPERLINK("https%3A%2F%2Fwww.webofscience.com%2Fwos%2Fwoscc%2Ffull-record%2FWOS:001832724900131","View Full Record in Web of Science")</f>
        <v>View Full Record in Web of Science</v>
      </c>
    </row>
    <row r="769" spans="1:72" x14ac:dyDescent="0.25">
      <c r="A769" t="s">
        <v>72</v>
      </c>
      <c r="B769" t="s">
        <v>15263</v>
      </c>
      <c r="C769" t="s">
        <v>74</v>
      </c>
      <c r="D769" t="s">
        <v>74</v>
      </c>
      <c r="E769" t="s">
        <v>74</v>
      </c>
      <c r="F769" t="s">
        <v>15264</v>
      </c>
      <c r="G769" t="s">
        <v>74</v>
      </c>
      <c r="H769" t="s">
        <v>74</v>
      </c>
      <c r="I769" t="s">
        <v>15265</v>
      </c>
      <c r="J769" t="s">
        <v>10614</v>
      </c>
      <c r="K769" t="s">
        <v>74</v>
      </c>
      <c r="L769" t="s">
        <v>74</v>
      </c>
      <c r="M769" t="s">
        <v>78</v>
      </c>
      <c r="N769" t="s">
        <v>79</v>
      </c>
      <c r="O769" t="s">
        <v>74</v>
      </c>
      <c r="P769" t="s">
        <v>74</v>
      </c>
      <c r="Q769" t="s">
        <v>74</v>
      </c>
      <c r="R769" t="s">
        <v>74</v>
      </c>
      <c r="S769" t="s">
        <v>74</v>
      </c>
      <c r="T769" t="s">
        <v>15266</v>
      </c>
      <c r="U769" t="s">
        <v>15267</v>
      </c>
      <c r="V769" t="s">
        <v>15268</v>
      </c>
      <c r="W769" t="s">
        <v>15269</v>
      </c>
      <c r="X769" t="s">
        <v>15270</v>
      </c>
      <c r="Y769" t="s">
        <v>15271</v>
      </c>
      <c r="Z769" t="s">
        <v>15272</v>
      </c>
      <c r="AA769" t="s">
        <v>15273</v>
      </c>
      <c r="AB769" t="s">
        <v>15274</v>
      </c>
      <c r="AC769" t="s">
        <v>15275</v>
      </c>
      <c r="AD769" t="s">
        <v>15276</v>
      </c>
      <c r="AE769" t="s">
        <v>15277</v>
      </c>
      <c r="AF769" t="s">
        <v>74</v>
      </c>
      <c r="AG769">
        <v>52</v>
      </c>
      <c r="AH769">
        <v>14</v>
      </c>
      <c r="AI769">
        <v>18</v>
      </c>
      <c r="AJ769">
        <v>0</v>
      </c>
      <c r="AK769">
        <v>8</v>
      </c>
      <c r="AL769" t="s">
        <v>10626</v>
      </c>
      <c r="AM769" t="s">
        <v>8511</v>
      </c>
      <c r="AN769" t="s">
        <v>10627</v>
      </c>
      <c r="AO769" t="s">
        <v>10628</v>
      </c>
      <c r="AP769" t="s">
        <v>10629</v>
      </c>
      <c r="AQ769" t="s">
        <v>74</v>
      </c>
      <c r="AR769" t="s">
        <v>10630</v>
      </c>
      <c r="AS769" t="s">
        <v>10631</v>
      </c>
      <c r="AT769" t="s">
        <v>10167</v>
      </c>
      <c r="AU769">
        <v>2020</v>
      </c>
      <c r="AV769">
        <v>10</v>
      </c>
      <c r="AW769">
        <v>1</v>
      </c>
      <c r="AX769" t="s">
        <v>74</v>
      </c>
      <c r="AY769" t="s">
        <v>74</v>
      </c>
      <c r="AZ769" t="s">
        <v>74</v>
      </c>
      <c r="BA769" t="s">
        <v>74</v>
      </c>
      <c r="BB769" t="s">
        <v>74</v>
      </c>
      <c r="BC769" t="s">
        <v>74</v>
      </c>
      <c r="BD769" t="s">
        <v>15278</v>
      </c>
      <c r="BE769" t="s">
        <v>15279</v>
      </c>
      <c r="BF769" t="str">
        <f>HYPERLINK("http://dx.doi.org/10.1002/widm.1342","http://dx.doi.org/10.1002/widm.1342")</f>
        <v>http://dx.doi.org/10.1002/widm.1342</v>
      </c>
      <c r="BG769" t="s">
        <v>74</v>
      </c>
      <c r="BH769" t="s">
        <v>15280</v>
      </c>
      <c r="BI769">
        <v>16</v>
      </c>
      <c r="BJ769" t="s">
        <v>1399</v>
      </c>
      <c r="BK769" t="s">
        <v>902</v>
      </c>
      <c r="BL769" t="s">
        <v>103</v>
      </c>
      <c r="BM769" t="s">
        <v>15281</v>
      </c>
      <c r="BN769" t="s">
        <v>74</v>
      </c>
      <c r="BO769" t="s">
        <v>74</v>
      </c>
      <c r="BP769" t="s">
        <v>74</v>
      </c>
      <c r="BQ769" t="s">
        <v>74</v>
      </c>
      <c r="BR769" t="s">
        <v>106</v>
      </c>
      <c r="BS769" t="s">
        <v>15282</v>
      </c>
      <c r="BT769" t="str">
        <f>HYPERLINK("https%3A%2F%2Fwww.webofscience.com%2Fwos%2Fwoscc%2Ffull-record%2FWOS:000493708700001","View Full Record in Web of Science")</f>
        <v>View Full Record in Web of Science</v>
      </c>
    </row>
    <row r="770" spans="1:72" x14ac:dyDescent="0.25">
      <c r="A770" t="s">
        <v>108</v>
      </c>
      <c r="B770" t="s">
        <v>10112</v>
      </c>
      <c r="C770" t="s">
        <v>74</v>
      </c>
      <c r="D770" t="s">
        <v>74</v>
      </c>
      <c r="E770" t="s">
        <v>465</v>
      </c>
      <c r="F770" t="s">
        <v>10113</v>
      </c>
      <c r="G770" t="s">
        <v>74</v>
      </c>
      <c r="H770" t="s">
        <v>74</v>
      </c>
      <c r="I770" t="s">
        <v>15283</v>
      </c>
      <c r="J770" t="s">
        <v>15284</v>
      </c>
      <c r="K770" t="s">
        <v>74</v>
      </c>
      <c r="L770" t="s">
        <v>74</v>
      </c>
      <c r="M770" t="s">
        <v>78</v>
      </c>
      <c r="N770" t="s">
        <v>115</v>
      </c>
      <c r="O770" t="s">
        <v>15285</v>
      </c>
      <c r="P770" t="s">
        <v>15286</v>
      </c>
      <c r="Q770" t="s">
        <v>15287</v>
      </c>
      <c r="R770" t="s">
        <v>74</v>
      </c>
      <c r="S770" t="s">
        <v>74</v>
      </c>
      <c r="T770" t="s">
        <v>74</v>
      </c>
      <c r="U770" t="s">
        <v>15288</v>
      </c>
      <c r="V770" t="s">
        <v>15289</v>
      </c>
      <c r="W770" t="s">
        <v>15290</v>
      </c>
      <c r="X770" t="s">
        <v>15291</v>
      </c>
      <c r="Y770" t="s">
        <v>15292</v>
      </c>
      <c r="Z770" t="s">
        <v>15293</v>
      </c>
      <c r="AA770" t="s">
        <v>15294</v>
      </c>
      <c r="AB770" t="s">
        <v>74</v>
      </c>
      <c r="AC770" t="s">
        <v>15295</v>
      </c>
      <c r="AD770" t="s">
        <v>15296</v>
      </c>
      <c r="AE770" t="s">
        <v>15297</v>
      </c>
      <c r="AF770" t="s">
        <v>74</v>
      </c>
      <c r="AG770">
        <v>26</v>
      </c>
      <c r="AH770">
        <v>2</v>
      </c>
      <c r="AI770">
        <v>2</v>
      </c>
      <c r="AJ770">
        <v>0</v>
      </c>
      <c r="AK770">
        <v>1</v>
      </c>
      <c r="AL770" t="s">
        <v>465</v>
      </c>
      <c r="AM770" t="s">
        <v>92</v>
      </c>
      <c r="AN770" t="s">
        <v>480</v>
      </c>
      <c r="AO770" t="s">
        <v>74</v>
      </c>
      <c r="AP770" t="s">
        <v>74</v>
      </c>
      <c r="AQ770" t="s">
        <v>15298</v>
      </c>
      <c r="AR770" t="s">
        <v>74</v>
      </c>
      <c r="AS770" t="s">
        <v>74</v>
      </c>
      <c r="AT770" t="s">
        <v>74</v>
      </c>
      <c r="AU770">
        <v>2018</v>
      </c>
      <c r="AV770" t="s">
        <v>74</v>
      </c>
      <c r="AW770" t="s">
        <v>74</v>
      </c>
      <c r="AX770" t="s">
        <v>74</v>
      </c>
      <c r="AY770" t="s">
        <v>74</v>
      </c>
      <c r="AZ770" t="s">
        <v>74</v>
      </c>
      <c r="BA770" t="s">
        <v>74</v>
      </c>
      <c r="BB770">
        <v>2200</v>
      </c>
      <c r="BC770">
        <v>2205</v>
      </c>
      <c r="BD770" t="s">
        <v>74</v>
      </c>
      <c r="BE770" t="s">
        <v>74</v>
      </c>
      <c r="BF770" t="s">
        <v>74</v>
      </c>
      <c r="BG770" t="s">
        <v>74</v>
      </c>
      <c r="BH770" t="s">
        <v>74</v>
      </c>
      <c r="BI770">
        <v>6</v>
      </c>
      <c r="BJ770" t="s">
        <v>15299</v>
      </c>
      <c r="BK770" t="s">
        <v>203</v>
      </c>
      <c r="BL770" t="s">
        <v>15299</v>
      </c>
      <c r="BM770" t="s">
        <v>15300</v>
      </c>
      <c r="BN770" t="s">
        <v>74</v>
      </c>
      <c r="BO770" t="s">
        <v>346</v>
      </c>
      <c r="BP770" t="s">
        <v>74</v>
      </c>
      <c r="BQ770" t="s">
        <v>74</v>
      </c>
      <c r="BR770" t="s">
        <v>106</v>
      </c>
      <c r="BS770" t="s">
        <v>15301</v>
      </c>
      <c r="BT770" t="str">
        <f>HYPERLINK("https%3A%2F%2Fwww.webofscience.com%2Fwos%2Fwoscc%2Ffull-record%2FWOS:000467725302038","View Full Record in Web of Science")</f>
        <v>View Full Record in Web of Science</v>
      </c>
    </row>
    <row r="771" spans="1:72" x14ac:dyDescent="0.25">
      <c r="A771" t="s">
        <v>108</v>
      </c>
      <c r="B771" t="s">
        <v>15302</v>
      </c>
      <c r="C771" t="s">
        <v>74</v>
      </c>
      <c r="D771" t="s">
        <v>10675</v>
      </c>
      <c r="E771" t="s">
        <v>74</v>
      </c>
      <c r="F771" t="s">
        <v>15303</v>
      </c>
      <c r="G771" t="s">
        <v>74</v>
      </c>
      <c r="H771" t="s">
        <v>74</v>
      </c>
      <c r="I771" t="s">
        <v>15304</v>
      </c>
      <c r="J771" t="s">
        <v>10678</v>
      </c>
      <c r="K771" t="s">
        <v>74</v>
      </c>
      <c r="L771" t="s">
        <v>74</v>
      </c>
      <c r="M771" t="s">
        <v>78</v>
      </c>
      <c r="N771" t="s">
        <v>115</v>
      </c>
      <c r="O771" t="s">
        <v>10679</v>
      </c>
      <c r="P771" t="s">
        <v>10680</v>
      </c>
      <c r="Q771" t="s">
        <v>150</v>
      </c>
      <c r="R771" t="s">
        <v>74</v>
      </c>
      <c r="S771" t="s">
        <v>74</v>
      </c>
      <c r="T771" t="s">
        <v>74</v>
      </c>
      <c r="U771" t="s">
        <v>74</v>
      </c>
      <c r="V771" t="s">
        <v>15305</v>
      </c>
      <c r="W771" t="s">
        <v>15306</v>
      </c>
      <c r="X771" t="s">
        <v>5382</v>
      </c>
      <c r="Y771" t="s">
        <v>74</v>
      </c>
      <c r="Z771" t="s">
        <v>15307</v>
      </c>
      <c r="AA771" t="s">
        <v>15308</v>
      </c>
      <c r="AB771" t="s">
        <v>15309</v>
      </c>
      <c r="AC771" t="s">
        <v>74</v>
      </c>
      <c r="AD771" t="s">
        <v>74</v>
      </c>
      <c r="AE771" t="s">
        <v>74</v>
      </c>
      <c r="AF771" t="s">
        <v>74</v>
      </c>
      <c r="AG771">
        <v>21</v>
      </c>
      <c r="AH771">
        <v>2</v>
      </c>
      <c r="AI771">
        <v>3</v>
      </c>
      <c r="AJ771">
        <v>0</v>
      </c>
      <c r="AK771">
        <v>1</v>
      </c>
      <c r="AL771" t="s">
        <v>178</v>
      </c>
      <c r="AM771" t="s">
        <v>92</v>
      </c>
      <c r="AN771" t="s">
        <v>1035</v>
      </c>
      <c r="AO771" t="s">
        <v>74</v>
      </c>
      <c r="AP771" t="s">
        <v>74</v>
      </c>
      <c r="AQ771" t="s">
        <v>10685</v>
      </c>
      <c r="AR771" t="s">
        <v>74</v>
      </c>
      <c r="AS771" t="s">
        <v>74</v>
      </c>
      <c r="AT771" t="s">
        <v>74</v>
      </c>
      <c r="AU771">
        <v>2009</v>
      </c>
      <c r="AV771" t="s">
        <v>74</v>
      </c>
      <c r="AW771" t="s">
        <v>74</v>
      </c>
      <c r="AX771" t="s">
        <v>74</v>
      </c>
      <c r="AY771" t="s">
        <v>74</v>
      </c>
      <c r="AZ771" t="s">
        <v>74</v>
      </c>
      <c r="BA771" t="s">
        <v>74</v>
      </c>
      <c r="BB771">
        <v>353</v>
      </c>
      <c r="BC771">
        <v>363</v>
      </c>
      <c r="BD771" t="s">
        <v>74</v>
      </c>
      <c r="BE771" t="s">
        <v>15310</v>
      </c>
      <c r="BF771" t="str">
        <f>HYPERLINK("http://dx.doi.org/10.1007/978-0-387-77745-0_34","http://dx.doi.org/10.1007/978-0-387-77745-0_34")</f>
        <v>http://dx.doi.org/10.1007/978-0-387-77745-0_34</v>
      </c>
      <c r="BG771" t="s">
        <v>74</v>
      </c>
      <c r="BH771" t="s">
        <v>74</v>
      </c>
      <c r="BI771">
        <v>11</v>
      </c>
      <c r="BJ771" t="s">
        <v>295</v>
      </c>
      <c r="BK771" t="s">
        <v>138</v>
      </c>
      <c r="BL771" t="s">
        <v>296</v>
      </c>
      <c r="BM771" t="s">
        <v>10687</v>
      </c>
      <c r="BN771" t="s">
        <v>74</v>
      </c>
      <c r="BO771" t="s">
        <v>74</v>
      </c>
      <c r="BP771" t="s">
        <v>74</v>
      </c>
      <c r="BQ771" t="s">
        <v>74</v>
      </c>
      <c r="BR771" t="s">
        <v>106</v>
      </c>
      <c r="BS771" t="s">
        <v>15311</v>
      </c>
      <c r="BT771" t="str">
        <f>HYPERLINK("https%3A%2F%2Fwww.webofscience.com%2Fwos%2Fwoscc%2Ffull-record%2FWOS:000261355600034","View Full Record in Web of Science")</f>
        <v>View Full Record in Web of Science</v>
      </c>
    </row>
    <row r="772" spans="1:72" x14ac:dyDescent="0.25">
      <c r="A772" t="s">
        <v>72</v>
      </c>
      <c r="B772" t="s">
        <v>15312</v>
      </c>
      <c r="C772" t="s">
        <v>74</v>
      </c>
      <c r="D772" t="s">
        <v>74</v>
      </c>
      <c r="E772" t="s">
        <v>74</v>
      </c>
      <c r="F772" t="s">
        <v>15313</v>
      </c>
      <c r="G772" t="s">
        <v>74</v>
      </c>
      <c r="H772" t="s">
        <v>74</v>
      </c>
      <c r="I772" t="s">
        <v>15314</v>
      </c>
      <c r="J772" t="s">
        <v>15315</v>
      </c>
      <c r="K772" t="s">
        <v>74</v>
      </c>
      <c r="L772" t="s">
        <v>74</v>
      </c>
      <c r="M772" t="s">
        <v>78</v>
      </c>
      <c r="N772" t="s">
        <v>7584</v>
      </c>
      <c r="O772" t="s">
        <v>15316</v>
      </c>
      <c r="P772" t="s">
        <v>15317</v>
      </c>
      <c r="Q772" t="s">
        <v>4095</v>
      </c>
      <c r="R772" t="s">
        <v>15318</v>
      </c>
      <c r="S772" t="s">
        <v>74</v>
      </c>
      <c r="T772" t="s">
        <v>15319</v>
      </c>
      <c r="U772" t="s">
        <v>15320</v>
      </c>
      <c r="V772" t="s">
        <v>15321</v>
      </c>
      <c r="W772" t="s">
        <v>15322</v>
      </c>
      <c r="X772" t="s">
        <v>15323</v>
      </c>
      <c r="Y772" t="s">
        <v>15324</v>
      </c>
      <c r="Z772" t="s">
        <v>15325</v>
      </c>
      <c r="AA772" t="s">
        <v>74</v>
      </c>
      <c r="AB772" t="s">
        <v>15326</v>
      </c>
      <c r="AC772" t="s">
        <v>74</v>
      </c>
      <c r="AD772" t="s">
        <v>74</v>
      </c>
      <c r="AE772" t="s">
        <v>74</v>
      </c>
      <c r="AF772" t="s">
        <v>74</v>
      </c>
      <c r="AG772">
        <v>20</v>
      </c>
      <c r="AH772">
        <v>6</v>
      </c>
      <c r="AI772">
        <v>7</v>
      </c>
      <c r="AJ772">
        <v>0</v>
      </c>
      <c r="AK772">
        <v>5</v>
      </c>
      <c r="AL772" t="s">
        <v>13502</v>
      </c>
      <c r="AM772" t="s">
        <v>9823</v>
      </c>
      <c r="AN772" t="s">
        <v>9824</v>
      </c>
      <c r="AO772" t="s">
        <v>15327</v>
      </c>
      <c r="AP772" t="s">
        <v>15328</v>
      </c>
      <c r="AQ772" t="s">
        <v>74</v>
      </c>
      <c r="AR772" t="s">
        <v>15329</v>
      </c>
      <c r="AS772" t="s">
        <v>15330</v>
      </c>
      <c r="AT772" t="s">
        <v>4318</v>
      </c>
      <c r="AU772">
        <v>2006</v>
      </c>
      <c r="AV772" t="s">
        <v>15331</v>
      </c>
      <c r="AW772">
        <v>10</v>
      </c>
      <c r="AX772" t="s">
        <v>74</v>
      </c>
      <c r="AY772" t="s">
        <v>74</v>
      </c>
      <c r="AZ772" t="s">
        <v>74</v>
      </c>
      <c r="BA772" t="s">
        <v>74</v>
      </c>
      <c r="BB772">
        <v>1427</v>
      </c>
      <c r="BC772">
        <v>1434</v>
      </c>
      <c r="BD772" t="s">
        <v>74</v>
      </c>
      <c r="BE772" t="s">
        <v>15332</v>
      </c>
      <c r="BF772" t="str">
        <f>HYPERLINK("http://dx.doi.org/10.1093/ietele/e89-c.10.1427","http://dx.doi.org/10.1093/ietele/e89-c.10.1427")</f>
        <v>http://dx.doi.org/10.1093/ietele/e89-c.10.1427</v>
      </c>
      <c r="BG772" t="s">
        <v>74</v>
      </c>
      <c r="BH772" t="s">
        <v>74</v>
      </c>
      <c r="BI772">
        <v>8</v>
      </c>
      <c r="BJ772" t="s">
        <v>1736</v>
      </c>
      <c r="BK772" t="s">
        <v>11486</v>
      </c>
      <c r="BL772" t="s">
        <v>1737</v>
      </c>
      <c r="BM772" t="s">
        <v>15333</v>
      </c>
      <c r="BN772" t="s">
        <v>74</v>
      </c>
      <c r="BO772" t="s">
        <v>74</v>
      </c>
      <c r="BP772" t="s">
        <v>74</v>
      </c>
      <c r="BQ772" t="s">
        <v>74</v>
      </c>
      <c r="BR772" t="s">
        <v>106</v>
      </c>
      <c r="BS772" t="s">
        <v>15334</v>
      </c>
      <c r="BT772" t="str">
        <f>HYPERLINK("https%3A%2F%2Fwww.webofscience.com%2Fwos%2Fwoscc%2Ffull-record%2FWOS:000241305200010","View Full Record in Web of Science")</f>
        <v>View Full Record in Web of Science</v>
      </c>
    </row>
    <row r="773" spans="1:72" x14ac:dyDescent="0.25">
      <c r="A773" t="s">
        <v>72</v>
      </c>
      <c r="B773" t="s">
        <v>15335</v>
      </c>
      <c r="C773" t="s">
        <v>74</v>
      </c>
      <c r="D773" t="s">
        <v>74</v>
      </c>
      <c r="E773" t="s">
        <v>74</v>
      </c>
      <c r="F773" t="s">
        <v>15336</v>
      </c>
      <c r="G773" t="s">
        <v>74</v>
      </c>
      <c r="H773" t="s">
        <v>74</v>
      </c>
      <c r="I773" t="s">
        <v>15337</v>
      </c>
      <c r="J773" t="s">
        <v>15338</v>
      </c>
      <c r="K773" t="s">
        <v>74</v>
      </c>
      <c r="L773" t="s">
        <v>74</v>
      </c>
      <c r="M773" t="s">
        <v>78</v>
      </c>
      <c r="N773" t="s">
        <v>79</v>
      </c>
      <c r="O773" t="s">
        <v>74</v>
      </c>
      <c r="P773" t="s">
        <v>74</v>
      </c>
      <c r="Q773" t="s">
        <v>74</v>
      </c>
      <c r="R773" t="s">
        <v>74</v>
      </c>
      <c r="S773" t="s">
        <v>74</v>
      </c>
      <c r="T773" t="s">
        <v>15339</v>
      </c>
      <c r="U773" t="s">
        <v>15340</v>
      </c>
      <c r="V773" t="s">
        <v>15341</v>
      </c>
      <c r="W773" t="s">
        <v>15342</v>
      </c>
      <c r="X773" t="s">
        <v>15343</v>
      </c>
      <c r="Y773" t="s">
        <v>15344</v>
      </c>
      <c r="Z773" t="s">
        <v>15345</v>
      </c>
      <c r="AA773" t="s">
        <v>15346</v>
      </c>
      <c r="AB773" t="s">
        <v>15347</v>
      </c>
      <c r="AC773" t="s">
        <v>15348</v>
      </c>
      <c r="AD773" t="s">
        <v>15348</v>
      </c>
      <c r="AE773" t="s">
        <v>15349</v>
      </c>
      <c r="AF773" t="s">
        <v>74</v>
      </c>
      <c r="AG773">
        <v>41</v>
      </c>
      <c r="AH773">
        <v>53</v>
      </c>
      <c r="AI773">
        <v>62</v>
      </c>
      <c r="AJ773">
        <v>0</v>
      </c>
      <c r="AK773">
        <v>78</v>
      </c>
      <c r="AL773" t="s">
        <v>2127</v>
      </c>
      <c r="AM773" t="s">
        <v>737</v>
      </c>
      <c r="AN773" t="s">
        <v>4533</v>
      </c>
      <c r="AO773" t="s">
        <v>15350</v>
      </c>
      <c r="AP773" t="s">
        <v>15351</v>
      </c>
      <c r="AQ773" t="s">
        <v>74</v>
      </c>
      <c r="AR773" t="s">
        <v>15352</v>
      </c>
      <c r="AS773" t="s">
        <v>15353</v>
      </c>
      <c r="AT773" t="s">
        <v>98</v>
      </c>
      <c r="AU773">
        <v>2014</v>
      </c>
      <c r="AV773">
        <v>44</v>
      </c>
      <c r="AW773" t="s">
        <v>74</v>
      </c>
      <c r="AX773" t="s">
        <v>74</v>
      </c>
      <c r="AY773" t="s">
        <v>74</v>
      </c>
      <c r="AZ773" t="s">
        <v>74</v>
      </c>
      <c r="BA773" t="s">
        <v>74</v>
      </c>
      <c r="BB773">
        <v>26</v>
      </c>
      <c r="BC773">
        <v>38</v>
      </c>
      <c r="BD773" t="s">
        <v>74</v>
      </c>
      <c r="BE773" t="s">
        <v>15354</v>
      </c>
      <c r="BF773" t="str">
        <f>HYPERLINK("http://dx.doi.org/10.1016/j.envsci.2014.07.010","http://dx.doi.org/10.1016/j.envsci.2014.07.010")</f>
        <v>http://dx.doi.org/10.1016/j.envsci.2014.07.010</v>
      </c>
      <c r="BG773" t="s">
        <v>74</v>
      </c>
      <c r="BH773" t="s">
        <v>74</v>
      </c>
      <c r="BI773">
        <v>13</v>
      </c>
      <c r="BJ773" t="s">
        <v>15355</v>
      </c>
      <c r="BK773" t="s">
        <v>745</v>
      </c>
      <c r="BL773" t="s">
        <v>15356</v>
      </c>
      <c r="BM773" t="s">
        <v>15357</v>
      </c>
      <c r="BN773" t="s">
        <v>74</v>
      </c>
      <c r="BO773" t="s">
        <v>205</v>
      </c>
      <c r="BP773" t="s">
        <v>74</v>
      </c>
      <c r="BQ773" t="s">
        <v>74</v>
      </c>
      <c r="BR773" t="s">
        <v>106</v>
      </c>
      <c r="BS773" t="s">
        <v>15358</v>
      </c>
      <c r="BT773" t="str">
        <f>HYPERLINK("https%3A%2F%2Fwww.webofscience.com%2Fwos%2Fwoscc%2Ffull-record%2FWOS:000343839600003","View Full Record in Web of Science")</f>
        <v>View Full Record in Web of Science</v>
      </c>
    </row>
    <row r="774" spans="1:72" x14ac:dyDescent="0.25">
      <c r="A774" t="s">
        <v>72</v>
      </c>
      <c r="B774" t="s">
        <v>15359</v>
      </c>
      <c r="C774" t="s">
        <v>74</v>
      </c>
      <c r="D774" t="s">
        <v>74</v>
      </c>
      <c r="E774" t="s">
        <v>74</v>
      </c>
      <c r="F774" t="s">
        <v>15360</v>
      </c>
      <c r="G774" t="s">
        <v>74</v>
      </c>
      <c r="H774" t="s">
        <v>74</v>
      </c>
      <c r="I774" t="s">
        <v>15361</v>
      </c>
      <c r="J774" t="s">
        <v>1357</v>
      </c>
      <c r="K774" t="s">
        <v>74</v>
      </c>
      <c r="L774" t="s">
        <v>74</v>
      </c>
      <c r="M774" t="s">
        <v>78</v>
      </c>
      <c r="N774" t="s">
        <v>79</v>
      </c>
      <c r="O774" t="s">
        <v>74</v>
      </c>
      <c r="P774" t="s">
        <v>74</v>
      </c>
      <c r="Q774" t="s">
        <v>74</v>
      </c>
      <c r="R774" t="s">
        <v>74</v>
      </c>
      <c r="S774" t="s">
        <v>74</v>
      </c>
      <c r="T774" t="s">
        <v>15362</v>
      </c>
      <c r="U774" t="s">
        <v>15363</v>
      </c>
      <c r="V774" t="s">
        <v>15364</v>
      </c>
      <c r="W774" t="s">
        <v>15365</v>
      </c>
      <c r="X774" t="s">
        <v>15366</v>
      </c>
      <c r="Y774" t="s">
        <v>15367</v>
      </c>
      <c r="Z774" t="s">
        <v>15368</v>
      </c>
      <c r="AA774" t="s">
        <v>74</v>
      </c>
      <c r="AB774" t="s">
        <v>74</v>
      </c>
      <c r="AC774" t="s">
        <v>74</v>
      </c>
      <c r="AD774" t="s">
        <v>74</v>
      </c>
      <c r="AE774" t="s">
        <v>74</v>
      </c>
      <c r="AF774" t="s">
        <v>74</v>
      </c>
      <c r="AG774">
        <v>42</v>
      </c>
      <c r="AH774">
        <v>18</v>
      </c>
      <c r="AI774">
        <v>20</v>
      </c>
      <c r="AJ774">
        <v>1</v>
      </c>
      <c r="AK774">
        <v>64</v>
      </c>
      <c r="AL774" t="s">
        <v>1369</v>
      </c>
      <c r="AM774" t="s">
        <v>1320</v>
      </c>
      <c r="AN774" t="s">
        <v>1370</v>
      </c>
      <c r="AO774" t="s">
        <v>1371</v>
      </c>
      <c r="AP774" t="s">
        <v>1372</v>
      </c>
      <c r="AQ774" t="s">
        <v>74</v>
      </c>
      <c r="AR774" t="s">
        <v>1373</v>
      </c>
      <c r="AS774" t="s">
        <v>1374</v>
      </c>
      <c r="AT774" t="s">
        <v>4318</v>
      </c>
      <c r="AU774">
        <v>2014</v>
      </c>
      <c r="AV774">
        <v>40</v>
      </c>
      <c r="AW774">
        <v>5</v>
      </c>
      <c r="AX774" t="s">
        <v>74</v>
      </c>
      <c r="AY774" t="s">
        <v>74</v>
      </c>
      <c r="AZ774" t="s">
        <v>74</v>
      </c>
      <c r="BA774" t="s">
        <v>74</v>
      </c>
      <c r="BB774">
        <v>594</v>
      </c>
      <c r="BC774">
        <v>610</v>
      </c>
      <c r="BD774" t="s">
        <v>74</v>
      </c>
      <c r="BE774" t="s">
        <v>15369</v>
      </c>
      <c r="BF774" t="str">
        <f>HYPERLINK("http://dx.doi.org/10.1177/0165551514539870","http://dx.doi.org/10.1177/0165551514539870")</f>
        <v>http://dx.doi.org/10.1177/0165551514539870</v>
      </c>
      <c r="BG774" t="s">
        <v>74</v>
      </c>
      <c r="BH774" t="s">
        <v>74</v>
      </c>
      <c r="BI774">
        <v>17</v>
      </c>
      <c r="BJ774" t="s">
        <v>295</v>
      </c>
      <c r="BK774" t="s">
        <v>745</v>
      </c>
      <c r="BL774" t="s">
        <v>296</v>
      </c>
      <c r="BM774" t="s">
        <v>15370</v>
      </c>
      <c r="BN774" t="s">
        <v>74</v>
      </c>
      <c r="BO774" t="s">
        <v>74</v>
      </c>
      <c r="BP774" t="s">
        <v>74</v>
      </c>
      <c r="BQ774" t="s">
        <v>74</v>
      </c>
      <c r="BR774" t="s">
        <v>106</v>
      </c>
      <c r="BS774" t="s">
        <v>15371</v>
      </c>
      <c r="BT774" t="str">
        <f>HYPERLINK("https%3A%2F%2Fwww.webofscience.com%2Fwos%2Fwoscc%2Ffull-record%2FWOS:000342200700004","View Full Record in Web of Science")</f>
        <v>View Full Record in Web of Science</v>
      </c>
    </row>
    <row r="775" spans="1:72" x14ac:dyDescent="0.25">
      <c r="A775" t="s">
        <v>72</v>
      </c>
      <c r="B775" t="s">
        <v>15372</v>
      </c>
      <c r="C775" t="s">
        <v>74</v>
      </c>
      <c r="D775" t="s">
        <v>74</v>
      </c>
      <c r="E775" t="s">
        <v>74</v>
      </c>
      <c r="F775" t="s">
        <v>15372</v>
      </c>
      <c r="G775" t="s">
        <v>74</v>
      </c>
      <c r="H775" t="s">
        <v>74</v>
      </c>
      <c r="I775" t="s">
        <v>15373</v>
      </c>
      <c r="J775" t="s">
        <v>2660</v>
      </c>
      <c r="K775" t="s">
        <v>74</v>
      </c>
      <c r="L775" t="s">
        <v>74</v>
      </c>
      <c r="M775" t="s">
        <v>78</v>
      </c>
      <c r="N775" t="s">
        <v>15374</v>
      </c>
      <c r="O775" t="s">
        <v>74</v>
      </c>
      <c r="P775" t="s">
        <v>74</v>
      </c>
      <c r="Q775" t="s">
        <v>74</v>
      </c>
      <c r="R775" t="s">
        <v>74</v>
      </c>
      <c r="S775" t="s">
        <v>74</v>
      </c>
      <c r="T775" t="s">
        <v>74</v>
      </c>
      <c r="U775" t="s">
        <v>74</v>
      </c>
      <c r="V775" t="s">
        <v>74</v>
      </c>
      <c r="W775" t="s">
        <v>74</v>
      </c>
      <c r="X775" t="s">
        <v>74</v>
      </c>
      <c r="Y775" t="s">
        <v>74</v>
      </c>
      <c r="Z775" t="s">
        <v>74</v>
      </c>
      <c r="AA775" t="s">
        <v>74</v>
      </c>
      <c r="AB775" t="s">
        <v>74</v>
      </c>
      <c r="AC775" t="s">
        <v>74</v>
      </c>
      <c r="AD775" t="s">
        <v>74</v>
      </c>
      <c r="AE775" t="s">
        <v>74</v>
      </c>
      <c r="AF775" t="s">
        <v>74</v>
      </c>
      <c r="AG775">
        <v>2</v>
      </c>
      <c r="AH775">
        <v>0</v>
      </c>
      <c r="AI775">
        <v>0</v>
      </c>
      <c r="AJ775">
        <v>1</v>
      </c>
      <c r="AK775">
        <v>5</v>
      </c>
      <c r="AL775" t="s">
        <v>15375</v>
      </c>
      <c r="AM775" t="s">
        <v>92</v>
      </c>
      <c r="AN775" t="s">
        <v>15376</v>
      </c>
      <c r="AO775" t="s">
        <v>2669</v>
      </c>
      <c r="AP775" t="s">
        <v>2670</v>
      </c>
      <c r="AQ775" t="s">
        <v>74</v>
      </c>
      <c r="AR775" t="s">
        <v>2671</v>
      </c>
      <c r="AS775" t="s">
        <v>2672</v>
      </c>
      <c r="AT775" t="s">
        <v>74</v>
      </c>
      <c r="AU775">
        <v>2015</v>
      </c>
      <c r="AV775" t="s">
        <v>74</v>
      </c>
      <c r="AW775" t="s">
        <v>74</v>
      </c>
      <c r="AX775" t="s">
        <v>74</v>
      </c>
      <c r="AY775" t="s">
        <v>74</v>
      </c>
      <c r="AZ775" t="s">
        <v>74</v>
      </c>
      <c r="BA775" t="s">
        <v>74</v>
      </c>
      <c r="BB775" t="s">
        <v>74</v>
      </c>
      <c r="BC775" t="s">
        <v>74</v>
      </c>
      <c r="BD775">
        <v>291026</v>
      </c>
      <c r="BE775" t="s">
        <v>15377</v>
      </c>
      <c r="BF775" t="str">
        <f>HYPERLINK("http://dx.doi.org/10.1155/2015/291026","http://dx.doi.org/10.1155/2015/291026")</f>
        <v>http://dx.doi.org/10.1155/2015/291026</v>
      </c>
      <c r="BG775" t="s">
        <v>74</v>
      </c>
      <c r="BH775" t="s">
        <v>74</v>
      </c>
      <c r="BI775">
        <v>1</v>
      </c>
      <c r="BJ775" t="s">
        <v>2674</v>
      </c>
      <c r="BK775" t="s">
        <v>902</v>
      </c>
      <c r="BL775" t="s">
        <v>2422</v>
      </c>
      <c r="BM775" t="s">
        <v>15378</v>
      </c>
      <c r="BN775" t="s">
        <v>74</v>
      </c>
      <c r="BO775" t="s">
        <v>398</v>
      </c>
      <c r="BP775" t="s">
        <v>74</v>
      </c>
      <c r="BQ775" t="s">
        <v>74</v>
      </c>
      <c r="BR775" t="s">
        <v>106</v>
      </c>
      <c r="BS775" t="s">
        <v>15379</v>
      </c>
      <c r="BT775" t="str">
        <f>HYPERLINK("https%3A%2F%2Fwww.webofscience.com%2Fwos%2Fwoscc%2Ffull-record%2FWOS:000367270000001","View Full Record in Web of Science")</f>
        <v>View Full Record in Web of Science</v>
      </c>
    </row>
    <row r="776" spans="1:72" x14ac:dyDescent="0.25">
      <c r="A776" t="s">
        <v>72</v>
      </c>
      <c r="B776" t="s">
        <v>15380</v>
      </c>
      <c r="C776" t="s">
        <v>74</v>
      </c>
      <c r="D776" t="s">
        <v>74</v>
      </c>
      <c r="E776" t="s">
        <v>74</v>
      </c>
      <c r="F776" t="s">
        <v>15381</v>
      </c>
      <c r="G776" t="s">
        <v>74</v>
      </c>
      <c r="H776" t="s">
        <v>74</v>
      </c>
      <c r="I776" t="s">
        <v>15382</v>
      </c>
      <c r="J776" t="s">
        <v>15383</v>
      </c>
      <c r="K776" t="s">
        <v>74</v>
      </c>
      <c r="L776" t="s">
        <v>74</v>
      </c>
      <c r="M776" t="s">
        <v>78</v>
      </c>
      <c r="N776" t="s">
        <v>726</v>
      </c>
      <c r="O776" t="s">
        <v>74</v>
      </c>
      <c r="P776" t="s">
        <v>74</v>
      </c>
      <c r="Q776" t="s">
        <v>74</v>
      </c>
      <c r="R776" t="s">
        <v>74</v>
      </c>
      <c r="S776" t="s">
        <v>74</v>
      </c>
      <c r="T776" t="s">
        <v>15384</v>
      </c>
      <c r="U776" t="s">
        <v>74</v>
      </c>
      <c r="V776" t="s">
        <v>15385</v>
      </c>
      <c r="W776" t="s">
        <v>15386</v>
      </c>
      <c r="X776" t="s">
        <v>15387</v>
      </c>
      <c r="Y776" t="s">
        <v>15388</v>
      </c>
      <c r="Z776" t="s">
        <v>15389</v>
      </c>
      <c r="AA776" t="s">
        <v>74</v>
      </c>
      <c r="AB776" t="s">
        <v>74</v>
      </c>
      <c r="AC776" t="s">
        <v>74</v>
      </c>
      <c r="AD776" t="s">
        <v>74</v>
      </c>
      <c r="AE776" t="s">
        <v>74</v>
      </c>
      <c r="AF776" t="s">
        <v>74</v>
      </c>
      <c r="AG776">
        <v>12</v>
      </c>
      <c r="AH776">
        <v>0</v>
      </c>
      <c r="AI776">
        <v>0</v>
      </c>
      <c r="AJ776">
        <v>0</v>
      </c>
      <c r="AK776">
        <v>1</v>
      </c>
      <c r="AL776" t="s">
        <v>15390</v>
      </c>
      <c r="AM776" t="s">
        <v>15391</v>
      </c>
      <c r="AN776" t="s">
        <v>15392</v>
      </c>
      <c r="AO776" t="s">
        <v>15393</v>
      </c>
      <c r="AP776" t="s">
        <v>15394</v>
      </c>
      <c r="AQ776" t="s">
        <v>74</v>
      </c>
      <c r="AR776" t="s">
        <v>15395</v>
      </c>
      <c r="AS776" t="s">
        <v>15396</v>
      </c>
      <c r="AT776" t="s">
        <v>74</v>
      </c>
      <c r="AU776">
        <v>2009</v>
      </c>
      <c r="AV776">
        <v>21</v>
      </c>
      <c r="AW776">
        <v>3</v>
      </c>
      <c r="AX776" t="s">
        <v>74</v>
      </c>
      <c r="AY776" t="s">
        <v>74</v>
      </c>
      <c r="AZ776" t="s">
        <v>74</v>
      </c>
      <c r="BA776" t="s">
        <v>74</v>
      </c>
      <c r="BB776">
        <v>199</v>
      </c>
      <c r="BC776">
        <v>204</v>
      </c>
      <c r="BD776" t="s">
        <v>74</v>
      </c>
      <c r="BE776" t="s">
        <v>74</v>
      </c>
      <c r="BF776" t="s">
        <v>74</v>
      </c>
      <c r="BG776" t="s">
        <v>74</v>
      </c>
      <c r="BH776" t="s">
        <v>74</v>
      </c>
      <c r="BI776">
        <v>6</v>
      </c>
      <c r="BJ776" t="s">
        <v>15397</v>
      </c>
      <c r="BK776" t="s">
        <v>902</v>
      </c>
      <c r="BL776" t="s">
        <v>15398</v>
      </c>
      <c r="BM776" t="s">
        <v>15399</v>
      </c>
      <c r="BN776" t="s">
        <v>74</v>
      </c>
      <c r="BO776" t="s">
        <v>74</v>
      </c>
      <c r="BP776" t="s">
        <v>74</v>
      </c>
      <c r="BQ776" t="s">
        <v>74</v>
      </c>
      <c r="BR776" t="s">
        <v>106</v>
      </c>
      <c r="BS776" t="s">
        <v>15400</v>
      </c>
      <c r="BT776" t="str">
        <f>HYPERLINK("https%3A%2F%2Fwww.webofscience.com%2Fwos%2Fwoscc%2Ffull-record%2FWOS:000267855800006","View Full Record in Web of Science")</f>
        <v>View Full Record in Web of Science</v>
      </c>
    </row>
    <row r="777" spans="1:72" x14ac:dyDescent="0.25">
      <c r="A777" t="s">
        <v>72</v>
      </c>
      <c r="B777" t="s">
        <v>15401</v>
      </c>
      <c r="C777" t="s">
        <v>74</v>
      </c>
      <c r="D777" t="s">
        <v>74</v>
      </c>
      <c r="E777" t="s">
        <v>74</v>
      </c>
      <c r="F777" t="s">
        <v>15402</v>
      </c>
      <c r="G777" t="s">
        <v>74</v>
      </c>
      <c r="H777" t="s">
        <v>74</v>
      </c>
      <c r="I777" t="s">
        <v>15403</v>
      </c>
      <c r="J777" t="s">
        <v>15404</v>
      </c>
      <c r="K777" t="s">
        <v>74</v>
      </c>
      <c r="L777" t="s">
        <v>74</v>
      </c>
      <c r="M777" t="s">
        <v>78</v>
      </c>
      <c r="N777" t="s">
        <v>79</v>
      </c>
      <c r="O777" t="s">
        <v>74</v>
      </c>
      <c r="P777" t="s">
        <v>74</v>
      </c>
      <c r="Q777" t="s">
        <v>74</v>
      </c>
      <c r="R777" t="s">
        <v>74</v>
      </c>
      <c r="S777" t="s">
        <v>74</v>
      </c>
      <c r="T777" t="s">
        <v>15405</v>
      </c>
      <c r="U777" t="s">
        <v>15406</v>
      </c>
      <c r="V777" t="s">
        <v>15407</v>
      </c>
      <c r="W777" t="s">
        <v>15408</v>
      </c>
      <c r="X777" t="s">
        <v>15409</v>
      </c>
      <c r="Y777" t="s">
        <v>15410</v>
      </c>
      <c r="Z777" t="s">
        <v>15411</v>
      </c>
      <c r="AA777" t="s">
        <v>74</v>
      </c>
      <c r="AB777" t="s">
        <v>15412</v>
      </c>
      <c r="AC777" t="s">
        <v>74</v>
      </c>
      <c r="AD777" t="s">
        <v>74</v>
      </c>
      <c r="AE777" t="s">
        <v>74</v>
      </c>
      <c r="AF777" t="s">
        <v>74</v>
      </c>
      <c r="AG777">
        <v>53</v>
      </c>
      <c r="AH777">
        <v>0</v>
      </c>
      <c r="AI777">
        <v>0</v>
      </c>
      <c r="AJ777">
        <v>0</v>
      </c>
      <c r="AK777">
        <v>5</v>
      </c>
      <c r="AL777" t="s">
        <v>3157</v>
      </c>
      <c r="AM777" t="s">
        <v>3158</v>
      </c>
      <c r="AN777" t="s">
        <v>3159</v>
      </c>
      <c r="AO777" t="s">
        <v>15413</v>
      </c>
      <c r="AP777" t="s">
        <v>15414</v>
      </c>
      <c r="AQ777" t="s">
        <v>74</v>
      </c>
      <c r="AR777" t="s">
        <v>15415</v>
      </c>
      <c r="AS777" t="s">
        <v>15416</v>
      </c>
      <c r="AT777" t="s">
        <v>74</v>
      </c>
      <c r="AU777">
        <v>2023</v>
      </c>
      <c r="AV777">
        <v>29</v>
      </c>
      <c r="AW777">
        <v>6</v>
      </c>
      <c r="AX777" t="s">
        <v>74</v>
      </c>
      <c r="AY777" t="s">
        <v>74</v>
      </c>
      <c r="AZ777" t="s">
        <v>74</v>
      </c>
      <c r="BA777" t="s">
        <v>74</v>
      </c>
      <c r="BB777">
        <v>573</v>
      </c>
      <c r="BC777">
        <v>597</v>
      </c>
      <c r="BD777" t="s">
        <v>74</v>
      </c>
      <c r="BE777" t="s">
        <v>15417</v>
      </c>
      <c r="BF777" t="str">
        <f>HYPERLINK("http://dx.doi.org/10.1504/IJCNDS.2023.133909","http://dx.doi.org/10.1504/IJCNDS.2023.133909")</f>
        <v>http://dx.doi.org/10.1504/IJCNDS.2023.133909</v>
      </c>
      <c r="BG777" t="s">
        <v>74</v>
      </c>
      <c r="BH777" t="s">
        <v>74</v>
      </c>
      <c r="BI777">
        <v>26</v>
      </c>
      <c r="BJ777" t="s">
        <v>852</v>
      </c>
      <c r="BK777" t="s">
        <v>102</v>
      </c>
      <c r="BL777" t="s">
        <v>103</v>
      </c>
      <c r="BM777" t="s">
        <v>15418</v>
      </c>
      <c r="BN777" t="s">
        <v>74</v>
      </c>
      <c r="BO777" t="s">
        <v>74</v>
      </c>
      <c r="BP777" t="s">
        <v>74</v>
      </c>
      <c r="BQ777" t="s">
        <v>74</v>
      </c>
      <c r="BR777" t="s">
        <v>106</v>
      </c>
      <c r="BS777" t="s">
        <v>15419</v>
      </c>
      <c r="BT777" t="str">
        <f>HYPERLINK("https%3A%2F%2Fwww.webofscience.com%2Fwos%2Fwoscc%2Ffull-record%2FWOS:001084397200001","View Full Record in Web of Science")</f>
        <v>View Full Record in Web of Science</v>
      </c>
    </row>
    <row r="778" spans="1:72" x14ac:dyDescent="0.25">
      <c r="A778" t="s">
        <v>108</v>
      </c>
      <c r="B778" t="s">
        <v>15420</v>
      </c>
      <c r="C778" t="s">
        <v>74</v>
      </c>
      <c r="D778" t="s">
        <v>15421</v>
      </c>
      <c r="E778" t="s">
        <v>74</v>
      </c>
      <c r="F778" t="s">
        <v>15422</v>
      </c>
      <c r="G778" t="s">
        <v>74</v>
      </c>
      <c r="H778" t="s">
        <v>74</v>
      </c>
      <c r="I778" t="s">
        <v>15423</v>
      </c>
      <c r="J778" t="s">
        <v>15424</v>
      </c>
      <c r="K778" t="s">
        <v>4853</v>
      </c>
      <c r="L778" t="s">
        <v>74</v>
      </c>
      <c r="M778" t="s">
        <v>78</v>
      </c>
      <c r="N778" t="s">
        <v>115</v>
      </c>
      <c r="O778" t="s">
        <v>15425</v>
      </c>
      <c r="P778" t="s">
        <v>15426</v>
      </c>
      <c r="Q778" t="s">
        <v>15427</v>
      </c>
      <c r="R778" t="s">
        <v>15428</v>
      </c>
      <c r="S778" t="s">
        <v>15429</v>
      </c>
      <c r="T778" t="s">
        <v>15430</v>
      </c>
      <c r="U778" t="s">
        <v>15431</v>
      </c>
      <c r="V778" t="s">
        <v>15432</v>
      </c>
      <c r="W778" t="s">
        <v>15433</v>
      </c>
      <c r="X778" t="s">
        <v>15434</v>
      </c>
      <c r="Y778" t="s">
        <v>15435</v>
      </c>
      <c r="Z778" t="s">
        <v>15436</v>
      </c>
      <c r="AA778" t="s">
        <v>15437</v>
      </c>
      <c r="AB778" t="s">
        <v>15438</v>
      </c>
      <c r="AC778" t="s">
        <v>15439</v>
      </c>
      <c r="AD778" t="s">
        <v>15440</v>
      </c>
      <c r="AE778" t="s">
        <v>15441</v>
      </c>
      <c r="AF778" t="s">
        <v>74</v>
      </c>
      <c r="AG778">
        <v>68</v>
      </c>
      <c r="AH778">
        <v>4</v>
      </c>
      <c r="AI778">
        <v>5</v>
      </c>
      <c r="AJ778">
        <v>0</v>
      </c>
      <c r="AK778">
        <v>6</v>
      </c>
      <c r="AL778" t="s">
        <v>197</v>
      </c>
      <c r="AM778" t="s">
        <v>198</v>
      </c>
      <c r="AN778" t="s">
        <v>199</v>
      </c>
      <c r="AO778" t="s">
        <v>4865</v>
      </c>
      <c r="AP778" t="s">
        <v>4866</v>
      </c>
      <c r="AQ778" t="s">
        <v>15442</v>
      </c>
      <c r="AR778" t="s">
        <v>4868</v>
      </c>
      <c r="AS778" t="s">
        <v>74</v>
      </c>
      <c r="AT778" t="s">
        <v>74</v>
      </c>
      <c r="AU778">
        <v>2017</v>
      </c>
      <c r="AV778">
        <v>768</v>
      </c>
      <c r="AW778" t="s">
        <v>74</v>
      </c>
      <c r="AX778" t="s">
        <v>74</v>
      </c>
      <c r="AY778" t="s">
        <v>74</v>
      </c>
      <c r="AZ778" t="s">
        <v>74</v>
      </c>
      <c r="BA778" t="s">
        <v>74</v>
      </c>
      <c r="BB778">
        <v>233</v>
      </c>
      <c r="BC778">
        <v>247</v>
      </c>
      <c r="BD778" t="s">
        <v>74</v>
      </c>
      <c r="BE778" t="s">
        <v>15443</v>
      </c>
      <c r="BF778" t="str">
        <f>HYPERLINK("http://dx.doi.org/10.1007/978-981-10-6893-5_18","http://dx.doi.org/10.1007/978-981-10-6893-5_18")</f>
        <v>http://dx.doi.org/10.1007/978-981-10-6893-5_18</v>
      </c>
      <c r="BG778" t="s">
        <v>74</v>
      </c>
      <c r="BH778" t="s">
        <v>74</v>
      </c>
      <c r="BI778">
        <v>15</v>
      </c>
      <c r="BJ778" t="s">
        <v>925</v>
      </c>
      <c r="BK778" t="s">
        <v>203</v>
      </c>
      <c r="BL778" t="s">
        <v>103</v>
      </c>
      <c r="BM778" t="s">
        <v>15444</v>
      </c>
      <c r="BN778" t="s">
        <v>74</v>
      </c>
      <c r="BO778" t="s">
        <v>74</v>
      </c>
      <c r="BP778" t="s">
        <v>74</v>
      </c>
      <c r="BQ778" t="s">
        <v>74</v>
      </c>
      <c r="BR778" t="s">
        <v>106</v>
      </c>
      <c r="BS778" t="s">
        <v>15445</v>
      </c>
      <c r="BT778" t="str">
        <f>HYPERLINK("https%3A%2F%2Fwww.webofscience.com%2Fwos%2Fwoscc%2Ffull-record%2FWOS:000437036300018","View Full Record in Web of Science")</f>
        <v>View Full Record in Web of Science</v>
      </c>
    </row>
    <row r="779" spans="1:72" x14ac:dyDescent="0.25">
      <c r="A779" t="s">
        <v>108</v>
      </c>
      <c r="B779" t="s">
        <v>15446</v>
      </c>
      <c r="C779" t="s">
        <v>74</v>
      </c>
      <c r="D779" t="s">
        <v>74</v>
      </c>
      <c r="E779" t="s">
        <v>465</v>
      </c>
      <c r="F779" t="s">
        <v>15447</v>
      </c>
      <c r="G779" t="s">
        <v>74</v>
      </c>
      <c r="H779" t="s">
        <v>74</v>
      </c>
      <c r="I779" t="s">
        <v>15448</v>
      </c>
      <c r="J779" t="s">
        <v>15449</v>
      </c>
      <c r="K779" t="s">
        <v>74</v>
      </c>
      <c r="L779" t="s">
        <v>74</v>
      </c>
      <c r="M779" t="s">
        <v>78</v>
      </c>
      <c r="N779" t="s">
        <v>115</v>
      </c>
      <c r="O779" t="s">
        <v>15450</v>
      </c>
      <c r="P779" t="s">
        <v>15451</v>
      </c>
      <c r="Q779" t="s">
        <v>15452</v>
      </c>
      <c r="R779" t="s">
        <v>15453</v>
      </c>
      <c r="S779" t="s">
        <v>74</v>
      </c>
      <c r="T779" t="s">
        <v>15454</v>
      </c>
      <c r="U779" t="s">
        <v>74</v>
      </c>
      <c r="V779" t="s">
        <v>15455</v>
      </c>
      <c r="W779" t="s">
        <v>15456</v>
      </c>
      <c r="X779" t="s">
        <v>15457</v>
      </c>
      <c r="Y779" t="s">
        <v>15458</v>
      </c>
      <c r="Z779" t="s">
        <v>15459</v>
      </c>
      <c r="AA779" t="s">
        <v>15460</v>
      </c>
      <c r="AB779" t="s">
        <v>74</v>
      </c>
      <c r="AC779" t="s">
        <v>74</v>
      </c>
      <c r="AD779" t="s">
        <v>74</v>
      </c>
      <c r="AE779" t="s">
        <v>74</v>
      </c>
      <c r="AF779" t="s">
        <v>74</v>
      </c>
      <c r="AG779">
        <v>14</v>
      </c>
      <c r="AH779">
        <v>0</v>
      </c>
      <c r="AI779">
        <v>0</v>
      </c>
      <c r="AJ779">
        <v>0</v>
      </c>
      <c r="AK779">
        <v>0</v>
      </c>
      <c r="AL779" t="s">
        <v>465</v>
      </c>
      <c r="AM779" t="s">
        <v>92</v>
      </c>
      <c r="AN779" t="s">
        <v>480</v>
      </c>
      <c r="AO779" t="s">
        <v>74</v>
      </c>
      <c r="AP779" t="s">
        <v>74</v>
      </c>
      <c r="AQ779" t="s">
        <v>15461</v>
      </c>
      <c r="AR779" t="s">
        <v>74</v>
      </c>
      <c r="AS779" t="s">
        <v>74</v>
      </c>
      <c r="AT779" t="s">
        <v>74</v>
      </c>
      <c r="AU779">
        <v>2018</v>
      </c>
      <c r="AV779" t="s">
        <v>74</v>
      </c>
      <c r="AW779" t="s">
        <v>74</v>
      </c>
      <c r="AX779" t="s">
        <v>74</v>
      </c>
      <c r="AY779" t="s">
        <v>74</v>
      </c>
      <c r="AZ779" t="s">
        <v>74</v>
      </c>
      <c r="BA779" t="s">
        <v>74</v>
      </c>
      <c r="BB779" t="s">
        <v>74</v>
      </c>
      <c r="BC779" t="s">
        <v>74</v>
      </c>
      <c r="BD779" t="s">
        <v>74</v>
      </c>
      <c r="BE779" t="s">
        <v>74</v>
      </c>
      <c r="BF779" t="s">
        <v>74</v>
      </c>
      <c r="BG779" t="s">
        <v>74</v>
      </c>
      <c r="BH779" t="s">
        <v>74</v>
      </c>
      <c r="BI779">
        <v>4</v>
      </c>
      <c r="BJ779" t="s">
        <v>15462</v>
      </c>
      <c r="BK779" t="s">
        <v>203</v>
      </c>
      <c r="BL779" t="s">
        <v>15463</v>
      </c>
      <c r="BM779" t="s">
        <v>15464</v>
      </c>
      <c r="BN779" t="s">
        <v>74</v>
      </c>
      <c r="BO779" t="s">
        <v>74</v>
      </c>
      <c r="BP779" t="s">
        <v>74</v>
      </c>
      <c r="BQ779" t="s">
        <v>74</v>
      </c>
      <c r="BR779" t="s">
        <v>106</v>
      </c>
      <c r="BS779" t="s">
        <v>15465</v>
      </c>
      <c r="BT779" t="str">
        <f>HYPERLINK("https%3A%2F%2Fwww.webofscience.com%2Fwos%2Fwoscc%2Ffull-record%2FWOS:000493801500172","View Full Record in Web of Science")</f>
        <v>View Full Record in Web of Science</v>
      </c>
    </row>
    <row r="780" spans="1:72" x14ac:dyDescent="0.25">
      <c r="A780" t="s">
        <v>72</v>
      </c>
      <c r="B780" t="s">
        <v>15466</v>
      </c>
      <c r="C780" t="s">
        <v>74</v>
      </c>
      <c r="D780" t="s">
        <v>74</v>
      </c>
      <c r="E780" t="s">
        <v>74</v>
      </c>
      <c r="F780" t="s">
        <v>15467</v>
      </c>
      <c r="G780" t="s">
        <v>74</v>
      </c>
      <c r="H780" t="s">
        <v>74</v>
      </c>
      <c r="I780" t="s">
        <v>15468</v>
      </c>
      <c r="J780" t="s">
        <v>15469</v>
      </c>
      <c r="K780" t="s">
        <v>74</v>
      </c>
      <c r="L780" t="s">
        <v>74</v>
      </c>
      <c r="M780" t="s">
        <v>78</v>
      </c>
      <c r="N780" t="s">
        <v>79</v>
      </c>
      <c r="O780" t="s">
        <v>74</v>
      </c>
      <c r="P780" t="s">
        <v>74</v>
      </c>
      <c r="Q780" t="s">
        <v>74</v>
      </c>
      <c r="R780" t="s">
        <v>74</v>
      </c>
      <c r="S780" t="s">
        <v>74</v>
      </c>
      <c r="T780" t="s">
        <v>15470</v>
      </c>
      <c r="U780" t="s">
        <v>15471</v>
      </c>
      <c r="V780" t="s">
        <v>15472</v>
      </c>
      <c r="W780" t="s">
        <v>15473</v>
      </c>
      <c r="X780" t="s">
        <v>15474</v>
      </c>
      <c r="Y780" t="s">
        <v>15475</v>
      </c>
      <c r="Z780" t="s">
        <v>15476</v>
      </c>
      <c r="AA780" t="s">
        <v>15477</v>
      </c>
      <c r="AB780" t="s">
        <v>15478</v>
      </c>
      <c r="AC780" t="s">
        <v>15479</v>
      </c>
      <c r="AD780" t="s">
        <v>15480</v>
      </c>
      <c r="AE780" t="s">
        <v>15481</v>
      </c>
      <c r="AF780" t="s">
        <v>74</v>
      </c>
      <c r="AG780">
        <v>41</v>
      </c>
      <c r="AH780">
        <v>41</v>
      </c>
      <c r="AI780">
        <v>44</v>
      </c>
      <c r="AJ780">
        <v>0</v>
      </c>
      <c r="AK780">
        <v>40</v>
      </c>
      <c r="AL780" t="s">
        <v>895</v>
      </c>
      <c r="AM780" t="s">
        <v>896</v>
      </c>
      <c r="AN780" t="s">
        <v>897</v>
      </c>
      <c r="AO780" t="s">
        <v>15482</v>
      </c>
      <c r="AP780" t="s">
        <v>15483</v>
      </c>
      <c r="AQ780" t="s">
        <v>74</v>
      </c>
      <c r="AR780" t="s">
        <v>15484</v>
      </c>
      <c r="AS780" t="s">
        <v>15485</v>
      </c>
      <c r="AT780" t="s">
        <v>223</v>
      </c>
      <c r="AU780">
        <v>2019</v>
      </c>
      <c r="AV780">
        <v>68</v>
      </c>
      <c r="AW780">
        <v>3</v>
      </c>
      <c r="AX780" t="s">
        <v>74</v>
      </c>
      <c r="AY780" t="s">
        <v>74</v>
      </c>
      <c r="AZ780" t="s">
        <v>74</v>
      </c>
      <c r="BA780" t="s">
        <v>74</v>
      </c>
      <c r="BB780">
        <v>2958</v>
      </c>
      <c r="BC780">
        <v>2971</v>
      </c>
      <c r="BD780" t="s">
        <v>74</v>
      </c>
      <c r="BE780" t="s">
        <v>15486</v>
      </c>
      <c r="BF780" t="str">
        <f>HYPERLINK("http://dx.doi.org/10.1109/TVT.2019.2895682","http://dx.doi.org/10.1109/TVT.2019.2895682")</f>
        <v>http://dx.doi.org/10.1109/TVT.2019.2895682</v>
      </c>
      <c r="BG780" t="s">
        <v>74</v>
      </c>
      <c r="BH780" t="s">
        <v>74</v>
      </c>
      <c r="BI780">
        <v>14</v>
      </c>
      <c r="BJ780" t="s">
        <v>15487</v>
      </c>
      <c r="BK780" t="s">
        <v>902</v>
      </c>
      <c r="BL780" t="s">
        <v>15488</v>
      </c>
      <c r="BM780" t="s">
        <v>15489</v>
      </c>
      <c r="BN780" t="s">
        <v>74</v>
      </c>
      <c r="BO780" t="s">
        <v>74</v>
      </c>
      <c r="BP780" t="s">
        <v>74</v>
      </c>
      <c r="BQ780" t="s">
        <v>74</v>
      </c>
      <c r="BR780" t="s">
        <v>106</v>
      </c>
      <c r="BS780" t="s">
        <v>15490</v>
      </c>
      <c r="BT780" t="str">
        <f>HYPERLINK("https%3A%2F%2Fwww.webofscience.com%2Fwos%2Fwoscc%2Ffull-record%2FWOS:000461843300074","View Full Record in Web of Science")</f>
        <v>View Full Record in Web of Science</v>
      </c>
    </row>
    <row r="781" spans="1:72" x14ac:dyDescent="0.25">
      <c r="A781" t="s">
        <v>108</v>
      </c>
      <c r="B781" t="s">
        <v>15491</v>
      </c>
      <c r="C781" t="s">
        <v>74</v>
      </c>
      <c r="D781" t="s">
        <v>74</v>
      </c>
      <c r="E781" t="s">
        <v>465</v>
      </c>
      <c r="F781" t="s">
        <v>15492</v>
      </c>
      <c r="G781" t="s">
        <v>74</v>
      </c>
      <c r="H781" t="s">
        <v>74</v>
      </c>
      <c r="I781" t="s">
        <v>15493</v>
      </c>
      <c r="J781" t="s">
        <v>15494</v>
      </c>
      <c r="K781" t="s">
        <v>74</v>
      </c>
      <c r="L781" t="s">
        <v>74</v>
      </c>
      <c r="M781" t="s">
        <v>78</v>
      </c>
      <c r="N781" t="s">
        <v>115</v>
      </c>
      <c r="O781" t="s">
        <v>15495</v>
      </c>
      <c r="P781" t="s">
        <v>15496</v>
      </c>
      <c r="Q781" t="s">
        <v>15497</v>
      </c>
      <c r="R781" t="s">
        <v>15498</v>
      </c>
      <c r="S781" t="s">
        <v>74</v>
      </c>
      <c r="T781" t="s">
        <v>15499</v>
      </c>
      <c r="U781" t="s">
        <v>74</v>
      </c>
      <c r="V781" t="s">
        <v>15500</v>
      </c>
      <c r="W781" t="s">
        <v>15501</v>
      </c>
      <c r="X781" t="s">
        <v>14055</v>
      </c>
      <c r="Y781" t="s">
        <v>15502</v>
      </c>
      <c r="Z781" t="s">
        <v>15503</v>
      </c>
      <c r="AA781" t="s">
        <v>15504</v>
      </c>
      <c r="AB781" t="s">
        <v>15505</v>
      </c>
      <c r="AC781" t="s">
        <v>74</v>
      </c>
      <c r="AD781" t="s">
        <v>74</v>
      </c>
      <c r="AE781" t="s">
        <v>74</v>
      </c>
      <c r="AF781" t="s">
        <v>74</v>
      </c>
      <c r="AG781">
        <v>17</v>
      </c>
      <c r="AH781">
        <v>8</v>
      </c>
      <c r="AI781">
        <v>9</v>
      </c>
      <c r="AJ781">
        <v>0</v>
      </c>
      <c r="AK781">
        <v>4</v>
      </c>
      <c r="AL781" t="s">
        <v>465</v>
      </c>
      <c r="AM781" t="s">
        <v>92</v>
      </c>
      <c r="AN781" t="s">
        <v>480</v>
      </c>
      <c r="AO781" t="s">
        <v>74</v>
      </c>
      <c r="AP781" t="s">
        <v>74</v>
      </c>
      <c r="AQ781" t="s">
        <v>15506</v>
      </c>
      <c r="AR781" t="s">
        <v>74</v>
      </c>
      <c r="AS781" t="s">
        <v>74</v>
      </c>
      <c r="AT781" t="s">
        <v>74</v>
      </c>
      <c r="AU781">
        <v>2014</v>
      </c>
      <c r="AV781" t="s">
        <v>74</v>
      </c>
      <c r="AW781" t="s">
        <v>74</v>
      </c>
      <c r="AX781" t="s">
        <v>74</v>
      </c>
      <c r="AY781" t="s">
        <v>74</v>
      </c>
      <c r="AZ781" t="s">
        <v>74</v>
      </c>
      <c r="BA781" t="s">
        <v>74</v>
      </c>
      <c r="BB781">
        <v>74</v>
      </c>
      <c r="BC781">
        <v>79</v>
      </c>
      <c r="BD781" t="s">
        <v>74</v>
      </c>
      <c r="BE781" t="s">
        <v>74</v>
      </c>
      <c r="BF781" t="s">
        <v>74</v>
      </c>
      <c r="BG781" t="s">
        <v>74</v>
      </c>
      <c r="BH781" t="s">
        <v>74</v>
      </c>
      <c r="BI781">
        <v>6</v>
      </c>
      <c r="BJ781" t="s">
        <v>7171</v>
      </c>
      <c r="BK781" t="s">
        <v>203</v>
      </c>
      <c r="BL781" t="s">
        <v>953</v>
      </c>
      <c r="BM781" t="s">
        <v>15507</v>
      </c>
      <c r="BN781" t="s">
        <v>74</v>
      </c>
      <c r="BO781" t="s">
        <v>74</v>
      </c>
      <c r="BP781" t="s">
        <v>74</v>
      </c>
      <c r="BQ781" t="s">
        <v>74</v>
      </c>
      <c r="BR781" t="s">
        <v>106</v>
      </c>
      <c r="BS781" t="s">
        <v>15508</v>
      </c>
      <c r="BT781" t="str">
        <f>HYPERLINK("https%3A%2F%2Fwww.webofscience.com%2Fwos%2Fwoscc%2Ffull-record%2FWOS:000354960600016","View Full Record in Web of Science")</f>
        <v>View Full Record in Web of Science</v>
      </c>
    </row>
    <row r="782" spans="1:72" x14ac:dyDescent="0.25">
      <c r="A782" t="s">
        <v>72</v>
      </c>
      <c r="B782" t="s">
        <v>15509</v>
      </c>
      <c r="C782" t="s">
        <v>74</v>
      </c>
      <c r="D782" t="s">
        <v>74</v>
      </c>
      <c r="E782" t="s">
        <v>74</v>
      </c>
      <c r="F782" t="s">
        <v>15510</v>
      </c>
      <c r="G782" t="s">
        <v>74</v>
      </c>
      <c r="H782" t="s">
        <v>74</v>
      </c>
      <c r="I782" t="s">
        <v>15511</v>
      </c>
      <c r="J782" t="s">
        <v>15512</v>
      </c>
      <c r="K782" t="s">
        <v>74</v>
      </c>
      <c r="L782" t="s">
        <v>74</v>
      </c>
      <c r="M782" t="s">
        <v>78</v>
      </c>
      <c r="N782" t="s">
        <v>79</v>
      </c>
      <c r="O782" t="s">
        <v>74</v>
      </c>
      <c r="P782" t="s">
        <v>74</v>
      </c>
      <c r="Q782" t="s">
        <v>74</v>
      </c>
      <c r="R782" t="s">
        <v>74</v>
      </c>
      <c r="S782" t="s">
        <v>74</v>
      </c>
      <c r="T782" t="s">
        <v>15513</v>
      </c>
      <c r="U782" t="s">
        <v>74</v>
      </c>
      <c r="V782" t="s">
        <v>15514</v>
      </c>
      <c r="W782" t="s">
        <v>15515</v>
      </c>
      <c r="X782" t="s">
        <v>15516</v>
      </c>
      <c r="Y782" t="s">
        <v>15517</v>
      </c>
      <c r="Z782" t="s">
        <v>15518</v>
      </c>
      <c r="AA782" t="s">
        <v>15519</v>
      </c>
      <c r="AB782" t="s">
        <v>74</v>
      </c>
      <c r="AC782" t="s">
        <v>15520</v>
      </c>
      <c r="AD782" t="s">
        <v>15521</v>
      </c>
      <c r="AE782" t="s">
        <v>15522</v>
      </c>
      <c r="AF782" t="s">
        <v>74</v>
      </c>
      <c r="AG782">
        <v>36</v>
      </c>
      <c r="AH782">
        <v>2</v>
      </c>
      <c r="AI782">
        <v>2</v>
      </c>
      <c r="AJ782">
        <v>0</v>
      </c>
      <c r="AK782">
        <v>24</v>
      </c>
      <c r="AL782" t="s">
        <v>1813</v>
      </c>
      <c r="AM782" t="s">
        <v>1814</v>
      </c>
      <c r="AN782" t="s">
        <v>10021</v>
      </c>
      <c r="AO782" t="s">
        <v>15523</v>
      </c>
      <c r="AP782" t="s">
        <v>15524</v>
      </c>
      <c r="AQ782" t="s">
        <v>74</v>
      </c>
      <c r="AR782" t="s">
        <v>15525</v>
      </c>
      <c r="AS782" t="s">
        <v>15526</v>
      </c>
      <c r="AT782" t="s">
        <v>98</v>
      </c>
      <c r="AU782">
        <v>2021</v>
      </c>
      <c r="AV782">
        <v>20</v>
      </c>
      <c r="AW782">
        <v>4</v>
      </c>
      <c r="AX782" t="s">
        <v>74</v>
      </c>
      <c r="AY782" t="s">
        <v>74</v>
      </c>
      <c r="AZ782" t="s">
        <v>74</v>
      </c>
      <c r="BA782" t="s">
        <v>74</v>
      </c>
      <c r="BB782" t="s">
        <v>74</v>
      </c>
      <c r="BC782" t="s">
        <v>74</v>
      </c>
      <c r="BD782">
        <v>2150044</v>
      </c>
      <c r="BE782" t="s">
        <v>15527</v>
      </c>
      <c r="BF782" t="str">
        <f>HYPERLINK("http://dx.doi.org/10.1142/S0219649221500441","http://dx.doi.org/10.1142/S0219649221500441")</f>
        <v>http://dx.doi.org/10.1142/S0219649221500441</v>
      </c>
      <c r="BG782" t="s">
        <v>74</v>
      </c>
      <c r="BH782" t="s">
        <v>74</v>
      </c>
      <c r="BI782">
        <v>26</v>
      </c>
      <c r="BJ782" t="s">
        <v>1041</v>
      </c>
      <c r="BK782" t="s">
        <v>102</v>
      </c>
      <c r="BL782" t="s">
        <v>1041</v>
      </c>
      <c r="BM782" t="s">
        <v>15528</v>
      </c>
      <c r="BN782" t="s">
        <v>74</v>
      </c>
      <c r="BO782" t="s">
        <v>74</v>
      </c>
      <c r="BP782" t="s">
        <v>74</v>
      </c>
      <c r="BQ782" t="s">
        <v>74</v>
      </c>
      <c r="BR782" t="s">
        <v>106</v>
      </c>
      <c r="BS782" t="s">
        <v>15529</v>
      </c>
      <c r="BT782" t="str">
        <f>HYPERLINK("https%3A%2F%2Fwww.webofscience.com%2Fwos%2Fwoscc%2Ffull-record%2FWOS:000702448000013","View Full Record in Web of Science")</f>
        <v>View Full Record in Web of Science</v>
      </c>
    </row>
    <row r="783" spans="1:72" x14ac:dyDescent="0.25">
      <c r="A783" t="s">
        <v>72</v>
      </c>
      <c r="B783" t="s">
        <v>15530</v>
      </c>
      <c r="C783" t="s">
        <v>74</v>
      </c>
      <c r="D783" t="s">
        <v>74</v>
      </c>
      <c r="E783" t="s">
        <v>74</v>
      </c>
      <c r="F783" t="s">
        <v>15531</v>
      </c>
      <c r="G783" t="s">
        <v>74</v>
      </c>
      <c r="H783" t="s">
        <v>74</v>
      </c>
      <c r="I783" t="s">
        <v>15532</v>
      </c>
      <c r="J783" t="s">
        <v>7177</v>
      </c>
      <c r="K783" t="s">
        <v>74</v>
      </c>
      <c r="L783" t="s">
        <v>74</v>
      </c>
      <c r="M783" t="s">
        <v>78</v>
      </c>
      <c r="N783" t="s">
        <v>79</v>
      </c>
      <c r="O783" t="s">
        <v>74</v>
      </c>
      <c r="P783" t="s">
        <v>74</v>
      </c>
      <c r="Q783" t="s">
        <v>74</v>
      </c>
      <c r="R783" t="s">
        <v>74</v>
      </c>
      <c r="S783" t="s">
        <v>74</v>
      </c>
      <c r="T783" t="s">
        <v>15533</v>
      </c>
      <c r="U783" t="s">
        <v>15534</v>
      </c>
      <c r="V783" t="s">
        <v>15535</v>
      </c>
      <c r="W783" t="s">
        <v>15536</v>
      </c>
      <c r="X783" t="s">
        <v>15537</v>
      </c>
      <c r="Y783" t="s">
        <v>15538</v>
      </c>
      <c r="Z783" t="s">
        <v>15539</v>
      </c>
      <c r="AA783" t="s">
        <v>74</v>
      </c>
      <c r="AB783" t="s">
        <v>74</v>
      </c>
      <c r="AC783" t="s">
        <v>74</v>
      </c>
      <c r="AD783" t="s">
        <v>74</v>
      </c>
      <c r="AE783" t="s">
        <v>74</v>
      </c>
      <c r="AF783" t="s">
        <v>74</v>
      </c>
      <c r="AG783">
        <v>54</v>
      </c>
      <c r="AH783">
        <v>53</v>
      </c>
      <c r="AI783">
        <v>72</v>
      </c>
      <c r="AJ783">
        <v>0</v>
      </c>
      <c r="AK783">
        <v>4</v>
      </c>
      <c r="AL783" t="s">
        <v>291</v>
      </c>
      <c r="AM783" t="s">
        <v>92</v>
      </c>
      <c r="AN783" t="s">
        <v>847</v>
      </c>
      <c r="AO783" t="s">
        <v>7188</v>
      </c>
      <c r="AP783" t="s">
        <v>7189</v>
      </c>
      <c r="AQ783" t="s">
        <v>74</v>
      </c>
      <c r="AR783" t="s">
        <v>7190</v>
      </c>
      <c r="AS783" t="s">
        <v>7191</v>
      </c>
      <c r="AT783" t="s">
        <v>1278</v>
      </c>
      <c r="AU783">
        <v>2007</v>
      </c>
      <c r="AV783">
        <v>25</v>
      </c>
      <c r="AW783">
        <v>1</v>
      </c>
      <c r="AX783" t="s">
        <v>74</v>
      </c>
      <c r="AY783" t="s">
        <v>74</v>
      </c>
      <c r="AZ783" t="s">
        <v>74</v>
      </c>
      <c r="BA783" t="s">
        <v>74</v>
      </c>
      <c r="BB783" t="s">
        <v>74</v>
      </c>
      <c r="BC783" t="s">
        <v>74</v>
      </c>
      <c r="BD783">
        <v>5</v>
      </c>
      <c r="BE783" t="s">
        <v>15540</v>
      </c>
      <c r="BF783" t="str">
        <f>HYPERLINK("http://dx.doi.org/10.1145/1198296.1198301","http://dx.doi.org/10.1145/1198296.1198301")</f>
        <v>http://dx.doi.org/10.1145/1198296.1198301</v>
      </c>
      <c r="BG783" t="s">
        <v>74</v>
      </c>
      <c r="BH783" t="s">
        <v>74</v>
      </c>
      <c r="BI783">
        <v>38</v>
      </c>
      <c r="BJ783" t="s">
        <v>852</v>
      </c>
      <c r="BK783" t="s">
        <v>902</v>
      </c>
      <c r="BL783" t="s">
        <v>103</v>
      </c>
      <c r="BM783" t="s">
        <v>15541</v>
      </c>
      <c r="BN783" t="s">
        <v>74</v>
      </c>
      <c r="BO783" t="s">
        <v>74</v>
      </c>
      <c r="BP783" t="s">
        <v>74</v>
      </c>
      <c r="BQ783" t="s">
        <v>74</v>
      </c>
      <c r="BR783" t="s">
        <v>106</v>
      </c>
      <c r="BS783" t="s">
        <v>15542</v>
      </c>
      <c r="BT783" t="str">
        <f>HYPERLINK("https%3A%2F%2Fwww.webofscience.com%2Fwos%2Fwoscc%2Ffull-record%2FWOS:000244528000005","View Full Record in Web of Science")</f>
        <v>View Full Record in Web of Science</v>
      </c>
    </row>
    <row r="784" spans="1:72" x14ac:dyDescent="0.25">
      <c r="A784" t="s">
        <v>108</v>
      </c>
      <c r="B784" t="s">
        <v>15543</v>
      </c>
      <c r="C784" t="s">
        <v>74</v>
      </c>
      <c r="D784" t="s">
        <v>74</v>
      </c>
      <c r="E784" t="s">
        <v>465</v>
      </c>
      <c r="F784" t="s">
        <v>15544</v>
      </c>
      <c r="G784" t="s">
        <v>74</v>
      </c>
      <c r="H784" t="s">
        <v>74</v>
      </c>
      <c r="I784" t="s">
        <v>15545</v>
      </c>
      <c r="J784" t="s">
        <v>15546</v>
      </c>
      <c r="K784" t="s">
        <v>13465</v>
      </c>
      <c r="L784" t="s">
        <v>74</v>
      </c>
      <c r="M784" t="s">
        <v>78</v>
      </c>
      <c r="N784" t="s">
        <v>115</v>
      </c>
      <c r="O784" t="s">
        <v>15547</v>
      </c>
      <c r="P784" t="s">
        <v>15548</v>
      </c>
      <c r="Q784" t="s">
        <v>15549</v>
      </c>
      <c r="R784" t="s">
        <v>15550</v>
      </c>
      <c r="S784" t="s">
        <v>74</v>
      </c>
      <c r="T784" t="s">
        <v>74</v>
      </c>
      <c r="U784" t="s">
        <v>74</v>
      </c>
      <c r="V784" t="s">
        <v>15551</v>
      </c>
      <c r="W784" t="s">
        <v>15552</v>
      </c>
      <c r="X784" t="s">
        <v>15553</v>
      </c>
      <c r="Y784" t="s">
        <v>15554</v>
      </c>
      <c r="Z784" t="s">
        <v>15555</v>
      </c>
      <c r="AA784" t="s">
        <v>74</v>
      </c>
      <c r="AB784" t="s">
        <v>74</v>
      </c>
      <c r="AC784" t="s">
        <v>74</v>
      </c>
      <c r="AD784" t="s">
        <v>74</v>
      </c>
      <c r="AE784" t="s">
        <v>74</v>
      </c>
      <c r="AF784" t="s">
        <v>74</v>
      </c>
      <c r="AG784">
        <v>19</v>
      </c>
      <c r="AH784">
        <v>9</v>
      </c>
      <c r="AI784">
        <v>9</v>
      </c>
      <c r="AJ784">
        <v>0</v>
      </c>
      <c r="AK784">
        <v>2</v>
      </c>
      <c r="AL784" t="s">
        <v>465</v>
      </c>
      <c r="AM784" t="s">
        <v>92</v>
      </c>
      <c r="AN784" t="s">
        <v>480</v>
      </c>
      <c r="AO784" t="s">
        <v>13475</v>
      </c>
      <c r="AP784" t="s">
        <v>74</v>
      </c>
      <c r="AQ784" t="s">
        <v>15556</v>
      </c>
      <c r="AR784" t="s">
        <v>13477</v>
      </c>
      <c r="AS784" t="s">
        <v>74</v>
      </c>
      <c r="AT784" t="s">
        <v>74</v>
      </c>
      <c r="AU784">
        <v>2014</v>
      </c>
      <c r="AV784" t="s">
        <v>74</v>
      </c>
      <c r="AW784" t="s">
        <v>74</v>
      </c>
      <c r="AX784" t="s">
        <v>74</v>
      </c>
      <c r="AY784" t="s">
        <v>74</v>
      </c>
      <c r="AZ784" t="s">
        <v>74</v>
      </c>
      <c r="BA784" t="s">
        <v>74</v>
      </c>
      <c r="BB784">
        <v>440</v>
      </c>
      <c r="BC784">
        <v>445</v>
      </c>
      <c r="BD784" t="s">
        <v>74</v>
      </c>
      <c r="BE784" t="s">
        <v>74</v>
      </c>
      <c r="BF784" t="s">
        <v>74</v>
      </c>
      <c r="BG784" t="s">
        <v>74</v>
      </c>
      <c r="BH784" t="s">
        <v>74</v>
      </c>
      <c r="BI784">
        <v>6</v>
      </c>
      <c r="BJ784" t="s">
        <v>972</v>
      </c>
      <c r="BK784" t="s">
        <v>203</v>
      </c>
      <c r="BL784" t="s">
        <v>953</v>
      </c>
      <c r="BM784" t="s">
        <v>15557</v>
      </c>
      <c r="BN784" t="s">
        <v>74</v>
      </c>
      <c r="BO784" t="s">
        <v>74</v>
      </c>
      <c r="BP784" t="s">
        <v>74</v>
      </c>
      <c r="BQ784" t="s">
        <v>74</v>
      </c>
      <c r="BR784" t="s">
        <v>106</v>
      </c>
      <c r="BS784" t="s">
        <v>15558</v>
      </c>
      <c r="BT784" t="str">
        <f>HYPERLINK("https%3A%2F%2Fwww.webofscience.com%2Fwos%2Fwoscc%2Ffull-record%2FWOS:000380798000081","View Full Record in Web of Science")</f>
        <v>View Full Record in Web of Science</v>
      </c>
    </row>
    <row r="785" spans="1:72" x14ac:dyDescent="0.25">
      <c r="A785" t="s">
        <v>108</v>
      </c>
      <c r="B785" t="s">
        <v>15559</v>
      </c>
      <c r="C785" t="s">
        <v>74</v>
      </c>
      <c r="D785" t="s">
        <v>15560</v>
      </c>
      <c r="E785" t="s">
        <v>74</v>
      </c>
      <c r="F785" t="s">
        <v>15561</v>
      </c>
      <c r="G785" t="s">
        <v>74</v>
      </c>
      <c r="H785" t="s">
        <v>74</v>
      </c>
      <c r="I785" t="s">
        <v>15562</v>
      </c>
      <c r="J785" t="s">
        <v>15563</v>
      </c>
      <c r="K785" t="s">
        <v>9126</v>
      </c>
      <c r="L785" t="s">
        <v>74</v>
      </c>
      <c r="M785" t="s">
        <v>78</v>
      </c>
      <c r="N785" t="s">
        <v>115</v>
      </c>
      <c r="O785" t="s">
        <v>15564</v>
      </c>
      <c r="P785" t="s">
        <v>15565</v>
      </c>
      <c r="Q785" t="s">
        <v>8090</v>
      </c>
      <c r="R785" t="s">
        <v>74</v>
      </c>
      <c r="S785" t="s">
        <v>74</v>
      </c>
      <c r="T785" t="s">
        <v>15566</v>
      </c>
      <c r="U785" t="s">
        <v>74</v>
      </c>
      <c r="V785" t="s">
        <v>15567</v>
      </c>
      <c r="W785" t="s">
        <v>15568</v>
      </c>
      <c r="X785" t="s">
        <v>15085</v>
      </c>
      <c r="Y785" t="s">
        <v>15569</v>
      </c>
      <c r="Z785" t="s">
        <v>15570</v>
      </c>
      <c r="AA785" t="s">
        <v>74</v>
      </c>
      <c r="AB785" t="s">
        <v>74</v>
      </c>
      <c r="AC785" t="s">
        <v>74</v>
      </c>
      <c r="AD785" t="s">
        <v>74</v>
      </c>
      <c r="AE785" t="s">
        <v>74</v>
      </c>
      <c r="AF785" t="s">
        <v>74</v>
      </c>
      <c r="AG785">
        <v>6</v>
      </c>
      <c r="AH785">
        <v>0</v>
      </c>
      <c r="AI785">
        <v>0</v>
      </c>
      <c r="AJ785">
        <v>0</v>
      </c>
      <c r="AK785">
        <v>5</v>
      </c>
      <c r="AL785" t="s">
        <v>2179</v>
      </c>
      <c r="AM785" t="s">
        <v>363</v>
      </c>
      <c r="AN785" t="s">
        <v>2180</v>
      </c>
      <c r="AO785" t="s">
        <v>9137</v>
      </c>
      <c r="AP785" t="s">
        <v>14020</v>
      </c>
      <c r="AQ785" t="s">
        <v>15571</v>
      </c>
      <c r="AR785" t="s">
        <v>9139</v>
      </c>
      <c r="AS785" t="s">
        <v>74</v>
      </c>
      <c r="AT785" t="s">
        <v>74</v>
      </c>
      <c r="AU785">
        <v>2016</v>
      </c>
      <c r="AV785">
        <v>281</v>
      </c>
      <c r="AW785" t="s">
        <v>74</v>
      </c>
      <c r="AX785" t="s">
        <v>74</v>
      </c>
      <c r="AY785" t="s">
        <v>74</v>
      </c>
      <c r="AZ785" t="s">
        <v>74</v>
      </c>
      <c r="BA785" t="s">
        <v>74</v>
      </c>
      <c r="BB785">
        <v>284</v>
      </c>
      <c r="BC785">
        <v>292</v>
      </c>
      <c r="BD785" t="s">
        <v>74</v>
      </c>
      <c r="BE785" t="s">
        <v>15572</v>
      </c>
      <c r="BF785" t="str">
        <f>HYPERLINK("http://dx.doi.org/10.3233/978-1-61499-619-4-284","http://dx.doi.org/10.3233/978-1-61499-619-4-284")</f>
        <v>http://dx.doi.org/10.3233/978-1-61499-619-4-284</v>
      </c>
      <c r="BG785" t="s">
        <v>74</v>
      </c>
      <c r="BH785" t="s">
        <v>74</v>
      </c>
      <c r="BI785">
        <v>9</v>
      </c>
      <c r="BJ785" t="s">
        <v>461</v>
      </c>
      <c r="BK785" t="s">
        <v>203</v>
      </c>
      <c r="BL785" t="s">
        <v>103</v>
      </c>
      <c r="BM785" t="s">
        <v>15573</v>
      </c>
      <c r="BN785" t="s">
        <v>74</v>
      </c>
      <c r="BO785" t="s">
        <v>74</v>
      </c>
      <c r="BP785" t="s">
        <v>74</v>
      </c>
      <c r="BQ785" t="s">
        <v>74</v>
      </c>
      <c r="BR785" t="s">
        <v>106</v>
      </c>
      <c r="BS785" t="s">
        <v>15574</v>
      </c>
      <c r="BT785" t="str">
        <f>HYPERLINK("https%3A%2F%2Fwww.webofscience.com%2Fwos%2Fwoscc%2Ffull-record%2FWOS:000383745100039","View Full Record in Web of Science")</f>
        <v>View Full Record in Web of Science</v>
      </c>
    </row>
    <row r="786" spans="1:72" x14ac:dyDescent="0.25">
      <c r="A786" t="s">
        <v>72</v>
      </c>
      <c r="B786" t="s">
        <v>15575</v>
      </c>
      <c r="C786" t="s">
        <v>74</v>
      </c>
      <c r="D786" t="s">
        <v>74</v>
      </c>
      <c r="E786" t="s">
        <v>74</v>
      </c>
      <c r="F786" t="s">
        <v>15576</v>
      </c>
      <c r="G786" t="s">
        <v>74</v>
      </c>
      <c r="H786" t="s">
        <v>74</v>
      </c>
      <c r="I786" t="s">
        <v>15577</v>
      </c>
      <c r="J786" t="s">
        <v>15578</v>
      </c>
      <c r="K786" t="s">
        <v>74</v>
      </c>
      <c r="L786" t="s">
        <v>74</v>
      </c>
      <c r="M786" t="s">
        <v>78</v>
      </c>
      <c r="N786" t="s">
        <v>79</v>
      </c>
      <c r="O786" t="s">
        <v>74</v>
      </c>
      <c r="P786" t="s">
        <v>74</v>
      </c>
      <c r="Q786" t="s">
        <v>74</v>
      </c>
      <c r="R786" t="s">
        <v>74</v>
      </c>
      <c r="S786" t="s">
        <v>74</v>
      </c>
      <c r="T786" t="s">
        <v>15579</v>
      </c>
      <c r="U786" t="s">
        <v>15580</v>
      </c>
      <c r="V786" t="s">
        <v>15581</v>
      </c>
      <c r="W786" t="s">
        <v>15582</v>
      </c>
      <c r="X786" t="s">
        <v>15583</v>
      </c>
      <c r="Y786" t="s">
        <v>15584</v>
      </c>
      <c r="Z786" t="s">
        <v>15585</v>
      </c>
      <c r="AA786" t="s">
        <v>15586</v>
      </c>
      <c r="AB786" t="s">
        <v>15587</v>
      </c>
      <c r="AC786" t="s">
        <v>74</v>
      </c>
      <c r="AD786" t="s">
        <v>74</v>
      </c>
      <c r="AE786" t="s">
        <v>74</v>
      </c>
      <c r="AF786" t="s">
        <v>74</v>
      </c>
      <c r="AG786">
        <v>56</v>
      </c>
      <c r="AH786">
        <v>7</v>
      </c>
      <c r="AI786">
        <v>8</v>
      </c>
      <c r="AJ786">
        <v>4</v>
      </c>
      <c r="AK786">
        <v>24</v>
      </c>
      <c r="AL786" t="s">
        <v>2465</v>
      </c>
      <c r="AM786" t="s">
        <v>311</v>
      </c>
      <c r="AN786" t="s">
        <v>2466</v>
      </c>
      <c r="AO786" t="s">
        <v>15588</v>
      </c>
      <c r="AP786" t="s">
        <v>15589</v>
      </c>
      <c r="AQ786" t="s">
        <v>74</v>
      </c>
      <c r="AR786" t="s">
        <v>15590</v>
      </c>
      <c r="AS786" t="s">
        <v>15591</v>
      </c>
      <c r="AT786" t="s">
        <v>5278</v>
      </c>
      <c r="AU786">
        <v>2024</v>
      </c>
      <c r="AV786">
        <v>27</v>
      </c>
      <c r="AW786">
        <v>6</v>
      </c>
      <c r="AX786" t="s">
        <v>74</v>
      </c>
      <c r="AY786" t="s">
        <v>74</v>
      </c>
      <c r="AZ786" t="s">
        <v>74</v>
      </c>
      <c r="BA786" t="s">
        <v>74</v>
      </c>
      <c r="BB786">
        <v>1852</v>
      </c>
      <c r="BC786">
        <v>1867</v>
      </c>
      <c r="BD786" t="s">
        <v>74</v>
      </c>
      <c r="BE786" t="s">
        <v>15592</v>
      </c>
      <c r="BF786" t="str">
        <f>HYPERLINK("http://dx.doi.org/10.1080/10095020.2023.2273826","http://dx.doi.org/10.1080/10095020.2023.2273826")</f>
        <v>http://dx.doi.org/10.1080/10095020.2023.2273826</v>
      </c>
      <c r="BG786" t="s">
        <v>74</v>
      </c>
      <c r="BH786" t="s">
        <v>15593</v>
      </c>
      <c r="BI786">
        <v>16</v>
      </c>
      <c r="BJ786" t="s">
        <v>5431</v>
      </c>
      <c r="BK786" t="s">
        <v>902</v>
      </c>
      <c r="BL786" t="s">
        <v>5431</v>
      </c>
      <c r="BM786" t="s">
        <v>15594</v>
      </c>
      <c r="BN786" t="s">
        <v>74</v>
      </c>
      <c r="BO786" t="s">
        <v>398</v>
      </c>
      <c r="BP786" t="s">
        <v>74</v>
      </c>
      <c r="BQ786" t="s">
        <v>74</v>
      </c>
      <c r="BR786" t="s">
        <v>106</v>
      </c>
      <c r="BS786" t="s">
        <v>15595</v>
      </c>
      <c r="BT786" t="str">
        <f>HYPERLINK("https%3A%2F%2Fwww.webofscience.com%2Fwos%2Fwoscc%2Ffull-record%2FWOS:001102184400001","View Full Record in Web of Science")</f>
        <v>View Full Record in Web of Science</v>
      </c>
    </row>
    <row r="787" spans="1:72" x14ac:dyDescent="0.25">
      <c r="A787" t="s">
        <v>72</v>
      </c>
      <c r="B787" t="s">
        <v>15596</v>
      </c>
      <c r="C787" t="s">
        <v>74</v>
      </c>
      <c r="D787" t="s">
        <v>74</v>
      </c>
      <c r="E787" t="s">
        <v>74</v>
      </c>
      <c r="F787" t="s">
        <v>15597</v>
      </c>
      <c r="G787" t="s">
        <v>74</v>
      </c>
      <c r="H787" t="s">
        <v>74</v>
      </c>
      <c r="I787" t="s">
        <v>15598</v>
      </c>
      <c r="J787" t="s">
        <v>15599</v>
      </c>
      <c r="K787" t="s">
        <v>74</v>
      </c>
      <c r="L787" t="s">
        <v>74</v>
      </c>
      <c r="M787" t="s">
        <v>78</v>
      </c>
      <c r="N787" t="s">
        <v>79</v>
      </c>
      <c r="O787" t="s">
        <v>74</v>
      </c>
      <c r="P787" t="s">
        <v>74</v>
      </c>
      <c r="Q787" t="s">
        <v>74</v>
      </c>
      <c r="R787" t="s">
        <v>74</v>
      </c>
      <c r="S787" t="s">
        <v>74</v>
      </c>
      <c r="T787" t="s">
        <v>15600</v>
      </c>
      <c r="U787" t="s">
        <v>15601</v>
      </c>
      <c r="V787" t="s">
        <v>15602</v>
      </c>
      <c r="W787" t="s">
        <v>15603</v>
      </c>
      <c r="X787" t="s">
        <v>15604</v>
      </c>
      <c r="Y787" t="s">
        <v>15605</v>
      </c>
      <c r="Z787" t="s">
        <v>15606</v>
      </c>
      <c r="AA787" t="s">
        <v>74</v>
      </c>
      <c r="AB787" t="s">
        <v>15607</v>
      </c>
      <c r="AC787" t="s">
        <v>15608</v>
      </c>
      <c r="AD787" t="s">
        <v>15609</v>
      </c>
      <c r="AE787" t="s">
        <v>15610</v>
      </c>
      <c r="AF787" t="s">
        <v>74</v>
      </c>
      <c r="AG787">
        <v>38</v>
      </c>
      <c r="AH787">
        <v>5</v>
      </c>
      <c r="AI787">
        <v>10</v>
      </c>
      <c r="AJ787">
        <v>0</v>
      </c>
      <c r="AK787">
        <v>6</v>
      </c>
      <c r="AL787" t="s">
        <v>15611</v>
      </c>
      <c r="AM787" t="s">
        <v>11725</v>
      </c>
      <c r="AN787" t="s">
        <v>15612</v>
      </c>
      <c r="AO787" t="s">
        <v>15613</v>
      </c>
      <c r="AP787" t="s">
        <v>15614</v>
      </c>
      <c r="AQ787" t="s">
        <v>74</v>
      </c>
      <c r="AR787" t="s">
        <v>15615</v>
      </c>
      <c r="AS787" t="s">
        <v>15616</v>
      </c>
      <c r="AT787" t="s">
        <v>4318</v>
      </c>
      <c r="AU787">
        <v>2023</v>
      </c>
      <c r="AV787">
        <v>47</v>
      </c>
      <c r="AW787">
        <v>10</v>
      </c>
      <c r="AX787" t="s">
        <v>74</v>
      </c>
      <c r="AY787" t="s">
        <v>74</v>
      </c>
      <c r="AZ787" t="s">
        <v>74</v>
      </c>
      <c r="BA787" t="s">
        <v>74</v>
      </c>
      <c r="BB787">
        <v>565</v>
      </c>
      <c r="BC787">
        <v>574</v>
      </c>
      <c r="BD787" t="s">
        <v>74</v>
      </c>
      <c r="BE787" t="s">
        <v>15617</v>
      </c>
      <c r="BF787" t="str">
        <f>HYPERLINK("http://dx.doi.org/10.1016/j.medin.2023.03.001","http://dx.doi.org/10.1016/j.medin.2023.03.001")</f>
        <v>http://dx.doi.org/10.1016/j.medin.2023.03.001</v>
      </c>
      <c r="BG787" t="s">
        <v>74</v>
      </c>
      <c r="BH787" t="s">
        <v>15618</v>
      </c>
      <c r="BI787">
        <v>10</v>
      </c>
      <c r="BJ787" t="s">
        <v>15619</v>
      </c>
      <c r="BK787" t="s">
        <v>902</v>
      </c>
      <c r="BL787" t="s">
        <v>10504</v>
      </c>
      <c r="BM787" t="s">
        <v>15620</v>
      </c>
      <c r="BN787">
        <v>37088658</v>
      </c>
      <c r="BO787" t="s">
        <v>74</v>
      </c>
      <c r="BP787" t="s">
        <v>74</v>
      </c>
      <c r="BQ787" t="s">
        <v>74</v>
      </c>
      <c r="BR787" t="s">
        <v>106</v>
      </c>
      <c r="BS787" t="s">
        <v>15621</v>
      </c>
      <c r="BT787" t="str">
        <f>HYPERLINK("https%3A%2F%2Fwww.webofscience.com%2Fwos%2Fwoscc%2Ffull-record%2FWOS:001091806500001","View Full Record in Web of Science")</f>
        <v>View Full Record in Web of Science</v>
      </c>
    </row>
    <row r="788" spans="1:72" x14ac:dyDescent="0.25">
      <c r="A788" t="s">
        <v>72</v>
      </c>
      <c r="B788" t="s">
        <v>15622</v>
      </c>
      <c r="C788" t="s">
        <v>74</v>
      </c>
      <c r="D788" t="s">
        <v>74</v>
      </c>
      <c r="E788" t="s">
        <v>74</v>
      </c>
      <c r="F788" t="s">
        <v>15623</v>
      </c>
      <c r="G788" t="s">
        <v>74</v>
      </c>
      <c r="H788" t="s">
        <v>74</v>
      </c>
      <c r="I788" t="s">
        <v>15624</v>
      </c>
      <c r="J788" t="s">
        <v>882</v>
      </c>
      <c r="K788" t="s">
        <v>74</v>
      </c>
      <c r="L788" t="s">
        <v>74</v>
      </c>
      <c r="M788" t="s">
        <v>78</v>
      </c>
      <c r="N788" t="s">
        <v>79</v>
      </c>
      <c r="O788" t="s">
        <v>74</v>
      </c>
      <c r="P788" t="s">
        <v>74</v>
      </c>
      <c r="Q788" t="s">
        <v>74</v>
      </c>
      <c r="R788" t="s">
        <v>74</v>
      </c>
      <c r="S788" t="s">
        <v>74</v>
      </c>
      <c r="T788" t="s">
        <v>15625</v>
      </c>
      <c r="U788" t="s">
        <v>15626</v>
      </c>
      <c r="V788" t="s">
        <v>15627</v>
      </c>
      <c r="W788" t="s">
        <v>15628</v>
      </c>
      <c r="X788" t="s">
        <v>15629</v>
      </c>
      <c r="Y788" t="s">
        <v>15630</v>
      </c>
      <c r="Z788" t="s">
        <v>15631</v>
      </c>
      <c r="AA788" t="s">
        <v>15632</v>
      </c>
      <c r="AB788" t="s">
        <v>15633</v>
      </c>
      <c r="AC788" t="s">
        <v>15634</v>
      </c>
      <c r="AD788" t="s">
        <v>15635</v>
      </c>
      <c r="AE788" t="s">
        <v>15636</v>
      </c>
      <c r="AF788" t="s">
        <v>74</v>
      </c>
      <c r="AG788">
        <v>50</v>
      </c>
      <c r="AH788">
        <v>0</v>
      </c>
      <c r="AI788">
        <v>0</v>
      </c>
      <c r="AJ788">
        <v>0</v>
      </c>
      <c r="AK788">
        <v>0</v>
      </c>
      <c r="AL788" t="s">
        <v>895</v>
      </c>
      <c r="AM788" t="s">
        <v>896</v>
      </c>
      <c r="AN788" t="s">
        <v>897</v>
      </c>
      <c r="AO788" t="s">
        <v>898</v>
      </c>
      <c r="AP788" t="s">
        <v>74</v>
      </c>
      <c r="AQ788" t="s">
        <v>74</v>
      </c>
      <c r="AR788" t="s">
        <v>882</v>
      </c>
      <c r="AS788" t="s">
        <v>899</v>
      </c>
      <c r="AT788" t="s">
        <v>74</v>
      </c>
      <c r="AU788">
        <v>2025</v>
      </c>
      <c r="AV788">
        <v>13</v>
      </c>
      <c r="AW788" t="s">
        <v>74</v>
      </c>
      <c r="AX788" t="s">
        <v>74</v>
      </c>
      <c r="AY788" t="s">
        <v>74</v>
      </c>
      <c r="AZ788" t="s">
        <v>74</v>
      </c>
      <c r="BA788" t="s">
        <v>74</v>
      </c>
      <c r="BB788">
        <v>196747</v>
      </c>
      <c r="BC788">
        <v>196765</v>
      </c>
      <c r="BD788" t="s">
        <v>74</v>
      </c>
      <c r="BE788" t="s">
        <v>15637</v>
      </c>
      <c r="BF788" t="str">
        <f>HYPERLINK("http://dx.doi.org/10.1109/ACCESS.2025.3633695","http://dx.doi.org/10.1109/ACCESS.2025.3633695")</f>
        <v>http://dx.doi.org/10.1109/ACCESS.2025.3633695</v>
      </c>
      <c r="BG788" t="s">
        <v>74</v>
      </c>
      <c r="BH788" t="s">
        <v>74</v>
      </c>
      <c r="BI788">
        <v>19</v>
      </c>
      <c r="BJ788" t="s">
        <v>901</v>
      </c>
      <c r="BK788" t="s">
        <v>902</v>
      </c>
      <c r="BL788" t="s">
        <v>903</v>
      </c>
      <c r="BM788" t="s">
        <v>15638</v>
      </c>
      <c r="BN788" t="s">
        <v>74</v>
      </c>
      <c r="BO788" t="s">
        <v>15639</v>
      </c>
      <c r="BP788" t="s">
        <v>74</v>
      </c>
      <c r="BQ788" t="s">
        <v>74</v>
      </c>
      <c r="BR788" t="s">
        <v>106</v>
      </c>
      <c r="BS788" t="s">
        <v>15640</v>
      </c>
      <c r="BT788" t="str">
        <f>HYPERLINK("https%3A%2F%2Fwww.webofscience.com%2Fwos%2Fwoscc%2Ffull-record%2FWOS:001626857700020","View Full Record in Web of Science")</f>
        <v>View Full Record in Web of Science</v>
      </c>
    </row>
    <row r="789" spans="1:72" x14ac:dyDescent="0.25">
      <c r="A789" t="s">
        <v>72</v>
      </c>
      <c r="B789" t="s">
        <v>15641</v>
      </c>
      <c r="C789" t="s">
        <v>74</v>
      </c>
      <c r="D789" t="s">
        <v>74</v>
      </c>
      <c r="E789" t="s">
        <v>74</v>
      </c>
      <c r="F789" t="s">
        <v>15642</v>
      </c>
      <c r="G789" t="s">
        <v>74</v>
      </c>
      <c r="H789" t="s">
        <v>74</v>
      </c>
      <c r="I789" t="s">
        <v>15643</v>
      </c>
      <c r="J789" t="s">
        <v>15644</v>
      </c>
      <c r="K789" t="s">
        <v>74</v>
      </c>
      <c r="L789" t="s">
        <v>74</v>
      </c>
      <c r="M789" t="s">
        <v>78</v>
      </c>
      <c r="N789" t="s">
        <v>79</v>
      </c>
      <c r="O789" t="s">
        <v>74</v>
      </c>
      <c r="P789" t="s">
        <v>74</v>
      </c>
      <c r="Q789" t="s">
        <v>74</v>
      </c>
      <c r="R789" t="s">
        <v>74</v>
      </c>
      <c r="S789" t="s">
        <v>74</v>
      </c>
      <c r="T789" t="s">
        <v>15645</v>
      </c>
      <c r="U789" t="s">
        <v>74</v>
      </c>
      <c r="V789" t="s">
        <v>15646</v>
      </c>
      <c r="W789" t="s">
        <v>15647</v>
      </c>
      <c r="X789" t="s">
        <v>15648</v>
      </c>
      <c r="Y789" t="s">
        <v>15649</v>
      </c>
      <c r="Z789" t="s">
        <v>15650</v>
      </c>
      <c r="AA789" t="s">
        <v>74</v>
      </c>
      <c r="AB789" t="s">
        <v>74</v>
      </c>
      <c r="AC789" t="s">
        <v>74</v>
      </c>
      <c r="AD789" t="s">
        <v>74</v>
      </c>
      <c r="AE789" t="s">
        <v>74</v>
      </c>
      <c r="AF789" t="s">
        <v>74</v>
      </c>
      <c r="AG789">
        <v>16</v>
      </c>
      <c r="AH789">
        <v>9</v>
      </c>
      <c r="AI789">
        <v>9</v>
      </c>
      <c r="AJ789">
        <v>0</v>
      </c>
      <c r="AK789">
        <v>2</v>
      </c>
      <c r="AL789" t="s">
        <v>13502</v>
      </c>
      <c r="AM789" t="s">
        <v>9823</v>
      </c>
      <c r="AN789" t="s">
        <v>9824</v>
      </c>
      <c r="AO789" t="s">
        <v>15651</v>
      </c>
      <c r="AP789" t="s">
        <v>15652</v>
      </c>
      <c r="AQ789" t="s">
        <v>74</v>
      </c>
      <c r="AR789" t="s">
        <v>15653</v>
      </c>
      <c r="AS789" t="s">
        <v>15654</v>
      </c>
      <c r="AT789" t="s">
        <v>1375</v>
      </c>
      <c r="AU789">
        <v>2016</v>
      </c>
      <c r="AV789" t="s">
        <v>15655</v>
      </c>
      <c r="AW789">
        <v>6</v>
      </c>
      <c r="AX789" t="s">
        <v>74</v>
      </c>
      <c r="AY789" t="s">
        <v>74</v>
      </c>
      <c r="AZ789" t="s">
        <v>74</v>
      </c>
      <c r="BA789" t="s">
        <v>74</v>
      </c>
      <c r="BB789">
        <v>1353</v>
      </c>
      <c r="BC789">
        <v>1361</v>
      </c>
      <c r="BD789" t="s">
        <v>74</v>
      </c>
      <c r="BE789" t="s">
        <v>15656</v>
      </c>
      <c r="BF789" t="str">
        <f>HYPERLINK("http://dx.doi.org/10.1587/transcom.2015EBP3467","http://dx.doi.org/10.1587/transcom.2015EBP3467")</f>
        <v>http://dx.doi.org/10.1587/transcom.2015EBP3467</v>
      </c>
      <c r="BG789" t="s">
        <v>74</v>
      </c>
      <c r="BH789" t="s">
        <v>74</v>
      </c>
      <c r="BI789">
        <v>9</v>
      </c>
      <c r="BJ789" t="s">
        <v>2268</v>
      </c>
      <c r="BK789" t="s">
        <v>902</v>
      </c>
      <c r="BL789" t="s">
        <v>2269</v>
      </c>
      <c r="BM789" t="s">
        <v>15657</v>
      </c>
      <c r="BN789" t="s">
        <v>74</v>
      </c>
      <c r="BO789" t="s">
        <v>346</v>
      </c>
      <c r="BP789" t="s">
        <v>74</v>
      </c>
      <c r="BQ789" t="s">
        <v>74</v>
      </c>
      <c r="BR789" t="s">
        <v>106</v>
      </c>
      <c r="BS789" t="s">
        <v>15658</v>
      </c>
      <c r="BT789" t="str">
        <f>HYPERLINK("https%3A%2F%2Fwww.webofscience.com%2Fwos%2Fwoscc%2Ffull-record%2FWOS:000381561300015","View Full Record in Web of Science")</f>
        <v>View Full Record in Web of Science</v>
      </c>
    </row>
    <row r="790" spans="1:72" x14ac:dyDescent="0.25">
      <c r="A790" t="s">
        <v>108</v>
      </c>
      <c r="B790" t="s">
        <v>15659</v>
      </c>
      <c r="C790" t="s">
        <v>74</v>
      </c>
      <c r="D790" t="s">
        <v>74</v>
      </c>
      <c r="E790" t="s">
        <v>947</v>
      </c>
      <c r="F790" t="s">
        <v>15660</v>
      </c>
      <c r="G790" t="s">
        <v>74</v>
      </c>
      <c r="H790" t="s">
        <v>74</v>
      </c>
      <c r="I790" t="s">
        <v>15661</v>
      </c>
      <c r="J790" t="s">
        <v>15662</v>
      </c>
      <c r="K790" t="s">
        <v>74</v>
      </c>
      <c r="L790" t="s">
        <v>74</v>
      </c>
      <c r="M790" t="s">
        <v>78</v>
      </c>
      <c r="N790" t="s">
        <v>115</v>
      </c>
      <c r="O790" t="s">
        <v>15663</v>
      </c>
      <c r="P790" t="s">
        <v>15664</v>
      </c>
      <c r="Q790" t="s">
        <v>10980</v>
      </c>
      <c r="R790" t="s">
        <v>15665</v>
      </c>
      <c r="S790" t="s">
        <v>74</v>
      </c>
      <c r="T790" t="s">
        <v>15666</v>
      </c>
      <c r="U790" t="s">
        <v>6455</v>
      </c>
      <c r="V790" t="s">
        <v>15667</v>
      </c>
      <c r="W790" t="s">
        <v>15668</v>
      </c>
      <c r="X790" t="s">
        <v>15669</v>
      </c>
      <c r="Y790" t="s">
        <v>15670</v>
      </c>
      <c r="Z790" t="s">
        <v>15671</v>
      </c>
      <c r="AA790" t="s">
        <v>74</v>
      </c>
      <c r="AB790" t="s">
        <v>74</v>
      </c>
      <c r="AC790" t="s">
        <v>74</v>
      </c>
      <c r="AD790" t="s">
        <v>74</v>
      </c>
      <c r="AE790" t="s">
        <v>74</v>
      </c>
      <c r="AF790" t="s">
        <v>74</v>
      </c>
      <c r="AG790">
        <v>37</v>
      </c>
      <c r="AH790">
        <v>0</v>
      </c>
      <c r="AI790">
        <v>0</v>
      </c>
      <c r="AJ790">
        <v>0</v>
      </c>
      <c r="AK790">
        <v>0</v>
      </c>
      <c r="AL790" t="s">
        <v>947</v>
      </c>
      <c r="AM790" t="s">
        <v>948</v>
      </c>
      <c r="AN790" t="s">
        <v>949</v>
      </c>
      <c r="AO790" t="s">
        <v>74</v>
      </c>
      <c r="AP790" t="s">
        <v>74</v>
      </c>
      <c r="AQ790" t="s">
        <v>15672</v>
      </c>
      <c r="AR790" t="s">
        <v>74</v>
      </c>
      <c r="AS790" t="s">
        <v>74</v>
      </c>
      <c r="AT790" t="s">
        <v>74</v>
      </c>
      <c r="AU790">
        <v>2024</v>
      </c>
      <c r="AV790" t="s">
        <v>74</v>
      </c>
      <c r="AW790" t="s">
        <v>74</v>
      </c>
      <c r="AX790" t="s">
        <v>74</v>
      </c>
      <c r="AY790" t="s">
        <v>74</v>
      </c>
      <c r="AZ790" t="s">
        <v>74</v>
      </c>
      <c r="BA790" t="s">
        <v>74</v>
      </c>
      <c r="BB790">
        <v>1011</v>
      </c>
      <c r="BC790">
        <v>1018</v>
      </c>
      <c r="BD790" t="s">
        <v>74</v>
      </c>
      <c r="BE790" t="s">
        <v>15673</v>
      </c>
      <c r="BF790" t="str">
        <f>HYPERLINK("http://dx.doi.org/10.1109/HPCC64274.2024.00136","http://dx.doi.org/10.1109/HPCC64274.2024.00136")</f>
        <v>http://dx.doi.org/10.1109/HPCC64274.2024.00136</v>
      </c>
      <c r="BG790" t="s">
        <v>74</v>
      </c>
      <c r="BH790" t="s">
        <v>74</v>
      </c>
      <c r="BI790">
        <v>8</v>
      </c>
      <c r="BJ790" t="s">
        <v>2700</v>
      </c>
      <c r="BK790" t="s">
        <v>203</v>
      </c>
      <c r="BL790" t="s">
        <v>103</v>
      </c>
      <c r="BM790" t="s">
        <v>15674</v>
      </c>
      <c r="BN790" t="s">
        <v>74</v>
      </c>
      <c r="BO790" t="s">
        <v>74</v>
      </c>
      <c r="BP790" t="s">
        <v>74</v>
      </c>
      <c r="BQ790" t="s">
        <v>74</v>
      </c>
      <c r="BR790" t="s">
        <v>106</v>
      </c>
      <c r="BS790" t="s">
        <v>15675</v>
      </c>
      <c r="BT790" t="str">
        <f>HYPERLINK("https%3A%2F%2Fwww.webofscience.com%2Fwos%2Fwoscc%2Ffull-record%2FWOS:001752244100125","View Full Record in Web of Science")</f>
        <v>View Full Record in Web of Science</v>
      </c>
    </row>
    <row r="791" spans="1:72" x14ac:dyDescent="0.25">
      <c r="A791" t="s">
        <v>72</v>
      </c>
      <c r="B791" t="s">
        <v>15676</v>
      </c>
      <c r="C791" t="s">
        <v>74</v>
      </c>
      <c r="D791" t="s">
        <v>74</v>
      </c>
      <c r="E791" t="s">
        <v>74</v>
      </c>
      <c r="F791" t="s">
        <v>15676</v>
      </c>
      <c r="G791" t="s">
        <v>74</v>
      </c>
      <c r="H791" t="s">
        <v>74</v>
      </c>
      <c r="I791" t="s">
        <v>15677</v>
      </c>
      <c r="J791" t="s">
        <v>15678</v>
      </c>
      <c r="K791" t="s">
        <v>74</v>
      </c>
      <c r="L791" t="s">
        <v>74</v>
      </c>
      <c r="M791" t="s">
        <v>78</v>
      </c>
      <c r="N791" t="s">
        <v>79</v>
      </c>
      <c r="O791" t="s">
        <v>74</v>
      </c>
      <c r="P791" t="s">
        <v>74</v>
      </c>
      <c r="Q791" t="s">
        <v>74</v>
      </c>
      <c r="R791" t="s">
        <v>74</v>
      </c>
      <c r="S791" t="s">
        <v>74</v>
      </c>
      <c r="T791" t="s">
        <v>74</v>
      </c>
      <c r="U791" t="s">
        <v>74</v>
      </c>
      <c r="V791" t="s">
        <v>15679</v>
      </c>
      <c r="W791" t="s">
        <v>15680</v>
      </c>
      <c r="X791" t="s">
        <v>15681</v>
      </c>
      <c r="Y791" t="s">
        <v>15682</v>
      </c>
      <c r="Z791" t="s">
        <v>74</v>
      </c>
      <c r="AA791" t="s">
        <v>74</v>
      </c>
      <c r="AB791" t="s">
        <v>74</v>
      </c>
      <c r="AC791" t="s">
        <v>74</v>
      </c>
      <c r="AD791" t="s">
        <v>74</v>
      </c>
      <c r="AE791" t="s">
        <v>74</v>
      </c>
      <c r="AF791" t="s">
        <v>74</v>
      </c>
      <c r="AG791">
        <v>7</v>
      </c>
      <c r="AH791">
        <v>0</v>
      </c>
      <c r="AI791">
        <v>0</v>
      </c>
      <c r="AJ791">
        <v>0</v>
      </c>
      <c r="AK791">
        <v>0</v>
      </c>
      <c r="AL791" t="s">
        <v>15683</v>
      </c>
      <c r="AM791" t="s">
        <v>13750</v>
      </c>
      <c r="AN791" t="s">
        <v>15684</v>
      </c>
      <c r="AO791" t="s">
        <v>15685</v>
      </c>
      <c r="AP791" t="s">
        <v>74</v>
      </c>
      <c r="AQ791" t="s">
        <v>74</v>
      </c>
      <c r="AR791" t="s">
        <v>15686</v>
      </c>
      <c r="AS791" t="s">
        <v>15687</v>
      </c>
      <c r="AT791" t="s">
        <v>246</v>
      </c>
      <c r="AU791">
        <v>2000</v>
      </c>
      <c r="AV791">
        <v>165</v>
      </c>
      <c r="AW791">
        <v>11</v>
      </c>
      <c r="AX791" t="s">
        <v>74</v>
      </c>
      <c r="AY791" t="s">
        <v>74</v>
      </c>
      <c r="AZ791" t="s">
        <v>74</v>
      </c>
      <c r="BA791" t="s">
        <v>74</v>
      </c>
      <c r="BB791">
        <v>835</v>
      </c>
      <c r="BC791">
        <v>838</v>
      </c>
      <c r="BD791" t="s">
        <v>74</v>
      </c>
      <c r="BE791" t="s">
        <v>15688</v>
      </c>
      <c r="BF791" t="str">
        <f>HYPERLINK("http://dx.doi.org/10.1093/milmed/165.11.835","http://dx.doi.org/10.1093/milmed/165.11.835")</f>
        <v>http://dx.doi.org/10.1093/milmed/165.11.835</v>
      </c>
      <c r="BG791" t="s">
        <v>74</v>
      </c>
      <c r="BH791" t="s">
        <v>74</v>
      </c>
      <c r="BI791">
        <v>4</v>
      </c>
      <c r="BJ791" t="s">
        <v>10503</v>
      </c>
      <c r="BK791" t="s">
        <v>902</v>
      </c>
      <c r="BL791" t="s">
        <v>10504</v>
      </c>
      <c r="BM791" t="s">
        <v>15689</v>
      </c>
      <c r="BN791">
        <v>11143429</v>
      </c>
      <c r="BO791" t="s">
        <v>205</v>
      </c>
      <c r="BP791" t="s">
        <v>74</v>
      </c>
      <c r="BQ791" t="s">
        <v>74</v>
      </c>
      <c r="BR791" t="s">
        <v>106</v>
      </c>
      <c r="BS791" t="s">
        <v>15690</v>
      </c>
      <c r="BT791" t="str">
        <f>HYPERLINK("https%3A%2F%2Fwww.webofscience.com%2Fwos%2Fwoscc%2Ffull-record%2FWOS:000165279900010","View Full Record in Web of Science")</f>
        <v>View Full Record in Web of Science</v>
      </c>
    </row>
    <row r="792" spans="1:72" x14ac:dyDescent="0.25">
      <c r="A792" t="s">
        <v>108</v>
      </c>
      <c r="B792" t="s">
        <v>15691</v>
      </c>
      <c r="C792" t="s">
        <v>74</v>
      </c>
      <c r="D792" t="s">
        <v>74</v>
      </c>
      <c r="E792" t="s">
        <v>465</v>
      </c>
      <c r="F792" t="s">
        <v>15692</v>
      </c>
      <c r="G792" t="s">
        <v>74</v>
      </c>
      <c r="H792" t="s">
        <v>74</v>
      </c>
      <c r="I792" t="s">
        <v>15693</v>
      </c>
      <c r="J792" t="s">
        <v>15694</v>
      </c>
      <c r="K792" t="s">
        <v>12056</v>
      </c>
      <c r="L792" t="s">
        <v>74</v>
      </c>
      <c r="M792" t="s">
        <v>78</v>
      </c>
      <c r="N792" t="s">
        <v>115</v>
      </c>
      <c r="O792" t="s">
        <v>15695</v>
      </c>
      <c r="P792" t="s">
        <v>15696</v>
      </c>
      <c r="Q792" t="s">
        <v>15697</v>
      </c>
      <c r="R792" t="s">
        <v>15698</v>
      </c>
      <c r="S792" t="s">
        <v>15699</v>
      </c>
      <c r="T792" t="s">
        <v>15700</v>
      </c>
      <c r="U792" t="s">
        <v>74</v>
      </c>
      <c r="V792" t="s">
        <v>15701</v>
      </c>
      <c r="W792" t="s">
        <v>15702</v>
      </c>
      <c r="X792" t="s">
        <v>12062</v>
      </c>
      <c r="Y792" t="s">
        <v>15703</v>
      </c>
      <c r="Z792" t="s">
        <v>15704</v>
      </c>
      <c r="AA792" t="s">
        <v>12065</v>
      </c>
      <c r="AB792" t="s">
        <v>74</v>
      </c>
      <c r="AC792" t="s">
        <v>74</v>
      </c>
      <c r="AD792" t="s">
        <v>74</v>
      </c>
      <c r="AE792" t="s">
        <v>74</v>
      </c>
      <c r="AF792" t="s">
        <v>74</v>
      </c>
      <c r="AG792">
        <v>5</v>
      </c>
      <c r="AH792">
        <v>2</v>
      </c>
      <c r="AI792">
        <v>2</v>
      </c>
      <c r="AJ792">
        <v>0</v>
      </c>
      <c r="AK792">
        <v>3</v>
      </c>
      <c r="AL792" t="s">
        <v>465</v>
      </c>
      <c r="AM792" t="s">
        <v>92</v>
      </c>
      <c r="AN792" t="s">
        <v>480</v>
      </c>
      <c r="AO792" t="s">
        <v>12066</v>
      </c>
      <c r="AP792" t="s">
        <v>74</v>
      </c>
      <c r="AQ792" t="s">
        <v>15705</v>
      </c>
      <c r="AR792" t="s">
        <v>12068</v>
      </c>
      <c r="AS792" t="s">
        <v>74</v>
      </c>
      <c r="AT792" t="s">
        <v>74</v>
      </c>
      <c r="AU792">
        <v>2015</v>
      </c>
      <c r="AV792" t="s">
        <v>74</v>
      </c>
      <c r="AW792" t="s">
        <v>74</v>
      </c>
      <c r="AX792" t="s">
        <v>74</v>
      </c>
      <c r="AY792" t="s">
        <v>74</v>
      </c>
      <c r="AZ792" t="s">
        <v>74</v>
      </c>
      <c r="BA792" t="s">
        <v>74</v>
      </c>
      <c r="BB792">
        <v>471</v>
      </c>
      <c r="BC792">
        <v>475</v>
      </c>
      <c r="BD792" t="s">
        <v>74</v>
      </c>
      <c r="BE792" t="s">
        <v>74</v>
      </c>
      <c r="BF792" t="s">
        <v>74</v>
      </c>
      <c r="BG792" t="s">
        <v>74</v>
      </c>
      <c r="BH792" t="s">
        <v>74</v>
      </c>
      <c r="BI792">
        <v>5</v>
      </c>
      <c r="BJ792" t="s">
        <v>10930</v>
      </c>
      <c r="BK792" t="s">
        <v>203</v>
      </c>
      <c r="BL792" t="s">
        <v>139</v>
      </c>
      <c r="BM792" t="s">
        <v>15706</v>
      </c>
      <c r="BN792" t="s">
        <v>74</v>
      </c>
      <c r="BO792" t="s">
        <v>74</v>
      </c>
      <c r="BP792" t="s">
        <v>74</v>
      </c>
      <c r="BQ792" t="s">
        <v>74</v>
      </c>
      <c r="BR792" t="s">
        <v>106</v>
      </c>
      <c r="BS792" t="s">
        <v>15707</v>
      </c>
      <c r="BT792" t="str">
        <f>HYPERLINK("https%3A%2F%2Fwww.webofscience.com%2Fwos%2Fwoscc%2Ffull-record%2FWOS:000380412500085","View Full Record in Web of Science")</f>
        <v>View Full Record in Web of Science</v>
      </c>
    </row>
    <row r="793" spans="1:72" x14ac:dyDescent="0.25">
      <c r="A793" t="s">
        <v>108</v>
      </c>
      <c r="B793" t="s">
        <v>15708</v>
      </c>
      <c r="C793" t="s">
        <v>74</v>
      </c>
      <c r="D793" t="s">
        <v>74</v>
      </c>
      <c r="E793" t="s">
        <v>3480</v>
      </c>
      <c r="F793" t="s">
        <v>15709</v>
      </c>
      <c r="G793" t="s">
        <v>74</v>
      </c>
      <c r="H793" t="s">
        <v>74</v>
      </c>
      <c r="I793" t="s">
        <v>15710</v>
      </c>
      <c r="J793" t="s">
        <v>15711</v>
      </c>
      <c r="K793" t="s">
        <v>74</v>
      </c>
      <c r="L793" t="s">
        <v>74</v>
      </c>
      <c r="M793" t="s">
        <v>78</v>
      </c>
      <c r="N793" t="s">
        <v>115</v>
      </c>
      <c r="O793" t="s">
        <v>15712</v>
      </c>
      <c r="P793" t="s">
        <v>15713</v>
      </c>
      <c r="Q793" t="s">
        <v>4669</v>
      </c>
      <c r="R793" t="s">
        <v>273</v>
      </c>
      <c r="S793" t="s">
        <v>74</v>
      </c>
      <c r="T793" t="s">
        <v>15714</v>
      </c>
      <c r="U793" t="s">
        <v>15715</v>
      </c>
      <c r="V793" t="s">
        <v>15716</v>
      </c>
      <c r="W793" t="s">
        <v>15717</v>
      </c>
      <c r="X793" t="s">
        <v>15718</v>
      </c>
      <c r="Y793" t="s">
        <v>15719</v>
      </c>
      <c r="Z793" t="s">
        <v>15720</v>
      </c>
      <c r="AA793" t="s">
        <v>74</v>
      </c>
      <c r="AB793" t="s">
        <v>74</v>
      </c>
      <c r="AC793" t="s">
        <v>74</v>
      </c>
      <c r="AD793" t="s">
        <v>74</v>
      </c>
      <c r="AE793" t="s">
        <v>74</v>
      </c>
      <c r="AF793" t="s">
        <v>74</v>
      </c>
      <c r="AG793">
        <v>39</v>
      </c>
      <c r="AH793">
        <v>8</v>
      </c>
      <c r="AI793">
        <v>9</v>
      </c>
      <c r="AJ793">
        <v>0</v>
      </c>
      <c r="AK793">
        <v>1</v>
      </c>
      <c r="AL793" t="s">
        <v>291</v>
      </c>
      <c r="AM793" t="s">
        <v>92</v>
      </c>
      <c r="AN793" t="s">
        <v>341</v>
      </c>
      <c r="AO793" t="s">
        <v>74</v>
      </c>
      <c r="AP793" t="s">
        <v>74</v>
      </c>
      <c r="AQ793" t="s">
        <v>15721</v>
      </c>
      <c r="AR793" t="s">
        <v>74</v>
      </c>
      <c r="AS793" t="s">
        <v>74</v>
      </c>
      <c r="AT793" t="s">
        <v>74</v>
      </c>
      <c r="AU793">
        <v>2020</v>
      </c>
      <c r="AV793" t="s">
        <v>74</v>
      </c>
      <c r="AW793" t="s">
        <v>74</v>
      </c>
      <c r="AX793" t="s">
        <v>74</v>
      </c>
      <c r="AY793" t="s">
        <v>74</v>
      </c>
      <c r="AZ793" t="s">
        <v>74</v>
      </c>
      <c r="BA793" t="s">
        <v>74</v>
      </c>
      <c r="BB793">
        <v>398</v>
      </c>
      <c r="BC793">
        <v>407</v>
      </c>
      <c r="BD793" t="s">
        <v>74</v>
      </c>
      <c r="BE793" t="s">
        <v>15722</v>
      </c>
      <c r="BF793" t="str">
        <f>HYPERLINK("http://dx.doi.org/10.1145/3383313.3412267","http://dx.doi.org/10.1145/3383313.3412267")</f>
        <v>http://dx.doi.org/10.1145/3383313.3412267</v>
      </c>
      <c r="BG793" t="s">
        <v>74</v>
      </c>
      <c r="BH793" t="s">
        <v>74</v>
      </c>
      <c r="BI793">
        <v>10</v>
      </c>
      <c r="BJ793" t="s">
        <v>202</v>
      </c>
      <c r="BK793" t="s">
        <v>203</v>
      </c>
      <c r="BL793" t="s">
        <v>103</v>
      </c>
      <c r="BM793" t="s">
        <v>15723</v>
      </c>
      <c r="BN793" t="s">
        <v>74</v>
      </c>
      <c r="BO793" t="s">
        <v>74</v>
      </c>
      <c r="BP793" t="s">
        <v>74</v>
      </c>
      <c r="BQ793" t="s">
        <v>74</v>
      </c>
      <c r="BR793" t="s">
        <v>106</v>
      </c>
      <c r="BS793" t="s">
        <v>15724</v>
      </c>
      <c r="BT793" t="str">
        <f>HYPERLINK("https%3A%2F%2Fwww.webofscience.com%2Fwos%2Fwoscc%2Ffull-record%2FWOS:000748895000044","View Full Record in Web of Science")</f>
        <v>View Full Record in Web of Science</v>
      </c>
    </row>
    <row r="794" spans="1:72" x14ac:dyDescent="0.25">
      <c r="A794" t="s">
        <v>72</v>
      </c>
      <c r="B794" t="s">
        <v>15725</v>
      </c>
      <c r="C794" t="s">
        <v>74</v>
      </c>
      <c r="D794" t="s">
        <v>74</v>
      </c>
      <c r="E794" t="s">
        <v>74</v>
      </c>
      <c r="F794" t="s">
        <v>15726</v>
      </c>
      <c r="G794" t="s">
        <v>74</v>
      </c>
      <c r="H794" t="s">
        <v>74</v>
      </c>
      <c r="I794" t="s">
        <v>15727</v>
      </c>
      <c r="J794" t="s">
        <v>3461</v>
      </c>
      <c r="K794" t="s">
        <v>74</v>
      </c>
      <c r="L794" t="s">
        <v>74</v>
      </c>
      <c r="M794" t="s">
        <v>78</v>
      </c>
      <c r="N794" t="s">
        <v>79</v>
      </c>
      <c r="O794" t="s">
        <v>74</v>
      </c>
      <c r="P794" t="s">
        <v>74</v>
      </c>
      <c r="Q794" t="s">
        <v>74</v>
      </c>
      <c r="R794" t="s">
        <v>74</v>
      </c>
      <c r="S794" t="s">
        <v>74</v>
      </c>
      <c r="T794" t="s">
        <v>15728</v>
      </c>
      <c r="U794" t="s">
        <v>74</v>
      </c>
      <c r="V794" t="s">
        <v>15729</v>
      </c>
      <c r="W794" t="s">
        <v>15730</v>
      </c>
      <c r="X794" t="s">
        <v>15731</v>
      </c>
      <c r="Y794" t="s">
        <v>15732</v>
      </c>
      <c r="Z794" t="s">
        <v>15733</v>
      </c>
      <c r="AA794" t="s">
        <v>74</v>
      </c>
      <c r="AB794" t="s">
        <v>74</v>
      </c>
      <c r="AC794" t="s">
        <v>15734</v>
      </c>
      <c r="AD794" t="s">
        <v>15735</v>
      </c>
      <c r="AE794" t="s">
        <v>15736</v>
      </c>
      <c r="AF794" t="s">
        <v>74</v>
      </c>
      <c r="AG794">
        <v>33</v>
      </c>
      <c r="AH794">
        <v>5</v>
      </c>
      <c r="AI794">
        <v>7</v>
      </c>
      <c r="AJ794">
        <v>0</v>
      </c>
      <c r="AK794">
        <v>1</v>
      </c>
      <c r="AL794" t="s">
        <v>291</v>
      </c>
      <c r="AM794" t="s">
        <v>92</v>
      </c>
      <c r="AN794" t="s">
        <v>847</v>
      </c>
      <c r="AO794" t="s">
        <v>3472</v>
      </c>
      <c r="AP794" t="s">
        <v>3473</v>
      </c>
      <c r="AQ794" t="s">
        <v>74</v>
      </c>
      <c r="AR794" t="s">
        <v>3474</v>
      </c>
      <c r="AS794" t="s">
        <v>3475</v>
      </c>
      <c r="AT794" t="s">
        <v>509</v>
      </c>
      <c r="AU794">
        <v>2017</v>
      </c>
      <c r="AV794">
        <v>8</v>
      </c>
      <c r="AW794">
        <v>6</v>
      </c>
      <c r="AX794" t="s">
        <v>74</v>
      </c>
      <c r="AY794" t="s">
        <v>74</v>
      </c>
      <c r="AZ794" t="s">
        <v>74</v>
      </c>
      <c r="BA794" t="s">
        <v>74</v>
      </c>
      <c r="BB794" t="s">
        <v>74</v>
      </c>
      <c r="BC794" t="s">
        <v>74</v>
      </c>
      <c r="BD794">
        <v>80</v>
      </c>
      <c r="BE794" t="s">
        <v>15737</v>
      </c>
      <c r="BF794" t="str">
        <f>HYPERLINK("http://dx.doi.org/10.1145/3022471","http://dx.doi.org/10.1145/3022471")</f>
        <v>http://dx.doi.org/10.1145/3022471</v>
      </c>
      <c r="BG794" t="s">
        <v>74</v>
      </c>
      <c r="BH794" t="s">
        <v>74</v>
      </c>
      <c r="BI794">
        <v>18</v>
      </c>
      <c r="BJ794" t="s">
        <v>202</v>
      </c>
      <c r="BK794" t="s">
        <v>902</v>
      </c>
      <c r="BL794" t="s">
        <v>103</v>
      </c>
      <c r="BM794" t="s">
        <v>15738</v>
      </c>
      <c r="BN794" t="s">
        <v>74</v>
      </c>
      <c r="BO794" t="s">
        <v>205</v>
      </c>
      <c r="BP794" t="s">
        <v>74</v>
      </c>
      <c r="BQ794" t="s">
        <v>74</v>
      </c>
      <c r="BR794" t="s">
        <v>106</v>
      </c>
      <c r="BS794" t="s">
        <v>15739</v>
      </c>
      <c r="BT794" t="str">
        <f>HYPERLINK("https%3A%2F%2Fwww.webofscience.com%2Fwos%2Fwoscc%2Ffull-record%2FWOS:000414319000009","View Full Record in Web of Science")</f>
        <v>View Full Record in Web of Science</v>
      </c>
    </row>
    <row r="795" spans="1:72" x14ac:dyDescent="0.25">
      <c r="A795" t="s">
        <v>108</v>
      </c>
      <c r="B795" t="s">
        <v>15740</v>
      </c>
      <c r="C795" t="s">
        <v>74</v>
      </c>
      <c r="D795" t="s">
        <v>74</v>
      </c>
      <c r="E795" t="s">
        <v>322</v>
      </c>
      <c r="F795" t="s">
        <v>15741</v>
      </c>
      <c r="G795" t="s">
        <v>74</v>
      </c>
      <c r="H795" t="s">
        <v>74</v>
      </c>
      <c r="I795" t="s">
        <v>15742</v>
      </c>
      <c r="J795" t="s">
        <v>15743</v>
      </c>
      <c r="K795" t="s">
        <v>74</v>
      </c>
      <c r="L795" t="s">
        <v>74</v>
      </c>
      <c r="M795" t="s">
        <v>78</v>
      </c>
      <c r="N795" t="s">
        <v>115</v>
      </c>
      <c r="O795" t="s">
        <v>10442</v>
      </c>
      <c r="P795" t="s">
        <v>10443</v>
      </c>
      <c r="Q795" t="s">
        <v>1847</v>
      </c>
      <c r="R795" t="s">
        <v>10444</v>
      </c>
      <c r="S795" t="s">
        <v>74</v>
      </c>
      <c r="T795" t="s">
        <v>15744</v>
      </c>
      <c r="U795" t="s">
        <v>74</v>
      </c>
      <c r="V795" t="s">
        <v>15745</v>
      </c>
      <c r="W795" t="s">
        <v>15746</v>
      </c>
      <c r="X795" t="s">
        <v>15747</v>
      </c>
      <c r="Y795" t="s">
        <v>15748</v>
      </c>
      <c r="Z795" t="s">
        <v>15749</v>
      </c>
      <c r="AA795" t="s">
        <v>15750</v>
      </c>
      <c r="AB795" t="s">
        <v>15751</v>
      </c>
      <c r="AC795" t="s">
        <v>15752</v>
      </c>
      <c r="AD795" t="s">
        <v>74</v>
      </c>
      <c r="AE795" t="s">
        <v>15753</v>
      </c>
      <c r="AF795" t="s">
        <v>74</v>
      </c>
      <c r="AG795">
        <v>8</v>
      </c>
      <c r="AH795">
        <v>2</v>
      </c>
      <c r="AI795">
        <v>3</v>
      </c>
      <c r="AJ795">
        <v>0</v>
      </c>
      <c r="AK795">
        <v>4</v>
      </c>
      <c r="AL795" t="s">
        <v>291</v>
      </c>
      <c r="AM795" t="s">
        <v>92</v>
      </c>
      <c r="AN795" t="s">
        <v>292</v>
      </c>
      <c r="AO795" t="s">
        <v>74</v>
      </c>
      <c r="AP795" t="s">
        <v>74</v>
      </c>
      <c r="AQ795" t="s">
        <v>15754</v>
      </c>
      <c r="AR795" t="s">
        <v>74</v>
      </c>
      <c r="AS795" t="s">
        <v>74</v>
      </c>
      <c r="AT795" t="s">
        <v>74</v>
      </c>
      <c r="AU795">
        <v>2019</v>
      </c>
      <c r="AV795" t="s">
        <v>74</v>
      </c>
      <c r="AW795" t="s">
        <v>74</v>
      </c>
      <c r="AX795" t="s">
        <v>74</v>
      </c>
      <c r="AY795" t="s">
        <v>74</v>
      </c>
      <c r="AZ795" t="s">
        <v>74</v>
      </c>
      <c r="BA795" t="s">
        <v>74</v>
      </c>
      <c r="BB795">
        <v>811</v>
      </c>
      <c r="BC795">
        <v>814</v>
      </c>
      <c r="BD795" t="s">
        <v>74</v>
      </c>
      <c r="BE795" t="s">
        <v>15755</v>
      </c>
      <c r="BF795" t="str">
        <f>HYPERLINK("http://dx.doi.org/10.1145/3308558.3316464","http://dx.doi.org/10.1145/3308558.3316464")</f>
        <v>http://dx.doi.org/10.1145/3308558.3316464</v>
      </c>
      <c r="BG795" t="s">
        <v>74</v>
      </c>
      <c r="BH795" t="s">
        <v>74</v>
      </c>
      <c r="BI795">
        <v>4</v>
      </c>
      <c r="BJ795" t="s">
        <v>925</v>
      </c>
      <c r="BK795" t="s">
        <v>203</v>
      </c>
      <c r="BL795" t="s">
        <v>103</v>
      </c>
      <c r="BM795" t="s">
        <v>15756</v>
      </c>
      <c r="BN795" t="s">
        <v>74</v>
      </c>
      <c r="BO795" t="s">
        <v>372</v>
      </c>
      <c r="BP795" t="s">
        <v>74</v>
      </c>
      <c r="BQ795" t="s">
        <v>74</v>
      </c>
      <c r="BR795" t="s">
        <v>106</v>
      </c>
      <c r="BS795" t="s">
        <v>15757</v>
      </c>
      <c r="BT795" t="str">
        <f>HYPERLINK("https%3A%2F%2Fwww.webofscience.com%2Fwos%2Fwoscc%2Ffull-record%2FWOS:000474353100127","View Full Record in Web of Science")</f>
        <v>View Full Record in Web of Science</v>
      </c>
    </row>
    <row r="796" spans="1:72" x14ac:dyDescent="0.25">
      <c r="A796" t="s">
        <v>2400</v>
      </c>
      <c r="B796" t="s">
        <v>15758</v>
      </c>
      <c r="C796" t="s">
        <v>74</v>
      </c>
      <c r="D796" t="s">
        <v>15759</v>
      </c>
      <c r="E796" t="s">
        <v>74</v>
      </c>
      <c r="F796" t="s">
        <v>15758</v>
      </c>
      <c r="G796" t="s">
        <v>74</v>
      </c>
      <c r="H796" t="s">
        <v>74</v>
      </c>
      <c r="I796" t="s">
        <v>15760</v>
      </c>
      <c r="J796" t="s">
        <v>15761</v>
      </c>
      <c r="K796" t="s">
        <v>147</v>
      </c>
      <c r="L796" t="s">
        <v>74</v>
      </c>
      <c r="M796" t="s">
        <v>78</v>
      </c>
      <c r="N796" t="s">
        <v>7584</v>
      </c>
      <c r="O796" t="s">
        <v>15762</v>
      </c>
      <c r="P796" t="s">
        <v>15763</v>
      </c>
      <c r="Q796" t="s">
        <v>15764</v>
      </c>
      <c r="R796" t="s">
        <v>15765</v>
      </c>
      <c r="S796" t="s">
        <v>74</v>
      </c>
      <c r="T796" t="s">
        <v>15766</v>
      </c>
      <c r="U796" t="s">
        <v>74</v>
      </c>
      <c r="V796" t="s">
        <v>15767</v>
      </c>
      <c r="W796" t="s">
        <v>15768</v>
      </c>
      <c r="X796" t="s">
        <v>14015</v>
      </c>
      <c r="Y796" t="s">
        <v>15769</v>
      </c>
      <c r="Z796" t="s">
        <v>15770</v>
      </c>
      <c r="AA796" t="s">
        <v>15771</v>
      </c>
      <c r="AB796" t="s">
        <v>15772</v>
      </c>
      <c r="AC796" t="s">
        <v>74</v>
      </c>
      <c r="AD796" t="s">
        <v>74</v>
      </c>
      <c r="AE796" t="s">
        <v>74</v>
      </c>
      <c r="AF796" t="s">
        <v>74</v>
      </c>
      <c r="AG796">
        <v>14</v>
      </c>
      <c r="AH796">
        <v>0</v>
      </c>
      <c r="AI796">
        <v>0</v>
      </c>
      <c r="AJ796">
        <v>0</v>
      </c>
      <c r="AK796">
        <v>1</v>
      </c>
      <c r="AL796" t="s">
        <v>197</v>
      </c>
      <c r="AM796" t="s">
        <v>198</v>
      </c>
      <c r="AN796" t="s">
        <v>199</v>
      </c>
      <c r="AO796" t="s">
        <v>159</v>
      </c>
      <c r="AP796" t="s">
        <v>133</v>
      </c>
      <c r="AQ796" t="s">
        <v>15773</v>
      </c>
      <c r="AR796" t="s">
        <v>161</v>
      </c>
      <c r="AS796" t="s">
        <v>74</v>
      </c>
      <c r="AT796" t="s">
        <v>74</v>
      </c>
      <c r="AU796">
        <v>2003</v>
      </c>
      <c r="AV796">
        <v>2889</v>
      </c>
      <c r="AW796" t="s">
        <v>74</v>
      </c>
      <c r="AX796" t="s">
        <v>74</v>
      </c>
      <c r="AY796" t="s">
        <v>74</v>
      </c>
      <c r="AZ796" t="s">
        <v>74</v>
      </c>
      <c r="BA796" t="s">
        <v>74</v>
      </c>
      <c r="BB796">
        <v>732</v>
      </c>
      <c r="BC796">
        <v>740</v>
      </c>
      <c r="BD796" t="s">
        <v>74</v>
      </c>
      <c r="BE796" t="s">
        <v>74</v>
      </c>
      <c r="BF796" t="s">
        <v>74</v>
      </c>
      <c r="BG796" t="s">
        <v>74</v>
      </c>
      <c r="BH796" t="s">
        <v>74</v>
      </c>
      <c r="BI796">
        <v>9</v>
      </c>
      <c r="BJ796" t="s">
        <v>1236</v>
      </c>
      <c r="BK796" t="s">
        <v>12228</v>
      </c>
      <c r="BL796" t="s">
        <v>103</v>
      </c>
      <c r="BM796" t="s">
        <v>15774</v>
      </c>
      <c r="BN796" t="s">
        <v>74</v>
      </c>
      <c r="BO796" t="s">
        <v>74</v>
      </c>
      <c r="BP796" t="s">
        <v>74</v>
      </c>
      <c r="BQ796" t="s">
        <v>74</v>
      </c>
      <c r="BR796" t="s">
        <v>106</v>
      </c>
      <c r="BS796" t="s">
        <v>15775</v>
      </c>
      <c r="BT796" t="str">
        <f>HYPERLINK("https%3A%2F%2Fwww.webofscience.com%2Fwos%2Fwoscc%2Ffull-record%2FWOS:000188513300073","View Full Record in Web of Science")</f>
        <v>View Full Record in Web of Science</v>
      </c>
    </row>
    <row r="797" spans="1:72" x14ac:dyDescent="0.25">
      <c r="A797" t="s">
        <v>72</v>
      </c>
      <c r="B797" t="s">
        <v>15776</v>
      </c>
      <c r="C797" t="s">
        <v>74</v>
      </c>
      <c r="D797" t="s">
        <v>74</v>
      </c>
      <c r="E797" t="s">
        <v>74</v>
      </c>
      <c r="F797" t="s">
        <v>15777</v>
      </c>
      <c r="G797" t="s">
        <v>74</v>
      </c>
      <c r="H797" t="s">
        <v>74</v>
      </c>
      <c r="I797" t="s">
        <v>15778</v>
      </c>
      <c r="J797" t="s">
        <v>15779</v>
      </c>
      <c r="K797" t="s">
        <v>74</v>
      </c>
      <c r="L797" t="s">
        <v>74</v>
      </c>
      <c r="M797" t="s">
        <v>78</v>
      </c>
      <c r="N797" t="s">
        <v>79</v>
      </c>
      <c r="O797" t="s">
        <v>74</v>
      </c>
      <c r="P797" t="s">
        <v>74</v>
      </c>
      <c r="Q797" t="s">
        <v>74</v>
      </c>
      <c r="R797" t="s">
        <v>74</v>
      </c>
      <c r="S797" t="s">
        <v>74</v>
      </c>
      <c r="T797" t="s">
        <v>15780</v>
      </c>
      <c r="U797" t="s">
        <v>74</v>
      </c>
      <c r="V797" t="s">
        <v>15781</v>
      </c>
      <c r="W797" t="s">
        <v>15782</v>
      </c>
      <c r="X797" t="s">
        <v>15783</v>
      </c>
      <c r="Y797" t="s">
        <v>15784</v>
      </c>
      <c r="Z797" t="s">
        <v>15785</v>
      </c>
      <c r="AA797" t="s">
        <v>74</v>
      </c>
      <c r="AB797" t="s">
        <v>15786</v>
      </c>
      <c r="AC797" t="s">
        <v>74</v>
      </c>
      <c r="AD797" t="s">
        <v>74</v>
      </c>
      <c r="AE797" t="s">
        <v>74</v>
      </c>
      <c r="AF797" t="s">
        <v>74</v>
      </c>
      <c r="AG797">
        <v>23</v>
      </c>
      <c r="AH797">
        <v>0</v>
      </c>
      <c r="AI797">
        <v>0</v>
      </c>
      <c r="AJ797">
        <v>0</v>
      </c>
      <c r="AK797">
        <v>4</v>
      </c>
      <c r="AL797" t="s">
        <v>15787</v>
      </c>
      <c r="AM797" t="s">
        <v>5853</v>
      </c>
      <c r="AN797" t="s">
        <v>15788</v>
      </c>
      <c r="AO797" t="s">
        <v>15789</v>
      </c>
      <c r="AP797" t="s">
        <v>15790</v>
      </c>
      <c r="AQ797" t="s">
        <v>74</v>
      </c>
      <c r="AR797" t="s">
        <v>15791</v>
      </c>
      <c r="AS797" t="s">
        <v>15792</v>
      </c>
      <c r="AT797" t="s">
        <v>610</v>
      </c>
      <c r="AU797">
        <v>2022</v>
      </c>
      <c r="AV797">
        <v>25</v>
      </c>
      <c r="AW797">
        <v>3</v>
      </c>
      <c r="AX797" t="s">
        <v>74</v>
      </c>
      <c r="AY797" t="s">
        <v>74</v>
      </c>
      <c r="AZ797" t="s">
        <v>247</v>
      </c>
      <c r="BA797" t="s">
        <v>74</v>
      </c>
      <c r="BB797">
        <v>721</v>
      </c>
      <c r="BC797">
        <v>739</v>
      </c>
      <c r="BD797">
        <v>2015093</v>
      </c>
      <c r="BE797" t="s">
        <v>15793</v>
      </c>
      <c r="BF797" t="str">
        <f>HYPERLINK("http://dx.doi.org/10.1080/09720502.2021.2015093","http://dx.doi.org/10.1080/09720502.2021.2015093")</f>
        <v>http://dx.doi.org/10.1080/09720502.2021.2015093</v>
      </c>
      <c r="BG797" t="s">
        <v>74</v>
      </c>
      <c r="BH797" t="s">
        <v>4420</v>
      </c>
      <c r="BI797">
        <v>19</v>
      </c>
      <c r="BJ797" t="s">
        <v>5155</v>
      </c>
      <c r="BK797" t="s">
        <v>102</v>
      </c>
      <c r="BL797" t="s">
        <v>5155</v>
      </c>
      <c r="BM797" t="s">
        <v>15794</v>
      </c>
      <c r="BN797" t="s">
        <v>74</v>
      </c>
      <c r="BO797" t="s">
        <v>74</v>
      </c>
      <c r="BP797" t="s">
        <v>74</v>
      </c>
      <c r="BQ797" t="s">
        <v>74</v>
      </c>
      <c r="BR797" t="s">
        <v>106</v>
      </c>
      <c r="BS797" t="s">
        <v>15795</v>
      </c>
      <c r="BT797" t="str">
        <f>HYPERLINK("https%3A%2F%2Fwww.webofscience.com%2Fwos%2Fwoscc%2Ffull-record%2FWOS:000759244500001","View Full Record in Web of Science")</f>
        <v>View Full Record in Web of Science</v>
      </c>
    </row>
    <row r="798" spans="1:72" x14ac:dyDescent="0.25">
      <c r="A798" t="s">
        <v>72</v>
      </c>
      <c r="B798" t="s">
        <v>15796</v>
      </c>
      <c r="C798" t="s">
        <v>74</v>
      </c>
      <c r="D798" t="s">
        <v>74</v>
      </c>
      <c r="E798" t="s">
        <v>74</v>
      </c>
      <c r="F798" t="s">
        <v>15797</v>
      </c>
      <c r="G798" t="s">
        <v>74</v>
      </c>
      <c r="H798" t="s">
        <v>74</v>
      </c>
      <c r="I798" t="s">
        <v>15798</v>
      </c>
      <c r="J798" t="s">
        <v>14657</v>
      </c>
      <c r="K798" t="s">
        <v>74</v>
      </c>
      <c r="L798" t="s">
        <v>74</v>
      </c>
      <c r="M798" t="s">
        <v>78</v>
      </c>
      <c r="N798" t="s">
        <v>79</v>
      </c>
      <c r="O798" t="s">
        <v>74</v>
      </c>
      <c r="P798" t="s">
        <v>74</v>
      </c>
      <c r="Q798" t="s">
        <v>74</v>
      </c>
      <c r="R798" t="s">
        <v>74</v>
      </c>
      <c r="S798" t="s">
        <v>74</v>
      </c>
      <c r="T798" t="s">
        <v>15799</v>
      </c>
      <c r="U798" t="s">
        <v>13131</v>
      </c>
      <c r="V798" t="s">
        <v>15800</v>
      </c>
      <c r="W798" t="s">
        <v>15801</v>
      </c>
      <c r="X798" t="s">
        <v>15802</v>
      </c>
      <c r="Y798" t="s">
        <v>15803</v>
      </c>
      <c r="Z798" t="s">
        <v>15804</v>
      </c>
      <c r="AA798" t="s">
        <v>15805</v>
      </c>
      <c r="AB798" t="s">
        <v>74</v>
      </c>
      <c r="AC798" t="s">
        <v>15806</v>
      </c>
      <c r="AD798" t="s">
        <v>15807</v>
      </c>
      <c r="AE798" t="s">
        <v>15808</v>
      </c>
      <c r="AF798" t="s">
        <v>74</v>
      </c>
      <c r="AG798">
        <v>18</v>
      </c>
      <c r="AH798">
        <v>0</v>
      </c>
      <c r="AI798">
        <v>0</v>
      </c>
      <c r="AJ798">
        <v>1</v>
      </c>
      <c r="AK798">
        <v>33</v>
      </c>
      <c r="AL798" t="s">
        <v>1813</v>
      </c>
      <c r="AM798" t="s">
        <v>1814</v>
      </c>
      <c r="AN798" t="s">
        <v>10021</v>
      </c>
      <c r="AO798" t="s">
        <v>14668</v>
      </c>
      <c r="AP798" t="s">
        <v>14669</v>
      </c>
      <c r="AQ798" t="s">
        <v>74</v>
      </c>
      <c r="AR798" t="s">
        <v>14670</v>
      </c>
      <c r="AS798" t="s">
        <v>14671</v>
      </c>
      <c r="AT798" t="s">
        <v>565</v>
      </c>
      <c r="AU798">
        <v>2020</v>
      </c>
      <c r="AV798">
        <v>34</v>
      </c>
      <c r="AW798">
        <v>9</v>
      </c>
      <c r="AX798" t="s">
        <v>74</v>
      </c>
      <c r="AY798" t="s">
        <v>74</v>
      </c>
      <c r="AZ798" t="s">
        <v>74</v>
      </c>
      <c r="BA798" t="s">
        <v>74</v>
      </c>
      <c r="BB798" t="s">
        <v>74</v>
      </c>
      <c r="BC798" t="s">
        <v>74</v>
      </c>
      <c r="BD798">
        <v>2059030</v>
      </c>
      <c r="BE798" t="s">
        <v>15809</v>
      </c>
      <c r="BF798" t="str">
        <f>HYPERLINK("http://dx.doi.org/10.1142/S0218001420590302","http://dx.doi.org/10.1142/S0218001420590302")</f>
        <v>http://dx.doi.org/10.1142/S0218001420590302</v>
      </c>
      <c r="BG798" t="s">
        <v>74</v>
      </c>
      <c r="BH798" t="s">
        <v>74</v>
      </c>
      <c r="BI798">
        <v>16</v>
      </c>
      <c r="BJ798" t="s">
        <v>807</v>
      </c>
      <c r="BK798" t="s">
        <v>745</v>
      </c>
      <c r="BL798" t="s">
        <v>103</v>
      </c>
      <c r="BM798" t="s">
        <v>15810</v>
      </c>
      <c r="BN798" t="s">
        <v>74</v>
      </c>
      <c r="BO798" t="s">
        <v>74</v>
      </c>
      <c r="BP798" t="s">
        <v>74</v>
      </c>
      <c r="BQ798" t="s">
        <v>74</v>
      </c>
      <c r="BR798" t="s">
        <v>106</v>
      </c>
      <c r="BS798" t="s">
        <v>15811</v>
      </c>
      <c r="BT798" t="str">
        <f>HYPERLINK("https%3A%2F%2Fwww.webofscience.com%2Fwos%2Fwoscc%2Ffull-record%2FWOS:000566336400014","View Full Record in Web of Science")</f>
        <v>View Full Record in Web of Science</v>
      </c>
    </row>
    <row r="799" spans="1:72" x14ac:dyDescent="0.25">
      <c r="A799" t="s">
        <v>72</v>
      </c>
      <c r="B799" t="s">
        <v>15812</v>
      </c>
      <c r="C799" t="s">
        <v>74</v>
      </c>
      <c r="D799" t="s">
        <v>74</v>
      </c>
      <c r="E799" t="s">
        <v>74</v>
      </c>
      <c r="F799" t="s">
        <v>15813</v>
      </c>
      <c r="G799" t="s">
        <v>74</v>
      </c>
      <c r="H799" t="s">
        <v>74</v>
      </c>
      <c r="I799" t="s">
        <v>15814</v>
      </c>
      <c r="J799" t="s">
        <v>15815</v>
      </c>
      <c r="K799" t="s">
        <v>74</v>
      </c>
      <c r="L799" t="s">
        <v>74</v>
      </c>
      <c r="M799" t="s">
        <v>15816</v>
      </c>
      <c r="N799" t="s">
        <v>79</v>
      </c>
      <c r="O799" t="s">
        <v>74</v>
      </c>
      <c r="P799" t="s">
        <v>74</v>
      </c>
      <c r="Q799" t="s">
        <v>74</v>
      </c>
      <c r="R799" t="s">
        <v>74</v>
      </c>
      <c r="S799" t="s">
        <v>74</v>
      </c>
      <c r="T799" t="s">
        <v>15817</v>
      </c>
      <c r="U799" t="s">
        <v>74</v>
      </c>
      <c r="V799" t="s">
        <v>15818</v>
      </c>
      <c r="W799" t="s">
        <v>15819</v>
      </c>
      <c r="X799" t="s">
        <v>15820</v>
      </c>
      <c r="Y799" t="s">
        <v>15821</v>
      </c>
      <c r="Z799" t="s">
        <v>15822</v>
      </c>
      <c r="AA799" t="s">
        <v>15823</v>
      </c>
      <c r="AB799" t="s">
        <v>15824</v>
      </c>
      <c r="AC799" t="s">
        <v>15825</v>
      </c>
      <c r="AD799" t="s">
        <v>15826</v>
      </c>
      <c r="AE799" t="s">
        <v>15827</v>
      </c>
      <c r="AF799" t="s">
        <v>74</v>
      </c>
      <c r="AG799">
        <v>13</v>
      </c>
      <c r="AH799">
        <v>0</v>
      </c>
      <c r="AI799">
        <v>0</v>
      </c>
      <c r="AJ799">
        <v>0</v>
      </c>
      <c r="AK799">
        <v>0</v>
      </c>
      <c r="AL799" t="s">
        <v>15828</v>
      </c>
      <c r="AM799" t="s">
        <v>15829</v>
      </c>
      <c r="AN799" t="s">
        <v>15830</v>
      </c>
      <c r="AO799" t="s">
        <v>15831</v>
      </c>
      <c r="AP799" t="s">
        <v>15832</v>
      </c>
      <c r="AQ799" t="s">
        <v>74</v>
      </c>
      <c r="AR799" t="s">
        <v>15833</v>
      </c>
      <c r="AS799" t="s">
        <v>15834</v>
      </c>
      <c r="AT799" t="s">
        <v>74</v>
      </c>
      <c r="AU799">
        <v>2024</v>
      </c>
      <c r="AV799">
        <v>32</v>
      </c>
      <c r="AW799">
        <v>5</v>
      </c>
      <c r="AX799" t="s">
        <v>74</v>
      </c>
      <c r="AY799" t="s">
        <v>2400</v>
      </c>
      <c r="AZ799" t="s">
        <v>74</v>
      </c>
      <c r="BA799" t="s">
        <v>74</v>
      </c>
      <c r="BB799">
        <v>189</v>
      </c>
      <c r="BC799">
        <v>196</v>
      </c>
      <c r="BD799" t="s">
        <v>74</v>
      </c>
      <c r="BE799" t="s">
        <v>15835</v>
      </c>
      <c r="BF799" t="str">
        <f>HYPERLINK("http://dx.doi.org/10.53656/str2024-5s-19-ato","http://dx.doi.org/10.53656/str2024-5s-19-ato")</f>
        <v>http://dx.doi.org/10.53656/str2024-5s-19-ato</v>
      </c>
      <c r="BG799" t="s">
        <v>74</v>
      </c>
      <c r="BH799" t="s">
        <v>74</v>
      </c>
      <c r="BI799">
        <v>8</v>
      </c>
      <c r="BJ799" t="s">
        <v>318</v>
      </c>
      <c r="BK799" t="s">
        <v>102</v>
      </c>
      <c r="BL799" t="s">
        <v>318</v>
      </c>
      <c r="BM799" t="s">
        <v>15836</v>
      </c>
      <c r="BN799" t="s">
        <v>74</v>
      </c>
      <c r="BO799" t="s">
        <v>205</v>
      </c>
      <c r="BP799" t="s">
        <v>74</v>
      </c>
      <c r="BQ799" t="s">
        <v>74</v>
      </c>
      <c r="BR799" t="s">
        <v>106</v>
      </c>
      <c r="BS799" t="s">
        <v>15837</v>
      </c>
      <c r="BT799" t="str">
        <f>HYPERLINK("https%3A%2F%2Fwww.webofscience.com%2Fwos%2Fwoscc%2Ffull-record%2FWOS:001396249400019","View Full Record in Web of Science")</f>
        <v>View Full Record in Web of Science</v>
      </c>
    </row>
    <row r="800" spans="1:72" x14ac:dyDescent="0.25">
      <c r="A800" t="s">
        <v>72</v>
      </c>
      <c r="B800" t="s">
        <v>15838</v>
      </c>
      <c r="C800" t="s">
        <v>74</v>
      </c>
      <c r="D800" t="s">
        <v>74</v>
      </c>
      <c r="E800" t="s">
        <v>74</v>
      </c>
      <c r="F800" t="s">
        <v>15839</v>
      </c>
      <c r="G800" t="s">
        <v>74</v>
      </c>
      <c r="H800" t="s">
        <v>74</v>
      </c>
      <c r="I800" t="s">
        <v>15840</v>
      </c>
      <c r="J800" t="s">
        <v>15841</v>
      </c>
      <c r="K800" t="s">
        <v>74</v>
      </c>
      <c r="L800" t="s">
        <v>74</v>
      </c>
      <c r="M800" t="s">
        <v>78</v>
      </c>
      <c r="N800" t="s">
        <v>79</v>
      </c>
      <c r="O800" t="s">
        <v>74</v>
      </c>
      <c r="P800" t="s">
        <v>74</v>
      </c>
      <c r="Q800" t="s">
        <v>74</v>
      </c>
      <c r="R800" t="s">
        <v>74</v>
      </c>
      <c r="S800" t="s">
        <v>74</v>
      </c>
      <c r="T800" t="s">
        <v>15842</v>
      </c>
      <c r="U800" t="s">
        <v>74</v>
      </c>
      <c r="V800" t="s">
        <v>15843</v>
      </c>
      <c r="W800" t="s">
        <v>15844</v>
      </c>
      <c r="X800" t="s">
        <v>15845</v>
      </c>
      <c r="Y800" t="s">
        <v>15846</v>
      </c>
      <c r="Z800" t="s">
        <v>74</v>
      </c>
      <c r="AA800" t="s">
        <v>74</v>
      </c>
      <c r="AB800" t="s">
        <v>74</v>
      </c>
      <c r="AC800" t="s">
        <v>74</v>
      </c>
      <c r="AD800" t="s">
        <v>74</v>
      </c>
      <c r="AE800" t="s">
        <v>74</v>
      </c>
      <c r="AF800" t="s">
        <v>74</v>
      </c>
      <c r="AG800">
        <v>14</v>
      </c>
      <c r="AH800">
        <v>0</v>
      </c>
      <c r="AI800">
        <v>2</v>
      </c>
      <c r="AJ800">
        <v>0</v>
      </c>
      <c r="AK800">
        <v>0</v>
      </c>
      <c r="AL800" t="s">
        <v>15847</v>
      </c>
      <c r="AM800" t="s">
        <v>15848</v>
      </c>
      <c r="AN800" t="s">
        <v>15849</v>
      </c>
      <c r="AO800" t="s">
        <v>15850</v>
      </c>
      <c r="AP800" t="s">
        <v>74</v>
      </c>
      <c r="AQ800" t="s">
        <v>74</v>
      </c>
      <c r="AR800" t="s">
        <v>15851</v>
      </c>
      <c r="AS800" t="s">
        <v>15852</v>
      </c>
      <c r="AT800" t="s">
        <v>15853</v>
      </c>
      <c r="AU800">
        <v>2007</v>
      </c>
      <c r="AV800">
        <v>7</v>
      </c>
      <c r="AW800">
        <v>8</v>
      </c>
      <c r="AX800" t="s">
        <v>74</v>
      </c>
      <c r="AY800" t="s">
        <v>74</v>
      </c>
      <c r="AZ800" t="s">
        <v>74</v>
      </c>
      <c r="BA800" t="s">
        <v>74</v>
      </c>
      <c r="BB800">
        <v>193</v>
      </c>
      <c r="BC800">
        <v>198</v>
      </c>
      <c r="BD800" t="s">
        <v>74</v>
      </c>
      <c r="BE800" t="s">
        <v>74</v>
      </c>
      <c r="BF800" t="s">
        <v>74</v>
      </c>
      <c r="BG800" t="s">
        <v>74</v>
      </c>
      <c r="BH800" t="s">
        <v>74</v>
      </c>
      <c r="BI800">
        <v>6</v>
      </c>
      <c r="BJ800" t="s">
        <v>852</v>
      </c>
      <c r="BK800" t="s">
        <v>102</v>
      </c>
      <c r="BL800" t="s">
        <v>103</v>
      </c>
      <c r="BM800" t="s">
        <v>15854</v>
      </c>
      <c r="BN800" t="s">
        <v>74</v>
      </c>
      <c r="BO800" t="s">
        <v>74</v>
      </c>
      <c r="BP800" t="s">
        <v>74</v>
      </c>
      <c r="BQ800" t="s">
        <v>74</v>
      </c>
      <c r="BR800" t="s">
        <v>106</v>
      </c>
      <c r="BS800" t="s">
        <v>15855</v>
      </c>
      <c r="BT800" t="str">
        <f>HYPERLINK("https%3A%2F%2Fwww.webofscience.com%2Fwos%2Fwoscc%2Ffull-record%2FWOS:000217089700027","View Full Record in Web of Science")</f>
        <v>View Full Record in Web of Science</v>
      </c>
    </row>
    <row r="801" spans="1:72" x14ac:dyDescent="0.25">
      <c r="A801" t="s">
        <v>72</v>
      </c>
      <c r="B801" t="s">
        <v>15856</v>
      </c>
      <c r="C801" t="s">
        <v>74</v>
      </c>
      <c r="D801" t="s">
        <v>74</v>
      </c>
      <c r="E801" t="s">
        <v>74</v>
      </c>
      <c r="F801" t="s">
        <v>15857</v>
      </c>
      <c r="G801" t="s">
        <v>74</v>
      </c>
      <c r="H801" t="s">
        <v>74</v>
      </c>
      <c r="I801" t="s">
        <v>15858</v>
      </c>
      <c r="J801" t="s">
        <v>15859</v>
      </c>
      <c r="K801" t="s">
        <v>74</v>
      </c>
      <c r="L801" t="s">
        <v>74</v>
      </c>
      <c r="M801" t="s">
        <v>15860</v>
      </c>
      <c r="N801" t="s">
        <v>79</v>
      </c>
      <c r="O801" t="s">
        <v>74</v>
      </c>
      <c r="P801" t="s">
        <v>74</v>
      </c>
      <c r="Q801" t="s">
        <v>74</v>
      </c>
      <c r="R801" t="s">
        <v>74</v>
      </c>
      <c r="S801" t="s">
        <v>74</v>
      </c>
      <c r="T801" t="s">
        <v>15861</v>
      </c>
      <c r="U801" t="s">
        <v>15862</v>
      </c>
      <c r="V801" t="s">
        <v>15863</v>
      </c>
      <c r="W801" t="s">
        <v>15864</v>
      </c>
      <c r="X801" t="s">
        <v>15865</v>
      </c>
      <c r="Y801" t="s">
        <v>15866</v>
      </c>
      <c r="Z801" t="s">
        <v>15867</v>
      </c>
      <c r="AA801" t="s">
        <v>15868</v>
      </c>
      <c r="AB801" t="s">
        <v>15869</v>
      </c>
      <c r="AC801" t="s">
        <v>15865</v>
      </c>
      <c r="AD801" t="s">
        <v>15870</v>
      </c>
      <c r="AE801" t="s">
        <v>15871</v>
      </c>
      <c r="AF801" t="s">
        <v>74</v>
      </c>
      <c r="AG801">
        <v>64</v>
      </c>
      <c r="AH801">
        <v>1</v>
      </c>
      <c r="AI801">
        <v>1</v>
      </c>
      <c r="AJ801">
        <v>2</v>
      </c>
      <c r="AK801">
        <v>11</v>
      </c>
      <c r="AL801" t="s">
        <v>15872</v>
      </c>
      <c r="AM801" t="s">
        <v>15873</v>
      </c>
      <c r="AN801" t="s">
        <v>15874</v>
      </c>
      <c r="AO801" t="s">
        <v>15875</v>
      </c>
      <c r="AP801" t="s">
        <v>15876</v>
      </c>
      <c r="AQ801" t="s">
        <v>74</v>
      </c>
      <c r="AR801" t="s">
        <v>15877</v>
      </c>
      <c r="AS801" t="s">
        <v>15878</v>
      </c>
      <c r="AT801" t="s">
        <v>1251</v>
      </c>
      <c r="AU801">
        <v>2022</v>
      </c>
      <c r="AV801">
        <v>25</v>
      </c>
      <c r="AW801">
        <v>2</v>
      </c>
      <c r="AX801" t="s">
        <v>74</v>
      </c>
      <c r="AY801" t="s">
        <v>74</v>
      </c>
      <c r="AZ801" t="s">
        <v>74</v>
      </c>
      <c r="BA801" t="s">
        <v>74</v>
      </c>
      <c r="BB801">
        <v>405</v>
      </c>
      <c r="BC801">
        <v>425</v>
      </c>
      <c r="BD801" t="s">
        <v>74</v>
      </c>
      <c r="BE801" t="s">
        <v>15879</v>
      </c>
      <c r="BF801" t="str">
        <f>HYPERLINK("http://dx.doi.org/10.1007/s11618-022-01091-2","http://dx.doi.org/10.1007/s11618-022-01091-2")</f>
        <v>http://dx.doi.org/10.1007/s11618-022-01091-2</v>
      </c>
      <c r="BG801" t="s">
        <v>74</v>
      </c>
      <c r="BH801" t="s">
        <v>6262</v>
      </c>
      <c r="BI801">
        <v>21</v>
      </c>
      <c r="BJ801" t="s">
        <v>318</v>
      </c>
      <c r="BK801" t="s">
        <v>250</v>
      </c>
      <c r="BL801" t="s">
        <v>318</v>
      </c>
      <c r="BM801" t="s">
        <v>15880</v>
      </c>
      <c r="BN801" t="s">
        <v>74</v>
      </c>
      <c r="BO801" t="s">
        <v>15881</v>
      </c>
      <c r="BP801" t="s">
        <v>74</v>
      </c>
      <c r="BQ801" t="s">
        <v>74</v>
      </c>
      <c r="BR801" t="s">
        <v>106</v>
      </c>
      <c r="BS801" t="s">
        <v>15882</v>
      </c>
      <c r="BT801" t="str">
        <f>HYPERLINK("https%3A%2F%2Fwww.webofscience.com%2Fwos%2Fwoscc%2Ffull-record%2FWOS:000791635000002","View Full Record in Web of Science")</f>
        <v>View Full Record in Web of Science</v>
      </c>
    </row>
    <row r="802" spans="1:72" x14ac:dyDescent="0.25">
      <c r="A802" t="s">
        <v>72</v>
      </c>
      <c r="B802" t="s">
        <v>15883</v>
      </c>
      <c r="C802" t="s">
        <v>74</v>
      </c>
      <c r="D802" t="s">
        <v>74</v>
      </c>
      <c r="E802" t="s">
        <v>74</v>
      </c>
      <c r="F802" t="s">
        <v>15884</v>
      </c>
      <c r="G802" t="s">
        <v>74</v>
      </c>
      <c r="H802" t="s">
        <v>74</v>
      </c>
      <c r="I802" t="s">
        <v>15885</v>
      </c>
      <c r="J802" t="s">
        <v>15886</v>
      </c>
      <c r="K802" t="s">
        <v>74</v>
      </c>
      <c r="L802" t="s">
        <v>74</v>
      </c>
      <c r="M802" t="s">
        <v>78</v>
      </c>
      <c r="N802" t="s">
        <v>79</v>
      </c>
      <c r="O802" t="s">
        <v>74</v>
      </c>
      <c r="P802" t="s">
        <v>74</v>
      </c>
      <c r="Q802" t="s">
        <v>74</v>
      </c>
      <c r="R802" t="s">
        <v>74</v>
      </c>
      <c r="S802" t="s">
        <v>74</v>
      </c>
      <c r="T802" t="s">
        <v>15887</v>
      </c>
      <c r="U802" t="s">
        <v>74</v>
      </c>
      <c r="V802" t="s">
        <v>15888</v>
      </c>
      <c r="W802" t="s">
        <v>15889</v>
      </c>
      <c r="X802" t="s">
        <v>15890</v>
      </c>
      <c r="Y802" t="s">
        <v>15891</v>
      </c>
      <c r="Z802" t="s">
        <v>15892</v>
      </c>
      <c r="AA802" t="s">
        <v>15893</v>
      </c>
      <c r="AB802" t="s">
        <v>15894</v>
      </c>
      <c r="AC802" t="s">
        <v>15895</v>
      </c>
      <c r="AD802" t="s">
        <v>15896</v>
      </c>
      <c r="AE802" t="s">
        <v>15897</v>
      </c>
      <c r="AF802" t="s">
        <v>74</v>
      </c>
      <c r="AG802">
        <v>58</v>
      </c>
      <c r="AH802">
        <v>4</v>
      </c>
      <c r="AI802">
        <v>5</v>
      </c>
      <c r="AJ802">
        <v>0</v>
      </c>
      <c r="AK802">
        <v>5</v>
      </c>
      <c r="AL802" t="s">
        <v>178</v>
      </c>
      <c r="AM802" t="s">
        <v>1005</v>
      </c>
      <c r="AN802" t="s">
        <v>1006</v>
      </c>
      <c r="AO802" t="s">
        <v>15898</v>
      </c>
      <c r="AP802" t="s">
        <v>15899</v>
      </c>
      <c r="AQ802" t="s">
        <v>74</v>
      </c>
      <c r="AR802" t="s">
        <v>15900</v>
      </c>
      <c r="AS802" t="s">
        <v>15901</v>
      </c>
      <c r="AT802" t="s">
        <v>15902</v>
      </c>
      <c r="AU802">
        <v>2024</v>
      </c>
      <c r="AV802">
        <v>34</v>
      </c>
      <c r="AW802">
        <v>3</v>
      </c>
      <c r="AX802" t="s">
        <v>74</v>
      </c>
      <c r="AY802" t="s">
        <v>74</v>
      </c>
      <c r="AZ802" t="s">
        <v>74</v>
      </c>
      <c r="BA802" t="s">
        <v>74</v>
      </c>
      <c r="BB802" t="s">
        <v>74</v>
      </c>
      <c r="BC802" t="s">
        <v>74</v>
      </c>
      <c r="BD802">
        <v>33</v>
      </c>
      <c r="BE802" t="s">
        <v>15903</v>
      </c>
      <c r="BF802" t="str">
        <f>HYPERLINK("http://dx.doi.org/10.1007/s11023-024-09685-x","http://dx.doi.org/10.1007/s11023-024-09685-x")</f>
        <v>http://dx.doi.org/10.1007/s11023-024-09685-x</v>
      </c>
      <c r="BG802" t="s">
        <v>74</v>
      </c>
      <c r="BH802" t="s">
        <v>74</v>
      </c>
      <c r="BI802">
        <v>34</v>
      </c>
      <c r="BJ802" t="s">
        <v>807</v>
      </c>
      <c r="BK802" t="s">
        <v>902</v>
      </c>
      <c r="BL802" t="s">
        <v>103</v>
      </c>
      <c r="BM802" t="s">
        <v>15904</v>
      </c>
      <c r="BN802" t="s">
        <v>74</v>
      </c>
      <c r="BO802" t="s">
        <v>1331</v>
      </c>
      <c r="BP802" t="s">
        <v>74</v>
      </c>
      <c r="BQ802" t="s">
        <v>74</v>
      </c>
      <c r="BR802" t="s">
        <v>106</v>
      </c>
      <c r="BS802" t="s">
        <v>15905</v>
      </c>
      <c r="BT802" t="str">
        <f>HYPERLINK("https%3A%2F%2Fwww.webofscience.com%2Fwos%2Fwoscc%2Ffull-record%2FWOS:001275770700001","View Full Record in Web of Science")</f>
        <v>View Full Record in Web of Science</v>
      </c>
    </row>
    <row r="803" spans="1:72" x14ac:dyDescent="0.25">
      <c r="A803" t="s">
        <v>72</v>
      </c>
      <c r="B803" t="s">
        <v>15906</v>
      </c>
      <c r="C803" t="s">
        <v>74</v>
      </c>
      <c r="D803" t="s">
        <v>74</v>
      </c>
      <c r="E803" t="s">
        <v>74</v>
      </c>
      <c r="F803" t="s">
        <v>15907</v>
      </c>
      <c r="G803" t="s">
        <v>74</v>
      </c>
      <c r="H803" t="s">
        <v>74</v>
      </c>
      <c r="I803" t="s">
        <v>15908</v>
      </c>
      <c r="J803" t="s">
        <v>15909</v>
      </c>
      <c r="K803" t="s">
        <v>74</v>
      </c>
      <c r="L803" t="s">
        <v>74</v>
      </c>
      <c r="M803" t="s">
        <v>78</v>
      </c>
      <c r="N803" t="s">
        <v>79</v>
      </c>
      <c r="O803" t="s">
        <v>74</v>
      </c>
      <c r="P803" t="s">
        <v>74</v>
      </c>
      <c r="Q803" t="s">
        <v>74</v>
      </c>
      <c r="R803" t="s">
        <v>74</v>
      </c>
      <c r="S803" t="s">
        <v>74</v>
      </c>
      <c r="T803" t="s">
        <v>15910</v>
      </c>
      <c r="U803" t="s">
        <v>15911</v>
      </c>
      <c r="V803" t="s">
        <v>15912</v>
      </c>
      <c r="W803" t="s">
        <v>15913</v>
      </c>
      <c r="X803" t="s">
        <v>15914</v>
      </c>
      <c r="Y803" t="s">
        <v>15915</v>
      </c>
      <c r="Z803" t="s">
        <v>15916</v>
      </c>
      <c r="AA803" t="s">
        <v>15917</v>
      </c>
      <c r="AB803" t="s">
        <v>15918</v>
      </c>
      <c r="AC803" t="s">
        <v>74</v>
      </c>
      <c r="AD803" t="s">
        <v>74</v>
      </c>
      <c r="AE803" t="s">
        <v>74</v>
      </c>
      <c r="AF803" t="s">
        <v>74</v>
      </c>
      <c r="AG803">
        <v>42</v>
      </c>
      <c r="AH803">
        <v>39</v>
      </c>
      <c r="AI803">
        <v>42</v>
      </c>
      <c r="AJ803">
        <v>0</v>
      </c>
      <c r="AK803">
        <v>8</v>
      </c>
      <c r="AL803" t="s">
        <v>362</v>
      </c>
      <c r="AM803" t="s">
        <v>363</v>
      </c>
      <c r="AN803" t="s">
        <v>364</v>
      </c>
      <c r="AO803" t="s">
        <v>15919</v>
      </c>
      <c r="AP803" t="s">
        <v>15920</v>
      </c>
      <c r="AQ803" t="s">
        <v>74</v>
      </c>
      <c r="AR803" t="s">
        <v>15921</v>
      </c>
      <c r="AS803" t="s">
        <v>15922</v>
      </c>
      <c r="AT803" t="s">
        <v>509</v>
      </c>
      <c r="AU803">
        <v>2018</v>
      </c>
      <c r="AV803">
        <v>28</v>
      </c>
      <c r="AW803" t="s">
        <v>74</v>
      </c>
      <c r="AX803" t="s">
        <v>74</v>
      </c>
      <c r="AY803" t="s">
        <v>74</v>
      </c>
      <c r="AZ803" t="s">
        <v>74</v>
      </c>
      <c r="BA803" t="s">
        <v>74</v>
      </c>
      <c r="BB803">
        <v>94</v>
      </c>
      <c r="BC803">
        <v>100</v>
      </c>
      <c r="BD803" t="s">
        <v>74</v>
      </c>
      <c r="BE803" t="s">
        <v>15923</v>
      </c>
      <c r="BF803" t="str">
        <f>HYPERLINK("http://dx.doi.org/10.1016/j.jocs.2018.08.005","http://dx.doi.org/10.1016/j.jocs.2018.08.005")</f>
        <v>http://dx.doi.org/10.1016/j.jocs.2018.08.005</v>
      </c>
      <c r="BG803" t="s">
        <v>74</v>
      </c>
      <c r="BH803" t="s">
        <v>74</v>
      </c>
      <c r="BI803">
        <v>7</v>
      </c>
      <c r="BJ803" t="s">
        <v>2700</v>
      </c>
      <c r="BK803" t="s">
        <v>902</v>
      </c>
      <c r="BL803" t="s">
        <v>103</v>
      </c>
      <c r="BM803" t="s">
        <v>15924</v>
      </c>
      <c r="BN803" t="s">
        <v>74</v>
      </c>
      <c r="BO803" t="s">
        <v>74</v>
      </c>
      <c r="BP803" t="s">
        <v>74</v>
      </c>
      <c r="BQ803" t="s">
        <v>74</v>
      </c>
      <c r="BR803" t="s">
        <v>106</v>
      </c>
      <c r="BS803" t="s">
        <v>15925</v>
      </c>
      <c r="BT803" t="str">
        <f>HYPERLINK("https%3A%2F%2Fwww.webofscience.com%2Fwos%2Fwoscc%2Ffull-record%2FWOS:000449242900010","View Full Record in Web of Science")</f>
        <v>View Full Record in Web of Science</v>
      </c>
    </row>
    <row r="804" spans="1:72" x14ac:dyDescent="0.25">
      <c r="A804" t="s">
        <v>72</v>
      </c>
      <c r="B804" t="s">
        <v>15926</v>
      </c>
      <c r="C804" t="s">
        <v>74</v>
      </c>
      <c r="D804" t="s">
        <v>74</v>
      </c>
      <c r="E804" t="s">
        <v>74</v>
      </c>
      <c r="F804" t="s">
        <v>15927</v>
      </c>
      <c r="G804" t="s">
        <v>74</v>
      </c>
      <c r="H804" t="s">
        <v>74</v>
      </c>
      <c r="I804" t="s">
        <v>15928</v>
      </c>
      <c r="J804" t="s">
        <v>15929</v>
      </c>
      <c r="K804" t="s">
        <v>74</v>
      </c>
      <c r="L804" t="s">
        <v>74</v>
      </c>
      <c r="M804" t="s">
        <v>78</v>
      </c>
      <c r="N804" t="s">
        <v>79</v>
      </c>
      <c r="O804" t="s">
        <v>74</v>
      </c>
      <c r="P804" t="s">
        <v>74</v>
      </c>
      <c r="Q804" t="s">
        <v>74</v>
      </c>
      <c r="R804" t="s">
        <v>74</v>
      </c>
      <c r="S804" t="s">
        <v>74</v>
      </c>
      <c r="T804" t="s">
        <v>15930</v>
      </c>
      <c r="U804" t="s">
        <v>15931</v>
      </c>
      <c r="V804" t="s">
        <v>15932</v>
      </c>
      <c r="W804" t="s">
        <v>15933</v>
      </c>
      <c r="X804" t="s">
        <v>15934</v>
      </c>
      <c r="Y804" t="s">
        <v>15935</v>
      </c>
      <c r="Z804" t="s">
        <v>15936</v>
      </c>
      <c r="AA804" t="s">
        <v>15937</v>
      </c>
      <c r="AB804" t="s">
        <v>15938</v>
      </c>
      <c r="AC804" t="s">
        <v>74</v>
      </c>
      <c r="AD804" t="s">
        <v>74</v>
      </c>
      <c r="AE804" t="s">
        <v>74</v>
      </c>
      <c r="AF804" t="s">
        <v>74</v>
      </c>
      <c r="AG804">
        <v>66</v>
      </c>
      <c r="AH804">
        <v>11</v>
      </c>
      <c r="AI804">
        <v>12</v>
      </c>
      <c r="AJ804">
        <v>0</v>
      </c>
      <c r="AK804">
        <v>19</v>
      </c>
      <c r="AL804" t="s">
        <v>362</v>
      </c>
      <c r="AM804" t="s">
        <v>363</v>
      </c>
      <c r="AN804" t="s">
        <v>364</v>
      </c>
      <c r="AO804" t="s">
        <v>15939</v>
      </c>
      <c r="AP804" t="s">
        <v>15940</v>
      </c>
      <c r="AQ804" t="s">
        <v>74</v>
      </c>
      <c r="AR804" t="s">
        <v>15941</v>
      </c>
      <c r="AS804" t="s">
        <v>15942</v>
      </c>
      <c r="AT804" t="s">
        <v>246</v>
      </c>
      <c r="AU804">
        <v>2020</v>
      </c>
      <c r="AV804">
        <v>112</v>
      </c>
      <c r="AW804" t="s">
        <v>74</v>
      </c>
      <c r="AX804" t="s">
        <v>74</v>
      </c>
      <c r="AY804" t="s">
        <v>74</v>
      </c>
      <c r="AZ804" t="s">
        <v>74</v>
      </c>
      <c r="BA804" t="s">
        <v>74</v>
      </c>
      <c r="BB804">
        <v>996</v>
      </c>
      <c r="BC804">
        <v>1009</v>
      </c>
      <c r="BD804" t="s">
        <v>74</v>
      </c>
      <c r="BE804" t="s">
        <v>15943</v>
      </c>
      <c r="BF804" t="str">
        <f>HYPERLINK("http://dx.doi.org/10.1016/j.future.2020.04.001","http://dx.doi.org/10.1016/j.future.2020.04.001")</f>
        <v>http://dx.doi.org/10.1016/j.future.2020.04.001</v>
      </c>
      <c r="BG804" t="s">
        <v>74</v>
      </c>
      <c r="BH804" t="s">
        <v>74</v>
      </c>
      <c r="BI804">
        <v>14</v>
      </c>
      <c r="BJ804" t="s">
        <v>925</v>
      </c>
      <c r="BK804" t="s">
        <v>902</v>
      </c>
      <c r="BL804" t="s">
        <v>103</v>
      </c>
      <c r="BM804" t="s">
        <v>15944</v>
      </c>
      <c r="BN804" t="s">
        <v>74</v>
      </c>
      <c r="BO804" t="s">
        <v>74</v>
      </c>
      <c r="BP804" t="s">
        <v>74</v>
      </c>
      <c r="BQ804" t="s">
        <v>74</v>
      </c>
      <c r="BR804" t="s">
        <v>106</v>
      </c>
      <c r="BS804" t="s">
        <v>15945</v>
      </c>
      <c r="BT804" t="str">
        <f>HYPERLINK("https%3A%2F%2Fwww.webofscience.com%2Fwos%2Fwoscc%2Ffull-record%2FWOS:000567827900011","View Full Record in Web of Science")</f>
        <v>View Full Record in Web of Science</v>
      </c>
    </row>
    <row r="805" spans="1:72" x14ac:dyDescent="0.25">
      <c r="A805" t="s">
        <v>108</v>
      </c>
      <c r="B805" t="s">
        <v>5691</v>
      </c>
      <c r="C805" t="s">
        <v>74</v>
      </c>
      <c r="D805" t="s">
        <v>1651</v>
      </c>
      <c r="E805" t="s">
        <v>74</v>
      </c>
      <c r="F805" t="s">
        <v>5727</v>
      </c>
      <c r="G805" t="s">
        <v>74</v>
      </c>
      <c r="H805" t="s">
        <v>74</v>
      </c>
      <c r="I805" t="s">
        <v>15946</v>
      </c>
      <c r="J805" t="s">
        <v>15947</v>
      </c>
      <c r="K805" t="s">
        <v>5618</v>
      </c>
      <c r="L805" t="s">
        <v>74</v>
      </c>
      <c r="M805" t="s">
        <v>78</v>
      </c>
      <c r="N805" t="s">
        <v>115</v>
      </c>
      <c r="O805" t="s">
        <v>15948</v>
      </c>
      <c r="P805" t="s">
        <v>9748</v>
      </c>
      <c r="Q805" t="s">
        <v>1051</v>
      </c>
      <c r="R805" t="s">
        <v>74</v>
      </c>
      <c r="S805" t="s">
        <v>74</v>
      </c>
      <c r="T805" t="s">
        <v>15949</v>
      </c>
      <c r="U805" t="s">
        <v>74</v>
      </c>
      <c r="V805" t="s">
        <v>15950</v>
      </c>
      <c r="W805" t="s">
        <v>5736</v>
      </c>
      <c r="X805" t="s">
        <v>3703</v>
      </c>
      <c r="Y805" t="s">
        <v>5700</v>
      </c>
      <c r="Z805" t="s">
        <v>74</v>
      </c>
      <c r="AA805" t="s">
        <v>74</v>
      </c>
      <c r="AB805" t="s">
        <v>74</v>
      </c>
      <c r="AC805" t="s">
        <v>74</v>
      </c>
      <c r="AD805" t="s">
        <v>74</v>
      </c>
      <c r="AE805" t="s">
        <v>74</v>
      </c>
      <c r="AF805" t="s">
        <v>74</v>
      </c>
      <c r="AG805">
        <v>59</v>
      </c>
      <c r="AH805">
        <v>0</v>
      </c>
      <c r="AI805">
        <v>0</v>
      </c>
      <c r="AJ805">
        <v>1</v>
      </c>
      <c r="AK805">
        <v>5</v>
      </c>
      <c r="AL805" t="s">
        <v>1668</v>
      </c>
      <c r="AM805" t="s">
        <v>1669</v>
      </c>
      <c r="AN805" t="s">
        <v>1670</v>
      </c>
      <c r="AO805" t="s">
        <v>5626</v>
      </c>
      <c r="AP805" t="s">
        <v>74</v>
      </c>
      <c r="AQ805" t="s">
        <v>15951</v>
      </c>
      <c r="AR805" t="s">
        <v>5628</v>
      </c>
      <c r="AS805" t="s">
        <v>74</v>
      </c>
      <c r="AT805" t="s">
        <v>74</v>
      </c>
      <c r="AU805">
        <v>2014</v>
      </c>
      <c r="AV805" t="s">
        <v>74</v>
      </c>
      <c r="AW805" t="s">
        <v>74</v>
      </c>
      <c r="AX805" t="s">
        <v>74</v>
      </c>
      <c r="AY805" t="s">
        <v>74</v>
      </c>
      <c r="AZ805" t="s">
        <v>74</v>
      </c>
      <c r="BA805" t="s">
        <v>74</v>
      </c>
      <c r="BB805">
        <v>7029</v>
      </c>
      <c r="BC805">
        <v>7038</v>
      </c>
      <c r="BD805" t="s">
        <v>74</v>
      </c>
      <c r="BE805" t="s">
        <v>74</v>
      </c>
      <c r="BF805" t="s">
        <v>74</v>
      </c>
      <c r="BG805" t="s">
        <v>74</v>
      </c>
      <c r="BH805" t="s">
        <v>74</v>
      </c>
      <c r="BI805">
        <v>10</v>
      </c>
      <c r="BJ805" t="s">
        <v>318</v>
      </c>
      <c r="BK805" t="s">
        <v>1042</v>
      </c>
      <c r="BL805" t="s">
        <v>318</v>
      </c>
      <c r="BM805" t="s">
        <v>15952</v>
      </c>
      <c r="BN805" t="s">
        <v>74</v>
      </c>
      <c r="BO805" t="s">
        <v>74</v>
      </c>
      <c r="BP805" t="s">
        <v>74</v>
      </c>
      <c r="BQ805" t="s">
        <v>74</v>
      </c>
      <c r="BR805" t="s">
        <v>106</v>
      </c>
      <c r="BS805" t="s">
        <v>15953</v>
      </c>
      <c r="BT805" t="str">
        <f>HYPERLINK("https%3A%2F%2Fwww.webofscience.com%2Fwos%2Fwoscc%2Ffull-record%2FWOS:000366837207006","View Full Record in Web of Science")</f>
        <v>View Full Record in Web of Science</v>
      </c>
    </row>
    <row r="806" spans="1:72" x14ac:dyDescent="0.25">
      <c r="A806" t="s">
        <v>72</v>
      </c>
      <c r="B806" t="s">
        <v>15954</v>
      </c>
      <c r="C806" t="s">
        <v>74</v>
      </c>
      <c r="D806" t="s">
        <v>74</v>
      </c>
      <c r="E806" t="s">
        <v>74</v>
      </c>
      <c r="F806" t="s">
        <v>15955</v>
      </c>
      <c r="G806" t="s">
        <v>74</v>
      </c>
      <c r="H806" t="s">
        <v>74</v>
      </c>
      <c r="I806" t="s">
        <v>15956</v>
      </c>
      <c r="J806" t="s">
        <v>1070</v>
      </c>
      <c r="K806" t="s">
        <v>74</v>
      </c>
      <c r="L806" t="s">
        <v>74</v>
      </c>
      <c r="M806" t="s">
        <v>78</v>
      </c>
      <c r="N806" t="s">
        <v>79</v>
      </c>
      <c r="O806" t="s">
        <v>74</v>
      </c>
      <c r="P806" t="s">
        <v>74</v>
      </c>
      <c r="Q806" t="s">
        <v>74</v>
      </c>
      <c r="R806" t="s">
        <v>74</v>
      </c>
      <c r="S806" t="s">
        <v>74</v>
      </c>
      <c r="T806" t="s">
        <v>15957</v>
      </c>
      <c r="U806" t="s">
        <v>15958</v>
      </c>
      <c r="V806" t="s">
        <v>15959</v>
      </c>
      <c r="W806" t="s">
        <v>15960</v>
      </c>
      <c r="X806" t="s">
        <v>15961</v>
      </c>
      <c r="Y806" t="s">
        <v>15962</v>
      </c>
      <c r="Z806" t="s">
        <v>15963</v>
      </c>
      <c r="AA806" t="s">
        <v>74</v>
      </c>
      <c r="AB806" t="s">
        <v>74</v>
      </c>
      <c r="AC806" t="s">
        <v>74</v>
      </c>
      <c r="AD806" t="s">
        <v>74</v>
      </c>
      <c r="AE806" t="s">
        <v>74</v>
      </c>
      <c r="AF806" t="s">
        <v>74</v>
      </c>
      <c r="AG806">
        <v>37</v>
      </c>
      <c r="AH806">
        <v>0</v>
      </c>
      <c r="AI806">
        <v>0</v>
      </c>
      <c r="AJ806">
        <v>1</v>
      </c>
      <c r="AK806">
        <v>1</v>
      </c>
      <c r="AL806" t="s">
        <v>736</v>
      </c>
      <c r="AM806" t="s">
        <v>737</v>
      </c>
      <c r="AN806" t="s">
        <v>738</v>
      </c>
      <c r="AO806" t="s">
        <v>1077</v>
      </c>
      <c r="AP806" t="s">
        <v>15964</v>
      </c>
      <c r="AQ806" t="s">
        <v>74</v>
      </c>
      <c r="AR806" t="s">
        <v>1078</v>
      </c>
      <c r="AS806" t="s">
        <v>1079</v>
      </c>
      <c r="AT806" t="s">
        <v>98</v>
      </c>
      <c r="AU806">
        <v>2026</v>
      </c>
      <c r="AV806">
        <v>106</v>
      </c>
      <c r="AW806" t="s">
        <v>74</v>
      </c>
      <c r="AX806" t="s">
        <v>74</v>
      </c>
      <c r="AY806" t="s">
        <v>74</v>
      </c>
      <c r="AZ806" t="s">
        <v>74</v>
      </c>
      <c r="BA806" t="s">
        <v>74</v>
      </c>
      <c r="BB806" t="s">
        <v>74</v>
      </c>
      <c r="BC806" t="s">
        <v>74</v>
      </c>
      <c r="BD806">
        <v>102452</v>
      </c>
      <c r="BE806" t="s">
        <v>15965</v>
      </c>
      <c r="BF806" t="str">
        <f>HYPERLINK("http://dx.doi.org/10.1016/j.learninstruc.2026.102452","http://dx.doi.org/10.1016/j.learninstruc.2026.102452")</f>
        <v>http://dx.doi.org/10.1016/j.learninstruc.2026.102452</v>
      </c>
      <c r="BG806" t="s">
        <v>74</v>
      </c>
      <c r="BH806" t="s">
        <v>15966</v>
      </c>
      <c r="BI806">
        <v>10</v>
      </c>
      <c r="BJ806" t="s">
        <v>664</v>
      </c>
      <c r="BK806" t="s">
        <v>250</v>
      </c>
      <c r="BL806" t="s">
        <v>665</v>
      </c>
      <c r="BM806" t="s">
        <v>15967</v>
      </c>
      <c r="BN806" t="s">
        <v>74</v>
      </c>
      <c r="BO806" t="s">
        <v>105</v>
      </c>
      <c r="BP806" t="s">
        <v>74</v>
      </c>
      <c r="BQ806" t="s">
        <v>74</v>
      </c>
      <c r="BR806" t="s">
        <v>106</v>
      </c>
      <c r="BS806" t="s">
        <v>15968</v>
      </c>
      <c r="BT806" t="str">
        <f>HYPERLINK("https%3A%2F%2Fwww.webofscience.com%2Fwos%2Fwoscc%2Ffull-record%2FWOS:001846128300001","View Full Record in Web of Science")</f>
        <v>View Full Record in Web of Science</v>
      </c>
    </row>
    <row r="807" spans="1:72" x14ac:dyDescent="0.25">
      <c r="A807" t="s">
        <v>72</v>
      </c>
      <c r="B807" t="s">
        <v>15969</v>
      </c>
      <c r="C807" t="s">
        <v>74</v>
      </c>
      <c r="D807" t="s">
        <v>74</v>
      </c>
      <c r="E807" t="s">
        <v>74</v>
      </c>
      <c r="F807" t="s">
        <v>15970</v>
      </c>
      <c r="G807" t="s">
        <v>74</v>
      </c>
      <c r="H807" t="s">
        <v>74</v>
      </c>
      <c r="I807" t="s">
        <v>15971</v>
      </c>
      <c r="J807" t="s">
        <v>15972</v>
      </c>
      <c r="K807" t="s">
        <v>74</v>
      </c>
      <c r="L807" t="s">
        <v>74</v>
      </c>
      <c r="M807" t="s">
        <v>78</v>
      </c>
      <c r="N807" t="s">
        <v>79</v>
      </c>
      <c r="O807" t="s">
        <v>74</v>
      </c>
      <c r="P807" t="s">
        <v>74</v>
      </c>
      <c r="Q807" t="s">
        <v>74</v>
      </c>
      <c r="R807" t="s">
        <v>74</v>
      </c>
      <c r="S807" t="s">
        <v>74</v>
      </c>
      <c r="T807" t="s">
        <v>15973</v>
      </c>
      <c r="U807" t="s">
        <v>74</v>
      </c>
      <c r="V807" t="s">
        <v>15974</v>
      </c>
      <c r="W807" t="s">
        <v>15975</v>
      </c>
      <c r="X807" t="s">
        <v>74</v>
      </c>
      <c r="Y807" t="s">
        <v>15976</v>
      </c>
      <c r="Z807" t="s">
        <v>15977</v>
      </c>
      <c r="AA807" t="s">
        <v>15978</v>
      </c>
      <c r="AB807" t="s">
        <v>74</v>
      </c>
      <c r="AC807" t="s">
        <v>74</v>
      </c>
      <c r="AD807" t="s">
        <v>74</v>
      </c>
      <c r="AE807" t="s">
        <v>15979</v>
      </c>
      <c r="AF807" t="s">
        <v>74</v>
      </c>
      <c r="AG807">
        <v>15</v>
      </c>
      <c r="AH807">
        <v>0</v>
      </c>
      <c r="AI807">
        <v>0</v>
      </c>
      <c r="AJ807">
        <v>0</v>
      </c>
      <c r="AK807">
        <v>2</v>
      </c>
      <c r="AL807" t="s">
        <v>15980</v>
      </c>
      <c r="AM807" t="s">
        <v>15981</v>
      </c>
      <c r="AN807" t="s">
        <v>15982</v>
      </c>
      <c r="AO807" t="s">
        <v>15983</v>
      </c>
      <c r="AP807" t="s">
        <v>15984</v>
      </c>
      <c r="AQ807" t="s">
        <v>74</v>
      </c>
      <c r="AR807" t="s">
        <v>15985</v>
      </c>
      <c r="AS807" t="s">
        <v>15986</v>
      </c>
      <c r="AT807" t="s">
        <v>1375</v>
      </c>
      <c r="AU807">
        <v>2024</v>
      </c>
      <c r="AV807">
        <v>51</v>
      </c>
      <c r="AW807">
        <v>2</v>
      </c>
      <c r="AX807" t="s">
        <v>74</v>
      </c>
      <c r="AY807" t="s">
        <v>74</v>
      </c>
      <c r="AZ807" t="s">
        <v>74</v>
      </c>
      <c r="BA807" t="s">
        <v>74</v>
      </c>
      <c r="BB807">
        <v>123</v>
      </c>
      <c r="BC807">
        <v>130</v>
      </c>
      <c r="BD807" t="s">
        <v>74</v>
      </c>
      <c r="BE807" t="s">
        <v>15987</v>
      </c>
      <c r="BF807" t="str">
        <f>HYPERLINK("http://dx.doi.org/10.3103/S0147688224700047","http://dx.doi.org/10.3103/S0147688224700047")</f>
        <v>http://dx.doi.org/10.3103/S0147688224700047</v>
      </c>
      <c r="BG807" t="s">
        <v>74</v>
      </c>
      <c r="BH807" t="s">
        <v>74</v>
      </c>
      <c r="BI807">
        <v>8</v>
      </c>
      <c r="BJ807" t="s">
        <v>1041</v>
      </c>
      <c r="BK807" t="s">
        <v>102</v>
      </c>
      <c r="BL807" t="s">
        <v>1041</v>
      </c>
      <c r="BM807" t="s">
        <v>15988</v>
      </c>
      <c r="BN807" t="s">
        <v>74</v>
      </c>
      <c r="BO807" t="s">
        <v>74</v>
      </c>
      <c r="BP807" t="s">
        <v>74</v>
      </c>
      <c r="BQ807" t="s">
        <v>74</v>
      </c>
      <c r="BR807" t="s">
        <v>106</v>
      </c>
      <c r="BS807" t="s">
        <v>15989</v>
      </c>
      <c r="BT807" t="str">
        <f>HYPERLINK("https%3A%2F%2Fwww.webofscience.com%2Fwos%2Fwoscc%2Ffull-record%2FWOS:001290247200009","View Full Record in Web of Science")</f>
        <v>View Full Record in Web of Science</v>
      </c>
    </row>
    <row r="808" spans="1:72" x14ac:dyDescent="0.25">
      <c r="A808" t="s">
        <v>72</v>
      </c>
      <c r="B808" t="s">
        <v>15990</v>
      </c>
      <c r="C808" t="s">
        <v>74</v>
      </c>
      <c r="D808" t="s">
        <v>74</v>
      </c>
      <c r="E808" t="s">
        <v>74</v>
      </c>
      <c r="F808" t="s">
        <v>15991</v>
      </c>
      <c r="G808" t="s">
        <v>74</v>
      </c>
      <c r="H808" t="s">
        <v>74</v>
      </c>
      <c r="I808" t="s">
        <v>15992</v>
      </c>
      <c r="J808" t="s">
        <v>7523</v>
      </c>
      <c r="K808" t="s">
        <v>74</v>
      </c>
      <c r="L808" t="s">
        <v>74</v>
      </c>
      <c r="M808" t="s">
        <v>78</v>
      </c>
      <c r="N808" t="s">
        <v>79</v>
      </c>
      <c r="O808" t="s">
        <v>74</v>
      </c>
      <c r="P808" t="s">
        <v>74</v>
      </c>
      <c r="Q808" t="s">
        <v>74</v>
      </c>
      <c r="R808" t="s">
        <v>74</v>
      </c>
      <c r="S808" t="s">
        <v>74</v>
      </c>
      <c r="T808" t="s">
        <v>15993</v>
      </c>
      <c r="U808" t="s">
        <v>9854</v>
      </c>
      <c r="V808" t="s">
        <v>15994</v>
      </c>
      <c r="W808" t="s">
        <v>15995</v>
      </c>
      <c r="X808" t="s">
        <v>10759</v>
      </c>
      <c r="Y808" t="s">
        <v>15996</v>
      </c>
      <c r="Z808" t="s">
        <v>15997</v>
      </c>
      <c r="AA808" t="s">
        <v>74</v>
      </c>
      <c r="AB808" t="s">
        <v>74</v>
      </c>
      <c r="AC808" t="s">
        <v>15998</v>
      </c>
      <c r="AD808" t="s">
        <v>2463</v>
      </c>
      <c r="AE808" t="s">
        <v>15999</v>
      </c>
      <c r="AF808" t="s">
        <v>74</v>
      </c>
      <c r="AG808">
        <v>31</v>
      </c>
      <c r="AH808">
        <v>9</v>
      </c>
      <c r="AI808">
        <v>10</v>
      </c>
      <c r="AJ808">
        <v>0</v>
      </c>
      <c r="AK808">
        <v>52</v>
      </c>
      <c r="AL808" t="s">
        <v>2179</v>
      </c>
      <c r="AM808" t="s">
        <v>363</v>
      </c>
      <c r="AN808" t="s">
        <v>2180</v>
      </c>
      <c r="AO808" t="s">
        <v>7533</v>
      </c>
      <c r="AP808" t="s">
        <v>7534</v>
      </c>
      <c r="AQ808" t="s">
        <v>74</v>
      </c>
      <c r="AR808" t="s">
        <v>7535</v>
      </c>
      <c r="AS808" t="s">
        <v>7536</v>
      </c>
      <c r="AT808" t="s">
        <v>74</v>
      </c>
      <c r="AU808">
        <v>2021</v>
      </c>
      <c r="AV808">
        <v>40</v>
      </c>
      <c r="AW808">
        <v>2</v>
      </c>
      <c r="AX808" t="s">
        <v>74</v>
      </c>
      <c r="AY808" t="s">
        <v>74</v>
      </c>
      <c r="AZ808" t="s">
        <v>74</v>
      </c>
      <c r="BA808" t="s">
        <v>74</v>
      </c>
      <c r="BB808">
        <v>2891</v>
      </c>
      <c r="BC808">
        <v>2901</v>
      </c>
      <c r="BD808" t="s">
        <v>74</v>
      </c>
      <c r="BE808" t="s">
        <v>16000</v>
      </c>
      <c r="BF808" t="str">
        <f>HYPERLINK("http://dx.doi.org/10.3233/JIFS-189329","http://dx.doi.org/10.3233/JIFS-189329")</f>
        <v>http://dx.doi.org/10.3233/JIFS-189329</v>
      </c>
      <c r="BG808" t="s">
        <v>74</v>
      </c>
      <c r="BH808" t="s">
        <v>74</v>
      </c>
      <c r="BI808">
        <v>11</v>
      </c>
      <c r="BJ808" t="s">
        <v>807</v>
      </c>
      <c r="BK808" t="s">
        <v>902</v>
      </c>
      <c r="BL808" t="s">
        <v>103</v>
      </c>
      <c r="BM808" t="s">
        <v>16001</v>
      </c>
      <c r="BN808" t="s">
        <v>74</v>
      </c>
      <c r="BO808" t="s">
        <v>74</v>
      </c>
      <c r="BP808" t="s">
        <v>74</v>
      </c>
      <c r="BQ808" t="s">
        <v>74</v>
      </c>
      <c r="BR808" t="s">
        <v>106</v>
      </c>
      <c r="BS808" t="s">
        <v>16002</v>
      </c>
      <c r="BT808" t="str">
        <f>HYPERLINK("https%3A%2F%2Fwww.webofscience.com%2Fwos%2Fwoscc%2Ffull-record%2FWOS:000618076700100","View Full Record in Web of Science")</f>
        <v>View Full Record in Web of Science</v>
      </c>
    </row>
    <row r="809" spans="1:72" x14ac:dyDescent="0.25">
      <c r="A809" t="s">
        <v>72</v>
      </c>
      <c r="B809" t="s">
        <v>16003</v>
      </c>
      <c r="C809" t="s">
        <v>74</v>
      </c>
      <c r="D809" t="s">
        <v>74</v>
      </c>
      <c r="E809" t="s">
        <v>74</v>
      </c>
      <c r="F809" t="s">
        <v>16004</v>
      </c>
      <c r="G809" t="s">
        <v>74</v>
      </c>
      <c r="H809" t="s">
        <v>74</v>
      </c>
      <c r="I809" t="s">
        <v>16005</v>
      </c>
      <c r="J809" t="s">
        <v>16006</v>
      </c>
      <c r="K809" t="s">
        <v>74</v>
      </c>
      <c r="L809" t="s">
        <v>74</v>
      </c>
      <c r="M809" t="s">
        <v>78</v>
      </c>
      <c r="N809" t="s">
        <v>79</v>
      </c>
      <c r="O809" t="s">
        <v>74</v>
      </c>
      <c r="P809" t="s">
        <v>74</v>
      </c>
      <c r="Q809" t="s">
        <v>74</v>
      </c>
      <c r="R809" t="s">
        <v>74</v>
      </c>
      <c r="S809" t="s">
        <v>74</v>
      </c>
      <c r="T809" t="s">
        <v>16007</v>
      </c>
      <c r="U809" t="s">
        <v>16008</v>
      </c>
      <c r="V809" t="s">
        <v>16009</v>
      </c>
      <c r="W809" t="s">
        <v>16010</v>
      </c>
      <c r="X809" t="s">
        <v>16011</v>
      </c>
      <c r="Y809" t="s">
        <v>16012</v>
      </c>
      <c r="Z809" t="s">
        <v>16013</v>
      </c>
      <c r="AA809" t="s">
        <v>74</v>
      </c>
      <c r="AB809" t="s">
        <v>16014</v>
      </c>
      <c r="AC809" t="s">
        <v>74</v>
      </c>
      <c r="AD809" t="s">
        <v>74</v>
      </c>
      <c r="AE809" t="s">
        <v>74</v>
      </c>
      <c r="AF809" t="s">
        <v>74</v>
      </c>
      <c r="AG809">
        <v>68</v>
      </c>
      <c r="AH809">
        <v>193</v>
      </c>
      <c r="AI809">
        <v>245</v>
      </c>
      <c r="AJ809">
        <v>11</v>
      </c>
      <c r="AK809">
        <v>186</v>
      </c>
      <c r="AL809" t="s">
        <v>310</v>
      </c>
      <c r="AM809" t="s">
        <v>311</v>
      </c>
      <c r="AN809" t="s">
        <v>312</v>
      </c>
      <c r="AO809" t="s">
        <v>16015</v>
      </c>
      <c r="AP809" t="s">
        <v>16016</v>
      </c>
      <c r="AQ809" t="s">
        <v>74</v>
      </c>
      <c r="AR809" t="s">
        <v>16017</v>
      </c>
      <c r="AS809" t="s">
        <v>16018</v>
      </c>
      <c r="AT809" t="s">
        <v>74</v>
      </c>
      <c r="AU809">
        <v>2021</v>
      </c>
      <c r="AV809">
        <v>24</v>
      </c>
      <c r="AW809">
        <v>2</v>
      </c>
      <c r="AX809" t="s">
        <v>74</v>
      </c>
      <c r="AY809" t="s">
        <v>74</v>
      </c>
      <c r="AZ809" t="s">
        <v>74</v>
      </c>
      <c r="BA809" t="s">
        <v>74</v>
      </c>
      <c r="BB809">
        <v>183</v>
      </c>
      <c r="BC809">
        <v>200</v>
      </c>
      <c r="BD809" t="s">
        <v>74</v>
      </c>
      <c r="BE809" t="s">
        <v>16019</v>
      </c>
      <c r="BF809" t="str">
        <f>HYPERLINK("http://dx.doi.org/10.1080/1369118X.2019.1642934","http://dx.doi.org/10.1080/1369118X.2019.1642934")</f>
        <v>http://dx.doi.org/10.1080/1369118X.2019.1642934</v>
      </c>
      <c r="BG809" t="s">
        <v>74</v>
      </c>
      <c r="BH809" t="s">
        <v>16020</v>
      </c>
      <c r="BI809">
        <v>18</v>
      </c>
      <c r="BJ809" t="s">
        <v>16021</v>
      </c>
      <c r="BK809" t="s">
        <v>250</v>
      </c>
      <c r="BL809" t="s">
        <v>16021</v>
      </c>
      <c r="BM809" t="s">
        <v>16022</v>
      </c>
      <c r="BN809" t="s">
        <v>74</v>
      </c>
      <c r="BO809" t="s">
        <v>74</v>
      </c>
      <c r="BP809" t="s">
        <v>16023</v>
      </c>
      <c r="BQ809" t="s">
        <v>16024</v>
      </c>
      <c r="BR809" t="s">
        <v>106</v>
      </c>
      <c r="BS809" t="s">
        <v>16025</v>
      </c>
      <c r="BT809" t="str">
        <f>HYPERLINK("https%3A%2F%2Fwww.webofscience.com%2Fwos%2Fwoscc%2Ffull-record%2FWOS:000477630400001","View Full Record in Web of Science")</f>
        <v>View Full Record in Web of Science</v>
      </c>
    </row>
    <row r="810" spans="1:72" x14ac:dyDescent="0.25">
      <c r="A810" t="s">
        <v>72</v>
      </c>
      <c r="B810" t="s">
        <v>16026</v>
      </c>
      <c r="C810" t="s">
        <v>74</v>
      </c>
      <c r="D810" t="s">
        <v>74</v>
      </c>
      <c r="E810" t="s">
        <v>74</v>
      </c>
      <c r="F810" t="s">
        <v>16027</v>
      </c>
      <c r="G810" t="s">
        <v>74</v>
      </c>
      <c r="H810" t="s">
        <v>74</v>
      </c>
      <c r="I810" t="s">
        <v>16028</v>
      </c>
      <c r="J810" t="s">
        <v>14147</v>
      </c>
      <c r="K810" t="s">
        <v>74</v>
      </c>
      <c r="L810" t="s">
        <v>74</v>
      </c>
      <c r="M810" t="s">
        <v>78</v>
      </c>
      <c r="N810" t="s">
        <v>79</v>
      </c>
      <c r="O810" t="s">
        <v>74</v>
      </c>
      <c r="P810" t="s">
        <v>74</v>
      </c>
      <c r="Q810" t="s">
        <v>74</v>
      </c>
      <c r="R810" t="s">
        <v>74</v>
      </c>
      <c r="S810" t="s">
        <v>74</v>
      </c>
      <c r="T810" t="s">
        <v>16029</v>
      </c>
      <c r="U810" t="s">
        <v>16030</v>
      </c>
      <c r="V810" t="s">
        <v>16031</v>
      </c>
      <c r="W810" t="s">
        <v>16032</v>
      </c>
      <c r="X810" t="s">
        <v>16033</v>
      </c>
      <c r="Y810" t="s">
        <v>16034</v>
      </c>
      <c r="Z810" t="s">
        <v>16035</v>
      </c>
      <c r="AA810" t="s">
        <v>74</v>
      </c>
      <c r="AB810" t="s">
        <v>74</v>
      </c>
      <c r="AC810" t="s">
        <v>16036</v>
      </c>
      <c r="AD810" t="s">
        <v>16037</v>
      </c>
      <c r="AE810" t="s">
        <v>16038</v>
      </c>
      <c r="AF810" t="s">
        <v>74</v>
      </c>
      <c r="AG810">
        <v>43</v>
      </c>
      <c r="AH810">
        <v>3</v>
      </c>
      <c r="AI810">
        <v>3</v>
      </c>
      <c r="AJ810">
        <v>3</v>
      </c>
      <c r="AK810">
        <v>17</v>
      </c>
      <c r="AL810" t="s">
        <v>14158</v>
      </c>
      <c r="AM810" t="s">
        <v>198</v>
      </c>
      <c r="AN810" t="s">
        <v>14159</v>
      </c>
      <c r="AO810" t="s">
        <v>14160</v>
      </c>
      <c r="AP810" t="s">
        <v>74</v>
      </c>
      <c r="AQ810" t="s">
        <v>74</v>
      </c>
      <c r="AR810" t="s">
        <v>14161</v>
      </c>
      <c r="AS810" t="s">
        <v>14162</v>
      </c>
      <c r="AT810" t="s">
        <v>15902</v>
      </c>
      <c r="AU810">
        <v>2025</v>
      </c>
      <c r="AV810">
        <v>15</v>
      </c>
      <c r="AW810">
        <v>1</v>
      </c>
      <c r="AX810" t="s">
        <v>74</v>
      </c>
      <c r="AY810" t="s">
        <v>74</v>
      </c>
      <c r="AZ810" t="s">
        <v>74</v>
      </c>
      <c r="BA810" t="s">
        <v>74</v>
      </c>
      <c r="BB810" t="s">
        <v>74</v>
      </c>
      <c r="BC810" t="s">
        <v>74</v>
      </c>
      <c r="BD810">
        <v>25989</v>
      </c>
      <c r="BE810" t="s">
        <v>16039</v>
      </c>
      <c r="BF810" t="str">
        <f>HYPERLINK("http://dx.doi.org/10.1038/s41598-025-09129-1","http://dx.doi.org/10.1038/s41598-025-09129-1")</f>
        <v>http://dx.doi.org/10.1038/s41598-025-09129-1</v>
      </c>
      <c r="BG810" t="s">
        <v>74</v>
      </c>
      <c r="BH810" t="s">
        <v>74</v>
      </c>
      <c r="BI810">
        <v>16</v>
      </c>
      <c r="BJ810" t="s">
        <v>5861</v>
      </c>
      <c r="BK810" t="s">
        <v>902</v>
      </c>
      <c r="BL810" t="s">
        <v>5862</v>
      </c>
      <c r="BM810" t="s">
        <v>16040</v>
      </c>
      <c r="BN810" t="s">
        <v>74</v>
      </c>
      <c r="BO810" t="s">
        <v>398</v>
      </c>
      <c r="BP810" t="s">
        <v>74</v>
      </c>
      <c r="BQ810" t="s">
        <v>74</v>
      </c>
      <c r="BR810" t="s">
        <v>106</v>
      </c>
      <c r="BS810" t="s">
        <v>16041</v>
      </c>
      <c r="BT810" t="str">
        <f>HYPERLINK("https%3A%2F%2Fwww.webofscience.com%2Fwos%2Fwoscc%2Ffull-record%2FWOS:001531607500002","View Full Record in Web of Science")</f>
        <v>View Full Record in Web of Science</v>
      </c>
    </row>
    <row r="811" spans="1:72" x14ac:dyDescent="0.25">
      <c r="A811" t="s">
        <v>72</v>
      </c>
      <c r="B811" t="s">
        <v>16042</v>
      </c>
      <c r="C811" t="s">
        <v>74</v>
      </c>
      <c r="D811" t="s">
        <v>74</v>
      </c>
      <c r="E811" t="s">
        <v>74</v>
      </c>
      <c r="F811" t="s">
        <v>16043</v>
      </c>
      <c r="G811" t="s">
        <v>74</v>
      </c>
      <c r="H811" t="s">
        <v>74</v>
      </c>
      <c r="I811" t="s">
        <v>16044</v>
      </c>
      <c r="J811" t="s">
        <v>3418</v>
      </c>
      <c r="K811" t="s">
        <v>74</v>
      </c>
      <c r="L811" t="s">
        <v>74</v>
      </c>
      <c r="M811" t="s">
        <v>78</v>
      </c>
      <c r="N811" t="s">
        <v>79</v>
      </c>
      <c r="O811" t="s">
        <v>74</v>
      </c>
      <c r="P811" t="s">
        <v>74</v>
      </c>
      <c r="Q811" t="s">
        <v>74</v>
      </c>
      <c r="R811" t="s">
        <v>74</v>
      </c>
      <c r="S811" t="s">
        <v>74</v>
      </c>
      <c r="T811" t="s">
        <v>16045</v>
      </c>
      <c r="U811" t="s">
        <v>9184</v>
      </c>
      <c r="V811" t="s">
        <v>16046</v>
      </c>
      <c r="W811" t="s">
        <v>16047</v>
      </c>
      <c r="X811" t="s">
        <v>16048</v>
      </c>
      <c r="Y811" t="s">
        <v>16049</v>
      </c>
      <c r="Z811" t="s">
        <v>16050</v>
      </c>
      <c r="AA811" t="s">
        <v>74</v>
      </c>
      <c r="AB811" t="s">
        <v>16051</v>
      </c>
      <c r="AC811" t="s">
        <v>16052</v>
      </c>
      <c r="AD811" t="s">
        <v>16053</v>
      </c>
      <c r="AE811" t="s">
        <v>16054</v>
      </c>
      <c r="AF811" t="s">
        <v>74</v>
      </c>
      <c r="AG811">
        <v>55</v>
      </c>
      <c r="AH811">
        <v>14</v>
      </c>
      <c r="AI811">
        <v>17</v>
      </c>
      <c r="AJ811">
        <v>0</v>
      </c>
      <c r="AK811">
        <v>20</v>
      </c>
      <c r="AL811" t="s">
        <v>3427</v>
      </c>
      <c r="AM811" t="s">
        <v>3428</v>
      </c>
      <c r="AN811" t="s">
        <v>3429</v>
      </c>
      <c r="AO811" t="s">
        <v>3430</v>
      </c>
      <c r="AP811" t="s">
        <v>3431</v>
      </c>
      <c r="AQ811" t="s">
        <v>74</v>
      </c>
      <c r="AR811" t="s">
        <v>3432</v>
      </c>
      <c r="AS811" t="s">
        <v>3433</v>
      </c>
      <c r="AT811" t="s">
        <v>16055</v>
      </c>
      <c r="AU811">
        <v>2018</v>
      </c>
      <c r="AV811">
        <v>8</v>
      </c>
      <c r="AW811">
        <v>1</v>
      </c>
      <c r="AX811" t="s">
        <v>74</v>
      </c>
      <c r="AY811" t="s">
        <v>74</v>
      </c>
      <c r="AZ811" t="s">
        <v>74</v>
      </c>
      <c r="BA811" t="s">
        <v>74</v>
      </c>
      <c r="BB811" t="s">
        <v>74</v>
      </c>
      <c r="BC811" t="s">
        <v>74</v>
      </c>
      <c r="BD811">
        <v>24</v>
      </c>
      <c r="BE811" t="s">
        <v>16056</v>
      </c>
      <c r="BF811" t="str">
        <f>HYPERLINK("http://dx.doi.org/10.1007/s13278-018-0495-0","http://dx.doi.org/10.1007/s13278-018-0495-0")</f>
        <v>http://dx.doi.org/10.1007/s13278-018-0495-0</v>
      </c>
      <c r="BG811" t="s">
        <v>74</v>
      </c>
      <c r="BH811" t="s">
        <v>74</v>
      </c>
      <c r="BI811">
        <v>17</v>
      </c>
      <c r="BJ811" t="s">
        <v>852</v>
      </c>
      <c r="BK811" t="s">
        <v>102</v>
      </c>
      <c r="BL811" t="s">
        <v>103</v>
      </c>
      <c r="BM811" t="s">
        <v>16057</v>
      </c>
      <c r="BN811" t="s">
        <v>74</v>
      </c>
      <c r="BO811" t="s">
        <v>74</v>
      </c>
      <c r="BP811" t="s">
        <v>74</v>
      </c>
      <c r="BQ811" t="s">
        <v>74</v>
      </c>
      <c r="BR811" t="s">
        <v>106</v>
      </c>
      <c r="BS811" t="s">
        <v>16058</v>
      </c>
      <c r="BT811" t="str">
        <f>HYPERLINK("https%3A%2F%2Fwww.webofscience.com%2Fwos%2Fwoscc%2Ffull-record%2FWOS:000428177100002","View Full Record in Web of Science")</f>
        <v>View Full Record in Web of Science</v>
      </c>
    </row>
    <row r="812" spans="1:72" x14ac:dyDescent="0.25">
      <c r="A812" t="s">
        <v>72</v>
      </c>
      <c r="B812" t="s">
        <v>16059</v>
      </c>
      <c r="C812" t="s">
        <v>74</v>
      </c>
      <c r="D812" t="s">
        <v>74</v>
      </c>
      <c r="E812" t="s">
        <v>74</v>
      </c>
      <c r="F812" t="s">
        <v>16060</v>
      </c>
      <c r="G812" t="s">
        <v>74</v>
      </c>
      <c r="H812" t="s">
        <v>74</v>
      </c>
      <c r="I812" t="s">
        <v>16061</v>
      </c>
      <c r="J812" t="s">
        <v>16062</v>
      </c>
      <c r="K812" t="s">
        <v>74</v>
      </c>
      <c r="L812" t="s">
        <v>74</v>
      </c>
      <c r="M812" t="s">
        <v>78</v>
      </c>
      <c r="N812" t="s">
        <v>79</v>
      </c>
      <c r="O812" t="s">
        <v>74</v>
      </c>
      <c r="P812" t="s">
        <v>74</v>
      </c>
      <c r="Q812" t="s">
        <v>74</v>
      </c>
      <c r="R812" t="s">
        <v>74</v>
      </c>
      <c r="S812" t="s">
        <v>74</v>
      </c>
      <c r="T812" t="s">
        <v>16063</v>
      </c>
      <c r="U812" t="s">
        <v>74</v>
      </c>
      <c r="V812" t="s">
        <v>16064</v>
      </c>
      <c r="W812" t="s">
        <v>16065</v>
      </c>
      <c r="X812" t="s">
        <v>74</v>
      </c>
      <c r="Y812" t="s">
        <v>16066</v>
      </c>
      <c r="Z812" t="s">
        <v>16067</v>
      </c>
      <c r="AA812" t="s">
        <v>74</v>
      </c>
      <c r="AB812" t="s">
        <v>74</v>
      </c>
      <c r="AC812" t="s">
        <v>16068</v>
      </c>
      <c r="AD812" t="s">
        <v>16069</v>
      </c>
      <c r="AE812" t="s">
        <v>16070</v>
      </c>
      <c r="AF812" t="s">
        <v>74</v>
      </c>
      <c r="AG812">
        <v>21</v>
      </c>
      <c r="AH812">
        <v>0</v>
      </c>
      <c r="AI812">
        <v>1</v>
      </c>
      <c r="AJ812">
        <v>0</v>
      </c>
      <c r="AK812">
        <v>20</v>
      </c>
      <c r="AL812" t="s">
        <v>2179</v>
      </c>
      <c r="AM812" t="s">
        <v>363</v>
      </c>
      <c r="AN812" t="s">
        <v>2180</v>
      </c>
      <c r="AO812" t="s">
        <v>16071</v>
      </c>
      <c r="AP812" t="s">
        <v>16072</v>
      </c>
      <c r="AQ812" t="s">
        <v>74</v>
      </c>
      <c r="AR812" t="s">
        <v>16073</v>
      </c>
      <c r="AS812" t="s">
        <v>16074</v>
      </c>
      <c r="AT812" t="s">
        <v>74</v>
      </c>
      <c r="AU812">
        <v>2020</v>
      </c>
      <c r="AV812">
        <v>18</v>
      </c>
      <c r="AW812">
        <v>2</v>
      </c>
      <c r="AX812" t="s">
        <v>74</v>
      </c>
      <c r="AY812" t="s">
        <v>74</v>
      </c>
      <c r="AZ812" t="s">
        <v>74</v>
      </c>
      <c r="BA812" t="s">
        <v>74</v>
      </c>
      <c r="BB812">
        <v>121</v>
      </c>
      <c r="BC812">
        <v>131</v>
      </c>
      <c r="BD812" t="s">
        <v>74</v>
      </c>
      <c r="BE812" t="s">
        <v>16075</v>
      </c>
      <c r="BF812" t="str">
        <f>HYPERLINK("http://dx.doi.org/10.3233/WEB-200434","http://dx.doi.org/10.3233/WEB-200434")</f>
        <v>http://dx.doi.org/10.3233/WEB-200434</v>
      </c>
      <c r="BG812" t="s">
        <v>74</v>
      </c>
      <c r="BH812" t="s">
        <v>74</v>
      </c>
      <c r="BI812">
        <v>11</v>
      </c>
      <c r="BJ812" t="s">
        <v>807</v>
      </c>
      <c r="BK812" t="s">
        <v>102</v>
      </c>
      <c r="BL812" t="s">
        <v>103</v>
      </c>
      <c r="BM812" t="s">
        <v>16076</v>
      </c>
      <c r="BN812" t="s">
        <v>74</v>
      </c>
      <c r="BO812" t="s">
        <v>74</v>
      </c>
      <c r="BP812" t="s">
        <v>74</v>
      </c>
      <c r="BQ812" t="s">
        <v>74</v>
      </c>
      <c r="BR812" t="s">
        <v>106</v>
      </c>
      <c r="BS812" t="s">
        <v>16077</v>
      </c>
      <c r="BT812" t="str">
        <f>HYPERLINK("https%3A%2F%2Fwww.webofscience.com%2Fwos%2Fwoscc%2Ffull-record%2FWOS:000541746700004","View Full Record in Web of Science")</f>
        <v>View Full Record in Web of Science</v>
      </c>
    </row>
    <row r="813" spans="1:72" x14ac:dyDescent="0.25">
      <c r="A813" t="s">
        <v>108</v>
      </c>
      <c r="B813" t="s">
        <v>16078</v>
      </c>
      <c r="C813" t="s">
        <v>74</v>
      </c>
      <c r="D813" t="s">
        <v>74</v>
      </c>
      <c r="E813" t="s">
        <v>465</v>
      </c>
      <c r="F813" t="s">
        <v>16079</v>
      </c>
      <c r="G813" t="s">
        <v>74</v>
      </c>
      <c r="H813" t="s">
        <v>74</v>
      </c>
      <c r="I813" t="s">
        <v>16080</v>
      </c>
      <c r="J813" t="s">
        <v>16081</v>
      </c>
      <c r="K813" t="s">
        <v>74</v>
      </c>
      <c r="L813" t="s">
        <v>74</v>
      </c>
      <c r="M813" t="s">
        <v>78</v>
      </c>
      <c r="N813" t="s">
        <v>115</v>
      </c>
      <c r="O813" t="s">
        <v>16082</v>
      </c>
      <c r="P813" t="s">
        <v>16083</v>
      </c>
      <c r="Q813" t="s">
        <v>2622</v>
      </c>
      <c r="R813" t="s">
        <v>7337</v>
      </c>
      <c r="S813" t="s">
        <v>74</v>
      </c>
      <c r="T813" t="s">
        <v>16084</v>
      </c>
      <c r="U813" t="s">
        <v>74</v>
      </c>
      <c r="V813" t="s">
        <v>16085</v>
      </c>
      <c r="W813" t="s">
        <v>16086</v>
      </c>
      <c r="X813" t="s">
        <v>16087</v>
      </c>
      <c r="Y813" t="s">
        <v>16088</v>
      </c>
      <c r="Z813" t="s">
        <v>16089</v>
      </c>
      <c r="AA813" t="s">
        <v>74</v>
      </c>
      <c r="AB813" t="s">
        <v>74</v>
      </c>
      <c r="AC813" t="s">
        <v>74</v>
      </c>
      <c r="AD813" t="s">
        <v>74</v>
      </c>
      <c r="AE813" t="s">
        <v>74</v>
      </c>
      <c r="AF813" t="s">
        <v>74</v>
      </c>
      <c r="AG813">
        <v>7</v>
      </c>
      <c r="AH813">
        <v>0</v>
      </c>
      <c r="AI813">
        <v>0</v>
      </c>
      <c r="AJ813">
        <v>0</v>
      </c>
      <c r="AK813">
        <v>17</v>
      </c>
      <c r="AL813" t="s">
        <v>465</v>
      </c>
      <c r="AM813" t="s">
        <v>92</v>
      </c>
      <c r="AN813" t="s">
        <v>480</v>
      </c>
      <c r="AO813" t="s">
        <v>74</v>
      </c>
      <c r="AP813" t="s">
        <v>74</v>
      </c>
      <c r="AQ813" t="s">
        <v>16090</v>
      </c>
      <c r="AR813" t="s">
        <v>74</v>
      </c>
      <c r="AS813" t="s">
        <v>74</v>
      </c>
      <c r="AT813" t="s">
        <v>74</v>
      </c>
      <c r="AU813">
        <v>2012</v>
      </c>
      <c r="AV813" t="s">
        <v>74</v>
      </c>
      <c r="AW813" t="s">
        <v>74</v>
      </c>
      <c r="AX813" t="s">
        <v>74</v>
      </c>
      <c r="AY813" t="s">
        <v>74</v>
      </c>
      <c r="AZ813" t="s">
        <v>74</v>
      </c>
      <c r="BA813" t="s">
        <v>74</v>
      </c>
      <c r="BB813">
        <v>916</v>
      </c>
      <c r="BC813">
        <v>919</v>
      </c>
      <c r="BD813" t="s">
        <v>74</v>
      </c>
      <c r="BE813" t="s">
        <v>16091</v>
      </c>
      <c r="BF813" t="str">
        <f>HYPERLINK("http://dx.doi.org/10.1109/ICCECT.2012.225","http://dx.doi.org/10.1109/ICCECT.2012.225")</f>
        <v>http://dx.doi.org/10.1109/ICCECT.2012.225</v>
      </c>
      <c r="BG813" t="s">
        <v>74</v>
      </c>
      <c r="BH813" t="s">
        <v>74</v>
      </c>
      <c r="BI813">
        <v>4</v>
      </c>
      <c r="BJ813" t="s">
        <v>16092</v>
      </c>
      <c r="BK813" t="s">
        <v>203</v>
      </c>
      <c r="BL813" t="s">
        <v>16092</v>
      </c>
      <c r="BM813" t="s">
        <v>16093</v>
      </c>
      <c r="BN813" t="s">
        <v>74</v>
      </c>
      <c r="BO813" t="s">
        <v>74</v>
      </c>
      <c r="BP813" t="s">
        <v>74</v>
      </c>
      <c r="BQ813" t="s">
        <v>74</v>
      </c>
      <c r="BR813" t="s">
        <v>106</v>
      </c>
      <c r="BS813" t="s">
        <v>16094</v>
      </c>
      <c r="BT813" t="str">
        <f>HYPERLINK("https%3A%2F%2Fwww.webofscience.com%2Fwos%2Fwoscc%2Ffull-record%2FWOS:000316387300221","View Full Record in Web of Science")</f>
        <v>View Full Record in Web of Science</v>
      </c>
    </row>
    <row r="814" spans="1:72" x14ac:dyDescent="0.25">
      <c r="A814" t="s">
        <v>108</v>
      </c>
      <c r="B814" t="s">
        <v>16095</v>
      </c>
      <c r="C814" t="s">
        <v>74</v>
      </c>
      <c r="D814" t="s">
        <v>16096</v>
      </c>
      <c r="E814" t="s">
        <v>74</v>
      </c>
      <c r="F814" t="s">
        <v>16097</v>
      </c>
      <c r="G814" t="s">
        <v>74</v>
      </c>
      <c r="H814" t="s">
        <v>74</v>
      </c>
      <c r="I814" t="s">
        <v>16098</v>
      </c>
      <c r="J814" t="s">
        <v>16099</v>
      </c>
      <c r="K814" t="s">
        <v>6162</v>
      </c>
      <c r="L814" t="s">
        <v>74</v>
      </c>
      <c r="M814" t="s">
        <v>78</v>
      </c>
      <c r="N814" t="s">
        <v>115</v>
      </c>
      <c r="O814" t="s">
        <v>6851</v>
      </c>
      <c r="P814" t="s">
        <v>16100</v>
      </c>
      <c r="Q814" t="s">
        <v>190</v>
      </c>
      <c r="R814" t="s">
        <v>16101</v>
      </c>
      <c r="S814" t="s">
        <v>74</v>
      </c>
      <c r="T814" t="s">
        <v>16102</v>
      </c>
      <c r="U814" t="s">
        <v>16103</v>
      </c>
      <c r="V814" t="s">
        <v>16104</v>
      </c>
      <c r="W814" t="s">
        <v>16105</v>
      </c>
      <c r="X814" t="s">
        <v>16106</v>
      </c>
      <c r="Y814" t="s">
        <v>16107</v>
      </c>
      <c r="Z814" t="s">
        <v>16108</v>
      </c>
      <c r="AA814" t="s">
        <v>6711</v>
      </c>
      <c r="AB814" t="s">
        <v>74</v>
      </c>
      <c r="AC814" t="s">
        <v>16109</v>
      </c>
      <c r="AD814" t="s">
        <v>16110</v>
      </c>
      <c r="AE814" t="s">
        <v>16111</v>
      </c>
      <c r="AF814" t="s">
        <v>74</v>
      </c>
      <c r="AG814">
        <v>52</v>
      </c>
      <c r="AH814">
        <v>8</v>
      </c>
      <c r="AI814">
        <v>9</v>
      </c>
      <c r="AJ814">
        <v>0</v>
      </c>
      <c r="AK814">
        <v>14</v>
      </c>
      <c r="AL814" t="s">
        <v>465</v>
      </c>
      <c r="AM814" t="s">
        <v>92</v>
      </c>
      <c r="AN814" t="s">
        <v>480</v>
      </c>
      <c r="AO814" t="s">
        <v>6859</v>
      </c>
      <c r="AP814" t="s">
        <v>74</v>
      </c>
      <c r="AQ814" t="s">
        <v>16112</v>
      </c>
      <c r="AR814" t="s">
        <v>6861</v>
      </c>
      <c r="AS814" t="s">
        <v>74</v>
      </c>
      <c r="AT814" t="s">
        <v>74</v>
      </c>
      <c r="AU814">
        <v>2019</v>
      </c>
      <c r="AV814" t="s">
        <v>74</v>
      </c>
      <c r="AW814" t="s">
        <v>74</v>
      </c>
      <c r="AX814" t="s">
        <v>74</v>
      </c>
      <c r="AY814" t="s">
        <v>74</v>
      </c>
      <c r="AZ814" t="s">
        <v>74</v>
      </c>
      <c r="BA814" t="s">
        <v>74</v>
      </c>
      <c r="BB814">
        <v>900</v>
      </c>
      <c r="BC814">
        <v>909</v>
      </c>
      <c r="BD814" t="s">
        <v>74</v>
      </c>
      <c r="BE814" t="s">
        <v>16113</v>
      </c>
      <c r="BF814" t="str">
        <f>HYPERLINK("http://dx.doi.org/10.1109/bigdata47090.2019.9006442","http://dx.doi.org/10.1109/bigdata47090.2019.9006442")</f>
        <v>http://dx.doi.org/10.1109/bigdata47090.2019.9006442</v>
      </c>
      <c r="BG814" t="s">
        <v>74</v>
      </c>
      <c r="BH814" t="s">
        <v>74</v>
      </c>
      <c r="BI814">
        <v>10</v>
      </c>
      <c r="BJ814" t="s">
        <v>461</v>
      </c>
      <c r="BK814" t="s">
        <v>203</v>
      </c>
      <c r="BL814" t="s">
        <v>103</v>
      </c>
      <c r="BM814" t="s">
        <v>16114</v>
      </c>
      <c r="BN814" t="s">
        <v>74</v>
      </c>
      <c r="BO814" t="s">
        <v>74</v>
      </c>
      <c r="BP814" t="s">
        <v>74</v>
      </c>
      <c r="BQ814" t="s">
        <v>74</v>
      </c>
      <c r="BR814" t="s">
        <v>106</v>
      </c>
      <c r="BS814" t="s">
        <v>16115</v>
      </c>
      <c r="BT814" t="str">
        <f>HYPERLINK("https%3A%2F%2Fwww.webofscience.com%2Fwos%2Fwoscc%2Ffull-record%2FWOS:000554828700106","View Full Record in Web of Science")</f>
        <v>View Full Record in Web of Science</v>
      </c>
    </row>
    <row r="815" spans="1:72" x14ac:dyDescent="0.25">
      <c r="A815" t="s">
        <v>72</v>
      </c>
      <c r="B815" t="s">
        <v>16116</v>
      </c>
      <c r="C815" t="s">
        <v>74</v>
      </c>
      <c r="D815" t="s">
        <v>74</v>
      </c>
      <c r="E815" t="s">
        <v>74</v>
      </c>
      <c r="F815" t="s">
        <v>16117</v>
      </c>
      <c r="G815" t="s">
        <v>74</v>
      </c>
      <c r="H815" t="s">
        <v>74</v>
      </c>
      <c r="I815" t="s">
        <v>16118</v>
      </c>
      <c r="J815" t="s">
        <v>11655</v>
      </c>
      <c r="K815" t="s">
        <v>74</v>
      </c>
      <c r="L815" t="s">
        <v>74</v>
      </c>
      <c r="M815" t="s">
        <v>78</v>
      </c>
      <c r="N815" t="s">
        <v>79</v>
      </c>
      <c r="O815" t="s">
        <v>74</v>
      </c>
      <c r="P815" t="s">
        <v>74</v>
      </c>
      <c r="Q815" t="s">
        <v>74</v>
      </c>
      <c r="R815" t="s">
        <v>74</v>
      </c>
      <c r="S815" t="s">
        <v>74</v>
      </c>
      <c r="T815" t="s">
        <v>16119</v>
      </c>
      <c r="U815" t="s">
        <v>16120</v>
      </c>
      <c r="V815" t="s">
        <v>16121</v>
      </c>
      <c r="W815" t="s">
        <v>16122</v>
      </c>
      <c r="X815" t="s">
        <v>16123</v>
      </c>
      <c r="Y815" t="s">
        <v>16124</v>
      </c>
      <c r="Z815" t="s">
        <v>16125</v>
      </c>
      <c r="AA815" t="s">
        <v>16126</v>
      </c>
      <c r="AB815" t="s">
        <v>74</v>
      </c>
      <c r="AC815" t="s">
        <v>74</v>
      </c>
      <c r="AD815" t="s">
        <v>74</v>
      </c>
      <c r="AE815" t="s">
        <v>74</v>
      </c>
      <c r="AF815" t="s">
        <v>74</v>
      </c>
      <c r="AG815">
        <v>43</v>
      </c>
      <c r="AH815">
        <v>0</v>
      </c>
      <c r="AI815">
        <v>0</v>
      </c>
      <c r="AJ815">
        <v>0</v>
      </c>
      <c r="AK815">
        <v>14</v>
      </c>
      <c r="AL815" t="s">
        <v>1097</v>
      </c>
      <c r="AM815" t="s">
        <v>1098</v>
      </c>
      <c r="AN815" t="s">
        <v>1099</v>
      </c>
      <c r="AO815" t="s">
        <v>11666</v>
      </c>
      <c r="AP815" t="s">
        <v>11667</v>
      </c>
      <c r="AQ815" t="s">
        <v>74</v>
      </c>
      <c r="AR815" t="s">
        <v>11668</v>
      </c>
      <c r="AS815" t="s">
        <v>11669</v>
      </c>
      <c r="AT815" t="s">
        <v>98</v>
      </c>
      <c r="AU815">
        <v>2020</v>
      </c>
      <c r="AV815">
        <v>45</v>
      </c>
      <c r="AW815">
        <v>12</v>
      </c>
      <c r="AX815" t="s">
        <v>74</v>
      </c>
      <c r="AY815" t="s">
        <v>74</v>
      </c>
      <c r="AZ815" t="s">
        <v>74</v>
      </c>
      <c r="BA815" t="s">
        <v>74</v>
      </c>
      <c r="BB815">
        <v>11087</v>
      </c>
      <c r="BC815">
        <v>11102</v>
      </c>
      <c r="BD815" t="s">
        <v>74</v>
      </c>
      <c r="BE815" t="s">
        <v>16127</v>
      </c>
      <c r="BF815" t="str">
        <f>HYPERLINK("http://dx.doi.org/10.1007/s13369-020-04982-w","http://dx.doi.org/10.1007/s13369-020-04982-w")</f>
        <v>http://dx.doi.org/10.1007/s13369-020-04982-w</v>
      </c>
      <c r="BG815" t="s">
        <v>74</v>
      </c>
      <c r="BH815" t="s">
        <v>3234</v>
      </c>
      <c r="BI815">
        <v>16</v>
      </c>
      <c r="BJ815" t="s">
        <v>5861</v>
      </c>
      <c r="BK815" t="s">
        <v>745</v>
      </c>
      <c r="BL815" t="s">
        <v>5862</v>
      </c>
      <c r="BM815" t="s">
        <v>16128</v>
      </c>
      <c r="BN815" t="s">
        <v>74</v>
      </c>
      <c r="BO815" t="s">
        <v>74</v>
      </c>
      <c r="BP815" t="s">
        <v>74</v>
      </c>
      <c r="BQ815" t="s">
        <v>74</v>
      </c>
      <c r="BR815" t="s">
        <v>106</v>
      </c>
      <c r="BS815" t="s">
        <v>16129</v>
      </c>
      <c r="BT815" t="str">
        <f>HYPERLINK("https%3A%2F%2Fwww.webofscience.com%2Fwos%2Fwoscc%2Ffull-record%2FWOS:000576783400004","View Full Record in Web of Science")</f>
        <v>View Full Record in Web of Science</v>
      </c>
    </row>
    <row r="816" spans="1:72" x14ac:dyDescent="0.25">
      <c r="A816" t="s">
        <v>72</v>
      </c>
      <c r="B816" t="s">
        <v>16130</v>
      </c>
      <c r="C816" t="s">
        <v>74</v>
      </c>
      <c r="D816" t="s">
        <v>74</v>
      </c>
      <c r="E816" t="s">
        <v>74</v>
      </c>
      <c r="F816" t="s">
        <v>16131</v>
      </c>
      <c r="G816" t="s">
        <v>74</v>
      </c>
      <c r="H816" t="s">
        <v>74</v>
      </c>
      <c r="I816" t="s">
        <v>16132</v>
      </c>
      <c r="J816" t="s">
        <v>15909</v>
      </c>
      <c r="K816" t="s">
        <v>74</v>
      </c>
      <c r="L816" t="s">
        <v>74</v>
      </c>
      <c r="M816" t="s">
        <v>78</v>
      </c>
      <c r="N816" t="s">
        <v>79</v>
      </c>
      <c r="O816" t="s">
        <v>74</v>
      </c>
      <c r="P816" t="s">
        <v>74</v>
      </c>
      <c r="Q816" t="s">
        <v>74</v>
      </c>
      <c r="R816" t="s">
        <v>74</v>
      </c>
      <c r="S816" t="s">
        <v>74</v>
      </c>
      <c r="T816" t="s">
        <v>16133</v>
      </c>
      <c r="U816" t="s">
        <v>74</v>
      </c>
      <c r="V816" t="s">
        <v>16134</v>
      </c>
      <c r="W816" t="s">
        <v>16135</v>
      </c>
      <c r="X816" t="s">
        <v>16136</v>
      </c>
      <c r="Y816" t="s">
        <v>16137</v>
      </c>
      <c r="Z816" t="s">
        <v>16138</v>
      </c>
      <c r="AA816" t="s">
        <v>16139</v>
      </c>
      <c r="AB816" t="s">
        <v>16140</v>
      </c>
      <c r="AC816" t="s">
        <v>74</v>
      </c>
      <c r="AD816" t="s">
        <v>74</v>
      </c>
      <c r="AE816" t="s">
        <v>74</v>
      </c>
      <c r="AF816" t="s">
        <v>74</v>
      </c>
      <c r="AG816">
        <v>38</v>
      </c>
      <c r="AH816">
        <v>44</v>
      </c>
      <c r="AI816">
        <v>46</v>
      </c>
      <c r="AJ816">
        <v>2</v>
      </c>
      <c r="AK816">
        <v>28</v>
      </c>
      <c r="AL816" t="s">
        <v>362</v>
      </c>
      <c r="AM816" t="s">
        <v>363</v>
      </c>
      <c r="AN816" t="s">
        <v>364</v>
      </c>
      <c r="AO816" t="s">
        <v>15919</v>
      </c>
      <c r="AP816" t="s">
        <v>15920</v>
      </c>
      <c r="AQ816" t="s">
        <v>74</v>
      </c>
      <c r="AR816" t="s">
        <v>15921</v>
      </c>
      <c r="AS816" t="s">
        <v>15922</v>
      </c>
      <c r="AT816" t="s">
        <v>246</v>
      </c>
      <c r="AU816">
        <v>2018</v>
      </c>
      <c r="AV816">
        <v>29</v>
      </c>
      <c r="AW816" t="s">
        <v>74</v>
      </c>
      <c r="AX816" t="s">
        <v>74</v>
      </c>
      <c r="AY816" t="s">
        <v>74</v>
      </c>
      <c r="AZ816" t="s">
        <v>74</v>
      </c>
      <c r="BA816" t="s">
        <v>74</v>
      </c>
      <c r="BB816">
        <v>9</v>
      </c>
      <c r="BC816">
        <v>18</v>
      </c>
      <c r="BD816" t="s">
        <v>74</v>
      </c>
      <c r="BE816" t="s">
        <v>16141</v>
      </c>
      <c r="BF816" t="str">
        <f>HYPERLINK("http://dx.doi.org/10.1016/j.jocs.2018.09.008","http://dx.doi.org/10.1016/j.jocs.2018.09.008")</f>
        <v>http://dx.doi.org/10.1016/j.jocs.2018.09.008</v>
      </c>
      <c r="BG816" t="s">
        <v>74</v>
      </c>
      <c r="BH816" t="s">
        <v>74</v>
      </c>
      <c r="BI816">
        <v>10</v>
      </c>
      <c r="BJ816" t="s">
        <v>2700</v>
      </c>
      <c r="BK816" t="s">
        <v>902</v>
      </c>
      <c r="BL816" t="s">
        <v>103</v>
      </c>
      <c r="BM816" t="s">
        <v>16142</v>
      </c>
      <c r="BN816" t="s">
        <v>74</v>
      </c>
      <c r="BO816" t="s">
        <v>346</v>
      </c>
      <c r="BP816" t="s">
        <v>74</v>
      </c>
      <c r="BQ816" t="s">
        <v>74</v>
      </c>
      <c r="BR816" t="s">
        <v>106</v>
      </c>
      <c r="BS816" t="s">
        <v>16143</v>
      </c>
      <c r="BT816" t="str">
        <f>HYPERLINK("https%3A%2F%2Fwww.webofscience.com%2Fwos%2Fwoscc%2Ffull-record%2FWOS:000452814700002","View Full Record in Web of Science")</f>
        <v>View Full Record in Web of Science</v>
      </c>
    </row>
    <row r="817" spans="1:72" x14ac:dyDescent="0.25">
      <c r="A817" t="s">
        <v>72</v>
      </c>
      <c r="B817" t="s">
        <v>12276</v>
      </c>
      <c r="C817" t="s">
        <v>74</v>
      </c>
      <c r="D817" t="s">
        <v>74</v>
      </c>
      <c r="E817" t="s">
        <v>74</v>
      </c>
      <c r="F817" t="s">
        <v>12278</v>
      </c>
      <c r="G817" t="s">
        <v>74</v>
      </c>
      <c r="H817" t="s">
        <v>74</v>
      </c>
      <c r="I817" t="s">
        <v>16144</v>
      </c>
      <c r="J817" t="s">
        <v>6807</v>
      </c>
      <c r="K817" t="s">
        <v>74</v>
      </c>
      <c r="L817" t="s">
        <v>74</v>
      </c>
      <c r="M817" t="s">
        <v>78</v>
      </c>
      <c r="N817" t="s">
        <v>79</v>
      </c>
      <c r="O817" t="s">
        <v>74</v>
      </c>
      <c r="P817" t="s">
        <v>74</v>
      </c>
      <c r="Q817" t="s">
        <v>74</v>
      </c>
      <c r="R817" t="s">
        <v>74</v>
      </c>
      <c r="S817" t="s">
        <v>74</v>
      </c>
      <c r="T817" t="s">
        <v>16145</v>
      </c>
      <c r="U817" t="s">
        <v>13131</v>
      </c>
      <c r="V817" t="s">
        <v>16146</v>
      </c>
      <c r="W817" t="s">
        <v>16147</v>
      </c>
      <c r="X817" t="s">
        <v>12290</v>
      </c>
      <c r="Y817" t="s">
        <v>16148</v>
      </c>
      <c r="Z817" t="s">
        <v>12292</v>
      </c>
      <c r="AA817" t="s">
        <v>12293</v>
      </c>
      <c r="AB817" t="s">
        <v>13874</v>
      </c>
      <c r="AC817" t="s">
        <v>74</v>
      </c>
      <c r="AD817" t="s">
        <v>74</v>
      </c>
      <c r="AE817" t="s">
        <v>74</v>
      </c>
      <c r="AF817" t="s">
        <v>74</v>
      </c>
      <c r="AG817">
        <v>45</v>
      </c>
      <c r="AH817">
        <v>11</v>
      </c>
      <c r="AI817">
        <v>11</v>
      </c>
      <c r="AJ817">
        <v>0</v>
      </c>
      <c r="AK817">
        <v>35</v>
      </c>
      <c r="AL817" t="s">
        <v>91</v>
      </c>
      <c r="AM817" t="s">
        <v>92</v>
      </c>
      <c r="AN817" t="s">
        <v>2307</v>
      </c>
      <c r="AO817" t="s">
        <v>6819</v>
      </c>
      <c r="AP817" t="s">
        <v>6820</v>
      </c>
      <c r="AQ817" t="s">
        <v>74</v>
      </c>
      <c r="AR817" t="s">
        <v>6821</v>
      </c>
      <c r="AS817" t="s">
        <v>6822</v>
      </c>
      <c r="AT817" t="s">
        <v>16149</v>
      </c>
      <c r="AU817">
        <v>2013</v>
      </c>
      <c r="AV817">
        <v>250</v>
      </c>
      <c r="AW817" t="s">
        <v>74</v>
      </c>
      <c r="AX817" t="s">
        <v>74</v>
      </c>
      <c r="AY817" t="s">
        <v>74</v>
      </c>
      <c r="AZ817" t="s">
        <v>74</v>
      </c>
      <c r="BA817" t="s">
        <v>74</v>
      </c>
      <c r="BB817">
        <v>40</v>
      </c>
      <c r="BC817">
        <v>60</v>
      </c>
      <c r="BD817" t="s">
        <v>74</v>
      </c>
      <c r="BE817" t="s">
        <v>16150</v>
      </c>
      <c r="BF817" t="str">
        <f>HYPERLINK("http://dx.doi.org/10.1016/j.ins.2013.07.006","http://dx.doi.org/10.1016/j.ins.2013.07.006")</f>
        <v>http://dx.doi.org/10.1016/j.ins.2013.07.006</v>
      </c>
      <c r="BG817" t="s">
        <v>74</v>
      </c>
      <c r="BH817" t="s">
        <v>74</v>
      </c>
      <c r="BI817">
        <v>21</v>
      </c>
      <c r="BJ817" t="s">
        <v>852</v>
      </c>
      <c r="BK817" t="s">
        <v>902</v>
      </c>
      <c r="BL817" t="s">
        <v>103</v>
      </c>
      <c r="BM817" t="s">
        <v>16151</v>
      </c>
      <c r="BN817" t="s">
        <v>74</v>
      </c>
      <c r="BO817" t="s">
        <v>346</v>
      </c>
      <c r="BP817" t="s">
        <v>74</v>
      </c>
      <c r="BQ817" t="s">
        <v>74</v>
      </c>
      <c r="BR817" t="s">
        <v>106</v>
      </c>
      <c r="BS817" t="s">
        <v>16152</v>
      </c>
      <c r="BT817" t="str">
        <f>HYPERLINK("https%3A%2F%2Fwww.webofscience.com%2Fwos%2Fwoscc%2Ffull-record%2FWOS:000325041400003","View Full Record in Web of Science")</f>
        <v>View Full Record in Web of Science</v>
      </c>
    </row>
    <row r="818" spans="1:72" x14ac:dyDescent="0.25">
      <c r="A818" t="s">
        <v>108</v>
      </c>
      <c r="B818" t="s">
        <v>16153</v>
      </c>
      <c r="C818" t="s">
        <v>74</v>
      </c>
      <c r="D818" t="s">
        <v>16154</v>
      </c>
      <c r="E818" t="s">
        <v>74</v>
      </c>
      <c r="F818" t="s">
        <v>16155</v>
      </c>
      <c r="G818" t="s">
        <v>74</v>
      </c>
      <c r="H818" t="s">
        <v>74</v>
      </c>
      <c r="I818" t="s">
        <v>16156</v>
      </c>
      <c r="J818" t="s">
        <v>16157</v>
      </c>
      <c r="K818" t="s">
        <v>16158</v>
      </c>
      <c r="L818" t="s">
        <v>74</v>
      </c>
      <c r="M818" t="s">
        <v>78</v>
      </c>
      <c r="N818" t="s">
        <v>115</v>
      </c>
      <c r="O818" t="s">
        <v>16159</v>
      </c>
      <c r="P818" t="s">
        <v>16160</v>
      </c>
      <c r="Q818" t="s">
        <v>16161</v>
      </c>
      <c r="R818" t="s">
        <v>16162</v>
      </c>
      <c r="S818" t="s">
        <v>16163</v>
      </c>
      <c r="T818" t="s">
        <v>74</v>
      </c>
      <c r="U818" t="s">
        <v>74</v>
      </c>
      <c r="V818" t="s">
        <v>16164</v>
      </c>
      <c r="W818" t="s">
        <v>16165</v>
      </c>
      <c r="X818" t="s">
        <v>74</v>
      </c>
      <c r="Y818" t="s">
        <v>16166</v>
      </c>
      <c r="Z818" t="s">
        <v>74</v>
      </c>
      <c r="AA818" t="s">
        <v>74</v>
      </c>
      <c r="AB818" t="s">
        <v>74</v>
      </c>
      <c r="AC818" t="s">
        <v>74</v>
      </c>
      <c r="AD818" t="s">
        <v>74</v>
      </c>
      <c r="AE818" t="s">
        <v>74</v>
      </c>
      <c r="AF818" t="s">
        <v>74</v>
      </c>
      <c r="AG818">
        <v>0</v>
      </c>
      <c r="AH818">
        <v>0</v>
      </c>
      <c r="AI818">
        <v>0</v>
      </c>
      <c r="AJ818">
        <v>0</v>
      </c>
      <c r="AK818">
        <v>0</v>
      </c>
      <c r="AL818" t="s">
        <v>16167</v>
      </c>
      <c r="AM818" t="s">
        <v>8511</v>
      </c>
      <c r="AN818" t="s">
        <v>16168</v>
      </c>
      <c r="AO818" t="s">
        <v>74</v>
      </c>
      <c r="AP818" t="s">
        <v>74</v>
      </c>
      <c r="AQ818" t="s">
        <v>16169</v>
      </c>
      <c r="AR818" t="s">
        <v>16170</v>
      </c>
      <c r="AS818" t="s">
        <v>74</v>
      </c>
      <c r="AT818" t="s">
        <v>74</v>
      </c>
      <c r="AU818">
        <v>2012</v>
      </c>
      <c r="AV818">
        <v>457</v>
      </c>
      <c r="AW818" t="s">
        <v>74</v>
      </c>
      <c r="AX818" t="s">
        <v>74</v>
      </c>
      <c r="AY818" t="s">
        <v>74</v>
      </c>
      <c r="AZ818" t="s">
        <v>74</v>
      </c>
      <c r="BA818" t="s">
        <v>74</v>
      </c>
      <c r="BB818">
        <v>137</v>
      </c>
      <c r="BC818">
        <v>140</v>
      </c>
      <c r="BD818" t="s">
        <v>74</v>
      </c>
      <c r="BE818" t="s">
        <v>74</v>
      </c>
      <c r="BF818" t="s">
        <v>74</v>
      </c>
      <c r="BG818" t="s">
        <v>74</v>
      </c>
      <c r="BH818" t="s">
        <v>74</v>
      </c>
      <c r="BI818">
        <v>4</v>
      </c>
      <c r="BJ818" t="s">
        <v>16171</v>
      </c>
      <c r="BK818" t="s">
        <v>203</v>
      </c>
      <c r="BL818" t="s">
        <v>16171</v>
      </c>
      <c r="BM818" t="s">
        <v>16172</v>
      </c>
      <c r="BN818" t="s">
        <v>74</v>
      </c>
      <c r="BO818" t="s">
        <v>74</v>
      </c>
      <c r="BP818" t="s">
        <v>74</v>
      </c>
      <c r="BQ818" t="s">
        <v>74</v>
      </c>
      <c r="BR818" t="s">
        <v>106</v>
      </c>
      <c r="BS818" t="s">
        <v>16173</v>
      </c>
      <c r="BT818" t="str">
        <f>HYPERLINK("https%3A%2F%2Fwww.webofscience.com%2Fwos%2Fwoscc%2Ffull-record%2FWOS:000309700200026","View Full Record in Web of Science")</f>
        <v>View Full Record in Web of Science</v>
      </c>
    </row>
    <row r="819" spans="1:72" x14ac:dyDescent="0.25">
      <c r="A819" t="s">
        <v>72</v>
      </c>
      <c r="B819" t="s">
        <v>16174</v>
      </c>
      <c r="C819" t="s">
        <v>74</v>
      </c>
      <c r="D819" t="s">
        <v>74</v>
      </c>
      <c r="E819" t="s">
        <v>74</v>
      </c>
      <c r="F819" t="s">
        <v>16175</v>
      </c>
      <c r="G819" t="s">
        <v>74</v>
      </c>
      <c r="H819" t="s">
        <v>74</v>
      </c>
      <c r="I819" t="s">
        <v>16176</v>
      </c>
      <c r="J819" t="s">
        <v>16177</v>
      </c>
      <c r="K819" t="s">
        <v>74</v>
      </c>
      <c r="L819" t="s">
        <v>74</v>
      </c>
      <c r="M819" t="s">
        <v>78</v>
      </c>
      <c r="N819" t="s">
        <v>79</v>
      </c>
      <c r="O819" t="s">
        <v>74</v>
      </c>
      <c r="P819" t="s">
        <v>74</v>
      </c>
      <c r="Q819" t="s">
        <v>74</v>
      </c>
      <c r="R819" t="s">
        <v>74</v>
      </c>
      <c r="S819" t="s">
        <v>74</v>
      </c>
      <c r="T819" t="s">
        <v>16178</v>
      </c>
      <c r="U819" t="s">
        <v>16179</v>
      </c>
      <c r="V819" t="s">
        <v>16180</v>
      </c>
      <c r="W819" t="s">
        <v>16181</v>
      </c>
      <c r="X819" t="s">
        <v>16182</v>
      </c>
      <c r="Y819" t="s">
        <v>16183</v>
      </c>
      <c r="Z819" t="s">
        <v>16184</v>
      </c>
      <c r="AA819" t="s">
        <v>16185</v>
      </c>
      <c r="AB819" t="s">
        <v>16186</v>
      </c>
      <c r="AC819" t="s">
        <v>16187</v>
      </c>
      <c r="AD819" t="s">
        <v>16188</v>
      </c>
      <c r="AE819" t="s">
        <v>16189</v>
      </c>
      <c r="AF819" t="s">
        <v>74</v>
      </c>
      <c r="AG819">
        <v>63</v>
      </c>
      <c r="AH819">
        <v>26</v>
      </c>
      <c r="AI819">
        <v>33</v>
      </c>
      <c r="AJ819">
        <v>6</v>
      </c>
      <c r="AK819">
        <v>86</v>
      </c>
      <c r="AL819" t="s">
        <v>1369</v>
      </c>
      <c r="AM819" t="s">
        <v>1320</v>
      </c>
      <c r="AN819" t="s">
        <v>1370</v>
      </c>
      <c r="AO819" t="s">
        <v>16190</v>
      </c>
      <c r="AP819" t="s">
        <v>16191</v>
      </c>
      <c r="AQ819" t="s">
        <v>74</v>
      </c>
      <c r="AR819" t="s">
        <v>16192</v>
      </c>
      <c r="AS819" t="s">
        <v>16193</v>
      </c>
      <c r="AT819" t="s">
        <v>4318</v>
      </c>
      <c r="AU819">
        <v>2024</v>
      </c>
      <c r="AV819">
        <v>26</v>
      </c>
      <c r="AW819">
        <v>10</v>
      </c>
      <c r="AX819" t="s">
        <v>74</v>
      </c>
      <c r="AY819" t="s">
        <v>74</v>
      </c>
      <c r="AZ819" t="s">
        <v>74</v>
      </c>
      <c r="BA819" t="s">
        <v>74</v>
      </c>
      <c r="BB819">
        <v>6098</v>
      </c>
      <c r="BC819">
        <v>6119</v>
      </c>
      <c r="BD819" t="s">
        <v>74</v>
      </c>
      <c r="BE819" t="s">
        <v>16194</v>
      </c>
      <c r="BF819" t="str">
        <f>HYPERLINK("http://dx.doi.org/10.1177/14614448221146174","http://dx.doi.org/10.1177/14614448221146174")</f>
        <v>http://dx.doi.org/10.1177/14614448221146174</v>
      </c>
      <c r="BG819" t="s">
        <v>74</v>
      </c>
      <c r="BH819" t="s">
        <v>16195</v>
      </c>
      <c r="BI819">
        <v>22</v>
      </c>
      <c r="BJ819" t="s">
        <v>11731</v>
      </c>
      <c r="BK819" t="s">
        <v>250</v>
      </c>
      <c r="BL819" t="s">
        <v>11731</v>
      </c>
      <c r="BM819" t="s">
        <v>16196</v>
      </c>
      <c r="BN819" t="s">
        <v>74</v>
      </c>
      <c r="BO819" t="s">
        <v>346</v>
      </c>
      <c r="BP819" t="s">
        <v>74</v>
      </c>
      <c r="BQ819" t="s">
        <v>74</v>
      </c>
      <c r="BR819" t="s">
        <v>106</v>
      </c>
      <c r="BS819" t="s">
        <v>16197</v>
      </c>
      <c r="BT819" t="str">
        <f>HYPERLINK("https%3A%2F%2Fwww.webofscience.com%2Fwos%2Fwoscc%2Ffull-record%2FWOS:000913109400001","View Full Record in Web of Science")</f>
        <v>View Full Record in Web of Science</v>
      </c>
    </row>
    <row r="820" spans="1:72" x14ac:dyDescent="0.25">
      <c r="A820" t="s">
        <v>108</v>
      </c>
      <c r="B820" t="s">
        <v>5691</v>
      </c>
      <c r="C820" t="s">
        <v>74</v>
      </c>
      <c r="D820" t="s">
        <v>16198</v>
      </c>
      <c r="E820" t="s">
        <v>74</v>
      </c>
      <c r="F820" t="s">
        <v>5727</v>
      </c>
      <c r="G820" t="s">
        <v>74</v>
      </c>
      <c r="H820" t="s">
        <v>74</v>
      </c>
      <c r="I820" t="s">
        <v>16199</v>
      </c>
      <c r="J820" t="s">
        <v>16200</v>
      </c>
      <c r="K820" t="s">
        <v>16201</v>
      </c>
      <c r="L820" t="s">
        <v>74</v>
      </c>
      <c r="M820" t="s">
        <v>78</v>
      </c>
      <c r="N820" t="s">
        <v>115</v>
      </c>
      <c r="O820" t="s">
        <v>16202</v>
      </c>
      <c r="P820" t="s">
        <v>16203</v>
      </c>
      <c r="Q820" t="s">
        <v>16204</v>
      </c>
      <c r="R820" t="s">
        <v>74</v>
      </c>
      <c r="S820" t="s">
        <v>16205</v>
      </c>
      <c r="T820" t="s">
        <v>16206</v>
      </c>
      <c r="U820" t="s">
        <v>16207</v>
      </c>
      <c r="V820" t="s">
        <v>16208</v>
      </c>
      <c r="W820" t="s">
        <v>5736</v>
      </c>
      <c r="X820" t="s">
        <v>3703</v>
      </c>
      <c r="Y820" t="s">
        <v>5700</v>
      </c>
      <c r="Z820" t="s">
        <v>16209</v>
      </c>
      <c r="AA820" t="s">
        <v>74</v>
      </c>
      <c r="AB820" t="s">
        <v>74</v>
      </c>
      <c r="AC820" t="s">
        <v>74</v>
      </c>
      <c r="AD820" t="s">
        <v>74</v>
      </c>
      <c r="AE820" t="s">
        <v>74</v>
      </c>
      <c r="AF820" t="s">
        <v>74</v>
      </c>
      <c r="AG820">
        <v>57</v>
      </c>
      <c r="AH820">
        <v>5</v>
      </c>
      <c r="AI820">
        <v>5</v>
      </c>
      <c r="AJ820">
        <v>1</v>
      </c>
      <c r="AK820">
        <v>8</v>
      </c>
      <c r="AL820" t="s">
        <v>7375</v>
      </c>
      <c r="AM820" t="s">
        <v>7376</v>
      </c>
      <c r="AN820" t="s">
        <v>7377</v>
      </c>
      <c r="AO820" t="s">
        <v>16210</v>
      </c>
      <c r="AP820" t="s">
        <v>74</v>
      </c>
      <c r="AQ820" t="s">
        <v>16211</v>
      </c>
      <c r="AR820" t="s">
        <v>16212</v>
      </c>
      <c r="AS820" t="s">
        <v>74</v>
      </c>
      <c r="AT820" t="s">
        <v>74</v>
      </c>
      <c r="AU820">
        <v>2017</v>
      </c>
      <c r="AV820" t="s">
        <v>74</v>
      </c>
      <c r="AW820" t="s">
        <v>74</v>
      </c>
      <c r="AX820" t="s">
        <v>74</v>
      </c>
      <c r="AY820" t="s">
        <v>74</v>
      </c>
      <c r="AZ820" t="s">
        <v>74</v>
      </c>
      <c r="BA820" t="s">
        <v>74</v>
      </c>
      <c r="BB820">
        <v>152</v>
      </c>
      <c r="BC820">
        <v>158</v>
      </c>
      <c r="BD820" t="s">
        <v>74</v>
      </c>
      <c r="BE820" t="s">
        <v>74</v>
      </c>
      <c r="BF820" t="s">
        <v>74</v>
      </c>
      <c r="BG820" t="s">
        <v>74</v>
      </c>
      <c r="BH820" t="s">
        <v>74</v>
      </c>
      <c r="BI820">
        <v>7</v>
      </c>
      <c r="BJ820" t="s">
        <v>318</v>
      </c>
      <c r="BK820" t="s">
        <v>1042</v>
      </c>
      <c r="BL820" t="s">
        <v>318</v>
      </c>
      <c r="BM820" t="s">
        <v>16213</v>
      </c>
      <c r="BN820" t="s">
        <v>74</v>
      </c>
      <c r="BO820" t="s">
        <v>74</v>
      </c>
      <c r="BP820" t="s">
        <v>74</v>
      </c>
      <c r="BQ820" t="s">
        <v>74</v>
      </c>
      <c r="BR820" t="s">
        <v>106</v>
      </c>
      <c r="BS820" t="s">
        <v>16214</v>
      </c>
      <c r="BT820" t="str">
        <f>HYPERLINK("https%3A%2F%2Fwww.webofscience.com%2Fwos%2Fwoscc%2Ffull-record%2FWOS:000463647100021","View Full Record in Web of Science")</f>
        <v>View Full Record in Web of Science</v>
      </c>
    </row>
    <row r="821" spans="1:72" x14ac:dyDescent="0.25">
      <c r="A821" t="s">
        <v>108</v>
      </c>
      <c r="B821" t="s">
        <v>16215</v>
      </c>
      <c r="C821" t="s">
        <v>74</v>
      </c>
      <c r="D821" t="s">
        <v>16216</v>
      </c>
      <c r="E821" t="s">
        <v>74</v>
      </c>
      <c r="F821" t="s">
        <v>16217</v>
      </c>
      <c r="G821" t="s">
        <v>74</v>
      </c>
      <c r="H821" t="s">
        <v>74</v>
      </c>
      <c r="I821" t="s">
        <v>16218</v>
      </c>
      <c r="J821" t="s">
        <v>16219</v>
      </c>
      <c r="K821" t="s">
        <v>3328</v>
      </c>
      <c r="L821" t="s">
        <v>74</v>
      </c>
      <c r="M821" t="s">
        <v>78</v>
      </c>
      <c r="N821" t="s">
        <v>115</v>
      </c>
      <c r="O821" t="s">
        <v>16220</v>
      </c>
      <c r="P821" t="s">
        <v>16221</v>
      </c>
      <c r="Q821" t="s">
        <v>16222</v>
      </c>
      <c r="R821" t="s">
        <v>16223</v>
      </c>
      <c r="S821" t="s">
        <v>74</v>
      </c>
      <c r="T821" t="s">
        <v>74</v>
      </c>
      <c r="U821" t="s">
        <v>74</v>
      </c>
      <c r="V821" t="s">
        <v>16224</v>
      </c>
      <c r="W821" t="s">
        <v>16225</v>
      </c>
      <c r="X821" t="s">
        <v>16226</v>
      </c>
      <c r="Y821" t="s">
        <v>16227</v>
      </c>
      <c r="Z821" t="s">
        <v>16228</v>
      </c>
      <c r="AA821" t="s">
        <v>16229</v>
      </c>
      <c r="AB821" t="s">
        <v>74</v>
      </c>
      <c r="AC821" t="s">
        <v>74</v>
      </c>
      <c r="AD821" t="s">
        <v>74</v>
      </c>
      <c r="AE821" t="s">
        <v>74</v>
      </c>
      <c r="AF821" t="s">
        <v>74</v>
      </c>
      <c r="AG821">
        <v>19</v>
      </c>
      <c r="AH821">
        <v>2</v>
      </c>
      <c r="AI821">
        <v>2</v>
      </c>
      <c r="AJ821">
        <v>0</v>
      </c>
      <c r="AK821">
        <v>4</v>
      </c>
      <c r="AL821" t="s">
        <v>465</v>
      </c>
      <c r="AM821" t="s">
        <v>92</v>
      </c>
      <c r="AN821" t="s">
        <v>480</v>
      </c>
      <c r="AO821" t="s">
        <v>3341</v>
      </c>
      <c r="AP821" t="s">
        <v>74</v>
      </c>
      <c r="AQ821" t="s">
        <v>16230</v>
      </c>
      <c r="AR821" t="s">
        <v>3343</v>
      </c>
      <c r="AS821" t="s">
        <v>74</v>
      </c>
      <c r="AT821" t="s">
        <v>74</v>
      </c>
      <c r="AU821">
        <v>2017</v>
      </c>
      <c r="AV821" t="s">
        <v>74</v>
      </c>
      <c r="AW821" t="s">
        <v>74</v>
      </c>
      <c r="AX821" t="s">
        <v>74</v>
      </c>
      <c r="AY821" t="s">
        <v>74</v>
      </c>
      <c r="AZ821" t="s">
        <v>74</v>
      </c>
      <c r="BA821" t="s">
        <v>74</v>
      </c>
      <c r="BB821">
        <v>156</v>
      </c>
      <c r="BC821">
        <v>162</v>
      </c>
      <c r="BD821" t="s">
        <v>74</v>
      </c>
      <c r="BE821" t="s">
        <v>16231</v>
      </c>
      <c r="BF821" t="str">
        <f>HYPERLINK("http://dx.doi.org/10.1109/ICDMW.2017.26","http://dx.doi.org/10.1109/ICDMW.2017.26")</f>
        <v>http://dx.doi.org/10.1109/ICDMW.2017.26</v>
      </c>
      <c r="BG821" t="s">
        <v>74</v>
      </c>
      <c r="BH821" t="s">
        <v>74</v>
      </c>
      <c r="BI821">
        <v>7</v>
      </c>
      <c r="BJ821" t="s">
        <v>696</v>
      </c>
      <c r="BK821" t="s">
        <v>203</v>
      </c>
      <c r="BL821" t="s">
        <v>103</v>
      </c>
      <c r="BM821" t="s">
        <v>16232</v>
      </c>
      <c r="BN821" t="s">
        <v>74</v>
      </c>
      <c r="BO821" t="s">
        <v>74</v>
      </c>
      <c r="BP821" t="s">
        <v>74</v>
      </c>
      <c r="BQ821" t="s">
        <v>74</v>
      </c>
      <c r="BR821" t="s">
        <v>106</v>
      </c>
      <c r="BS821" t="s">
        <v>16233</v>
      </c>
      <c r="BT821" t="str">
        <f>HYPERLINK("https%3A%2F%2Fwww.webofscience.com%2Fwos%2Fwoscc%2Ffull-record%2FWOS:000425845700020","View Full Record in Web of Science")</f>
        <v>View Full Record in Web of Science</v>
      </c>
    </row>
    <row r="822" spans="1:72" x14ac:dyDescent="0.25">
      <c r="A822" t="s">
        <v>108</v>
      </c>
      <c r="B822" t="s">
        <v>16234</v>
      </c>
      <c r="C822" t="s">
        <v>74</v>
      </c>
      <c r="D822" t="s">
        <v>74</v>
      </c>
      <c r="E822" t="s">
        <v>465</v>
      </c>
      <c r="F822" t="s">
        <v>16235</v>
      </c>
      <c r="G822" t="s">
        <v>74</v>
      </c>
      <c r="H822" t="s">
        <v>74</v>
      </c>
      <c r="I822" t="s">
        <v>16236</v>
      </c>
      <c r="J822" t="s">
        <v>16237</v>
      </c>
      <c r="K822" t="s">
        <v>2252</v>
      </c>
      <c r="L822" t="s">
        <v>74</v>
      </c>
      <c r="M822" t="s">
        <v>78</v>
      </c>
      <c r="N822" t="s">
        <v>115</v>
      </c>
      <c r="O822" t="s">
        <v>3571</v>
      </c>
      <c r="P822" t="s">
        <v>16238</v>
      </c>
      <c r="Q822" t="s">
        <v>12401</v>
      </c>
      <c r="R822" t="s">
        <v>16239</v>
      </c>
      <c r="S822" t="s">
        <v>74</v>
      </c>
      <c r="T822" t="s">
        <v>16240</v>
      </c>
      <c r="U822" t="s">
        <v>74</v>
      </c>
      <c r="V822" t="s">
        <v>16241</v>
      </c>
      <c r="W822" t="s">
        <v>16242</v>
      </c>
      <c r="X822" t="s">
        <v>544</v>
      </c>
      <c r="Y822" t="s">
        <v>16243</v>
      </c>
      <c r="Z822" t="s">
        <v>16244</v>
      </c>
      <c r="AA822" t="s">
        <v>74</v>
      </c>
      <c r="AB822" t="s">
        <v>74</v>
      </c>
      <c r="AC822" t="s">
        <v>74</v>
      </c>
      <c r="AD822" t="s">
        <v>74</v>
      </c>
      <c r="AE822" t="s">
        <v>74</v>
      </c>
      <c r="AF822" t="s">
        <v>74</v>
      </c>
      <c r="AG822">
        <v>21</v>
      </c>
      <c r="AH822">
        <v>0</v>
      </c>
      <c r="AI822">
        <v>0</v>
      </c>
      <c r="AJ822">
        <v>0</v>
      </c>
      <c r="AK822">
        <v>2</v>
      </c>
      <c r="AL822" t="s">
        <v>465</v>
      </c>
      <c r="AM822" t="s">
        <v>92</v>
      </c>
      <c r="AN822" t="s">
        <v>480</v>
      </c>
      <c r="AO822" t="s">
        <v>2265</v>
      </c>
      <c r="AP822" t="s">
        <v>74</v>
      </c>
      <c r="AQ822" t="s">
        <v>16245</v>
      </c>
      <c r="AR822" t="s">
        <v>2267</v>
      </c>
      <c r="AS822" t="s">
        <v>74</v>
      </c>
      <c r="AT822" t="s">
        <v>74</v>
      </c>
      <c r="AU822">
        <v>2015</v>
      </c>
      <c r="AV822" t="s">
        <v>74</v>
      </c>
      <c r="AW822" t="s">
        <v>74</v>
      </c>
      <c r="AX822" t="s">
        <v>74</v>
      </c>
      <c r="AY822" t="s">
        <v>74</v>
      </c>
      <c r="AZ822" t="s">
        <v>74</v>
      </c>
      <c r="BA822" t="s">
        <v>74</v>
      </c>
      <c r="BB822" t="s">
        <v>74</v>
      </c>
      <c r="BC822" t="s">
        <v>74</v>
      </c>
      <c r="BD822" t="s">
        <v>74</v>
      </c>
      <c r="BE822" t="s">
        <v>16246</v>
      </c>
      <c r="BF822" t="str">
        <f>HYPERLINK("http://dx.doi.org/10.1109/GLOCOM.2015.7417011","http://dx.doi.org/10.1109/GLOCOM.2015.7417011")</f>
        <v>http://dx.doi.org/10.1109/GLOCOM.2015.7417011</v>
      </c>
      <c r="BG822" t="s">
        <v>74</v>
      </c>
      <c r="BH822" t="s">
        <v>74</v>
      </c>
      <c r="BI822">
        <v>6</v>
      </c>
      <c r="BJ822" t="s">
        <v>2268</v>
      </c>
      <c r="BK822" t="s">
        <v>203</v>
      </c>
      <c r="BL822" t="s">
        <v>2269</v>
      </c>
      <c r="BM822" t="s">
        <v>16247</v>
      </c>
      <c r="BN822" t="s">
        <v>74</v>
      </c>
      <c r="BO822" t="s">
        <v>74</v>
      </c>
      <c r="BP822" t="s">
        <v>74</v>
      </c>
      <c r="BQ822" t="s">
        <v>74</v>
      </c>
      <c r="BR822" t="s">
        <v>106</v>
      </c>
      <c r="BS822" t="s">
        <v>16248</v>
      </c>
      <c r="BT822" t="str">
        <f>HYPERLINK("https%3A%2F%2Fwww.webofscience.com%2Fwos%2Fwoscc%2Ffull-record%2FWOS:000382389300072","View Full Record in Web of Science")</f>
        <v>View Full Record in Web of Science</v>
      </c>
    </row>
    <row r="823" spans="1:72" x14ac:dyDescent="0.25">
      <c r="A823" t="s">
        <v>108</v>
      </c>
      <c r="B823" t="s">
        <v>16249</v>
      </c>
      <c r="C823" t="s">
        <v>74</v>
      </c>
      <c r="D823" t="s">
        <v>74</v>
      </c>
      <c r="E823" t="s">
        <v>465</v>
      </c>
      <c r="F823" t="s">
        <v>16250</v>
      </c>
      <c r="G823" t="s">
        <v>74</v>
      </c>
      <c r="H823" t="s">
        <v>74</v>
      </c>
      <c r="I823" t="s">
        <v>16251</v>
      </c>
      <c r="J823" t="s">
        <v>16252</v>
      </c>
      <c r="K823" t="s">
        <v>16253</v>
      </c>
      <c r="L823" t="s">
        <v>74</v>
      </c>
      <c r="M823" t="s">
        <v>78</v>
      </c>
      <c r="N823" t="s">
        <v>115</v>
      </c>
      <c r="O823" t="s">
        <v>16254</v>
      </c>
      <c r="P823" t="s">
        <v>16255</v>
      </c>
      <c r="Q823" t="s">
        <v>5896</v>
      </c>
      <c r="R823" t="s">
        <v>465</v>
      </c>
      <c r="S823" t="s">
        <v>74</v>
      </c>
      <c r="T823" t="s">
        <v>16256</v>
      </c>
      <c r="U823" t="s">
        <v>74</v>
      </c>
      <c r="V823" t="s">
        <v>16257</v>
      </c>
      <c r="W823" t="s">
        <v>16258</v>
      </c>
      <c r="X823" t="s">
        <v>16259</v>
      </c>
      <c r="Y823" t="s">
        <v>16260</v>
      </c>
      <c r="Z823" t="s">
        <v>16261</v>
      </c>
      <c r="AA823" t="s">
        <v>16262</v>
      </c>
      <c r="AB823" t="s">
        <v>74</v>
      </c>
      <c r="AC823" t="s">
        <v>16263</v>
      </c>
      <c r="AD823" t="s">
        <v>16264</v>
      </c>
      <c r="AE823" t="s">
        <v>16265</v>
      </c>
      <c r="AF823" t="s">
        <v>74</v>
      </c>
      <c r="AG823">
        <v>20</v>
      </c>
      <c r="AH823">
        <v>1</v>
      </c>
      <c r="AI823">
        <v>1</v>
      </c>
      <c r="AJ823">
        <v>0</v>
      </c>
      <c r="AK823">
        <v>5</v>
      </c>
      <c r="AL823" t="s">
        <v>465</v>
      </c>
      <c r="AM823" t="s">
        <v>92</v>
      </c>
      <c r="AN823" t="s">
        <v>480</v>
      </c>
      <c r="AO823" t="s">
        <v>16266</v>
      </c>
      <c r="AP823" t="s">
        <v>74</v>
      </c>
      <c r="AQ823" t="s">
        <v>16267</v>
      </c>
      <c r="AR823" t="s">
        <v>16268</v>
      </c>
      <c r="AS823" t="s">
        <v>74</v>
      </c>
      <c r="AT823" t="s">
        <v>74</v>
      </c>
      <c r="AU823">
        <v>2017</v>
      </c>
      <c r="AV823" t="s">
        <v>74</v>
      </c>
      <c r="AW823" t="s">
        <v>74</v>
      </c>
      <c r="AX823" t="s">
        <v>74</v>
      </c>
      <c r="AY823" t="s">
        <v>74</v>
      </c>
      <c r="AZ823" t="s">
        <v>74</v>
      </c>
      <c r="BA823" t="s">
        <v>74</v>
      </c>
      <c r="BB823">
        <v>223</v>
      </c>
      <c r="BC823">
        <v>227</v>
      </c>
      <c r="BD823" t="s">
        <v>74</v>
      </c>
      <c r="BE823" t="s">
        <v>74</v>
      </c>
      <c r="BF823" t="s">
        <v>74</v>
      </c>
      <c r="BG823" t="s">
        <v>74</v>
      </c>
      <c r="BH823" t="s">
        <v>74</v>
      </c>
      <c r="BI823">
        <v>5</v>
      </c>
      <c r="BJ823" t="s">
        <v>6304</v>
      </c>
      <c r="BK823" t="s">
        <v>203</v>
      </c>
      <c r="BL823" t="s">
        <v>903</v>
      </c>
      <c r="BM823" t="s">
        <v>16269</v>
      </c>
      <c r="BN823" t="s">
        <v>74</v>
      </c>
      <c r="BO823" t="s">
        <v>74</v>
      </c>
      <c r="BP823" t="s">
        <v>74</v>
      </c>
      <c r="BQ823" t="s">
        <v>74</v>
      </c>
      <c r="BR823" t="s">
        <v>106</v>
      </c>
      <c r="BS823" t="s">
        <v>16270</v>
      </c>
      <c r="BT823" t="str">
        <f>HYPERLINK("https%3A%2F%2Fwww.webofscience.com%2Fwos%2Fwoscc%2Ffull-record%2FWOS:000427892400045","View Full Record in Web of Science")</f>
        <v>View Full Record in Web of Science</v>
      </c>
    </row>
    <row r="824" spans="1:72" x14ac:dyDescent="0.25">
      <c r="A824" t="s">
        <v>72</v>
      </c>
      <c r="B824" t="s">
        <v>16271</v>
      </c>
      <c r="C824" t="s">
        <v>74</v>
      </c>
      <c r="D824" t="s">
        <v>74</v>
      </c>
      <c r="E824" t="s">
        <v>74</v>
      </c>
      <c r="F824" t="s">
        <v>16271</v>
      </c>
      <c r="G824" t="s">
        <v>74</v>
      </c>
      <c r="H824" t="s">
        <v>74</v>
      </c>
      <c r="I824" t="s">
        <v>16272</v>
      </c>
      <c r="J824" t="s">
        <v>16273</v>
      </c>
      <c r="K824" t="s">
        <v>74</v>
      </c>
      <c r="L824" t="s">
        <v>74</v>
      </c>
      <c r="M824" t="s">
        <v>78</v>
      </c>
      <c r="N824" t="s">
        <v>79</v>
      </c>
      <c r="O824" t="s">
        <v>74</v>
      </c>
      <c r="P824" t="s">
        <v>74</v>
      </c>
      <c r="Q824" t="s">
        <v>74</v>
      </c>
      <c r="R824" t="s">
        <v>74</v>
      </c>
      <c r="S824" t="s">
        <v>74</v>
      </c>
      <c r="T824" t="s">
        <v>16274</v>
      </c>
      <c r="U824" t="s">
        <v>16275</v>
      </c>
      <c r="V824" t="s">
        <v>16276</v>
      </c>
      <c r="W824" t="s">
        <v>16277</v>
      </c>
      <c r="X824" t="s">
        <v>16278</v>
      </c>
      <c r="Y824" t="s">
        <v>74</v>
      </c>
      <c r="Z824" t="s">
        <v>74</v>
      </c>
      <c r="AA824" t="s">
        <v>16279</v>
      </c>
      <c r="AB824" t="s">
        <v>16280</v>
      </c>
      <c r="AC824" t="s">
        <v>74</v>
      </c>
      <c r="AD824" t="s">
        <v>74</v>
      </c>
      <c r="AE824" t="s">
        <v>74</v>
      </c>
      <c r="AF824" t="s">
        <v>74</v>
      </c>
      <c r="AG824">
        <v>15</v>
      </c>
      <c r="AH824">
        <v>9</v>
      </c>
      <c r="AI824">
        <v>9</v>
      </c>
      <c r="AJ824">
        <v>0</v>
      </c>
      <c r="AK824">
        <v>1</v>
      </c>
      <c r="AL824" t="s">
        <v>16281</v>
      </c>
      <c r="AM824" t="s">
        <v>7817</v>
      </c>
      <c r="AN824" t="s">
        <v>16282</v>
      </c>
      <c r="AO824" t="s">
        <v>16283</v>
      </c>
      <c r="AP824" t="s">
        <v>74</v>
      </c>
      <c r="AQ824" t="s">
        <v>74</v>
      </c>
      <c r="AR824" t="s">
        <v>16284</v>
      </c>
      <c r="AS824" t="s">
        <v>16285</v>
      </c>
      <c r="AT824" t="s">
        <v>509</v>
      </c>
      <c r="AU824">
        <v>1992</v>
      </c>
      <c r="AV824">
        <v>39</v>
      </c>
      <c r="AW824">
        <v>7</v>
      </c>
      <c r="AX824" t="s">
        <v>74</v>
      </c>
      <c r="AY824" t="s">
        <v>74</v>
      </c>
      <c r="AZ824" t="s">
        <v>74</v>
      </c>
      <c r="BA824" t="s">
        <v>74</v>
      </c>
      <c r="BB824">
        <v>643</v>
      </c>
      <c r="BC824">
        <v>648</v>
      </c>
      <c r="BD824" t="s">
        <v>74</v>
      </c>
      <c r="BE824" t="s">
        <v>16286</v>
      </c>
      <c r="BF824" t="str">
        <f>HYPERLINK("http://dx.doi.org/10.1007/BF03008223","http://dx.doi.org/10.1007/BF03008223")</f>
        <v>http://dx.doi.org/10.1007/BF03008223</v>
      </c>
      <c r="BG824" t="s">
        <v>74</v>
      </c>
      <c r="BH824" t="s">
        <v>74</v>
      </c>
      <c r="BI824">
        <v>6</v>
      </c>
      <c r="BJ824" t="s">
        <v>16287</v>
      </c>
      <c r="BK824" t="s">
        <v>902</v>
      </c>
      <c r="BL824" t="s">
        <v>16287</v>
      </c>
      <c r="BM824" t="s">
        <v>16288</v>
      </c>
      <c r="BN824">
        <v>1394751</v>
      </c>
      <c r="BO824" t="s">
        <v>205</v>
      </c>
      <c r="BP824" t="s">
        <v>74</v>
      </c>
      <c r="BQ824" t="s">
        <v>74</v>
      </c>
      <c r="BR824" t="s">
        <v>106</v>
      </c>
      <c r="BS824" t="s">
        <v>16289</v>
      </c>
      <c r="BT824" t="str">
        <f>HYPERLINK("https%3A%2F%2Fwww.webofscience.com%2Fwos%2Fwoscc%2Ffull-record%2FWOS:A1992JN18500003","View Full Record in Web of Science")</f>
        <v>View Full Record in Web of Science</v>
      </c>
    </row>
    <row r="825" spans="1:72" x14ac:dyDescent="0.25">
      <c r="A825" t="s">
        <v>108</v>
      </c>
      <c r="B825" t="s">
        <v>16290</v>
      </c>
      <c r="C825" t="s">
        <v>74</v>
      </c>
      <c r="D825" t="s">
        <v>6158</v>
      </c>
      <c r="E825" t="s">
        <v>74</v>
      </c>
      <c r="F825" t="s">
        <v>15642</v>
      </c>
      <c r="G825" t="s">
        <v>74</v>
      </c>
      <c r="H825" t="s">
        <v>74</v>
      </c>
      <c r="I825" t="s">
        <v>16291</v>
      </c>
      <c r="J825" t="s">
        <v>6161</v>
      </c>
      <c r="K825" t="s">
        <v>74</v>
      </c>
      <c r="L825" t="s">
        <v>74</v>
      </c>
      <c r="M825" t="s">
        <v>78</v>
      </c>
      <c r="N825" t="s">
        <v>115</v>
      </c>
      <c r="O825" t="s">
        <v>6162</v>
      </c>
      <c r="P825" t="s">
        <v>6163</v>
      </c>
      <c r="Q825" t="s">
        <v>6164</v>
      </c>
      <c r="R825" t="s">
        <v>6165</v>
      </c>
      <c r="S825" t="s">
        <v>74</v>
      </c>
      <c r="T825" t="s">
        <v>16292</v>
      </c>
      <c r="U825" t="s">
        <v>74</v>
      </c>
      <c r="V825" t="s">
        <v>16293</v>
      </c>
      <c r="W825" t="s">
        <v>16294</v>
      </c>
      <c r="X825" t="s">
        <v>15648</v>
      </c>
      <c r="Y825" t="s">
        <v>16295</v>
      </c>
      <c r="Z825" t="s">
        <v>15650</v>
      </c>
      <c r="AA825" t="s">
        <v>74</v>
      </c>
      <c r="AB825" t="s">
        <v>74</v>
      </c>
      <c r="AC825" t="s">
        <v>74</v>
      </c>
      <c r="AD825" t="s">
        <v>74</v>
      </c>
      <c r="AE825" t="s">
        <v>74</v>
      </c>
      <c r="AF825" t="s">
        <v>74</v>
      </c>
      <c r="AG825">
        <v>13</v>
      </c>
      <c r="AH825">
        <v>12</v>
      </c>
      <c r="AI825">
        <v>12</v>
      </c>
      <c r="AJ825">
        <v>0</v>
      </c>
      <c r="AK825">
        <v>2</v>
      </c>
      <c r="AL825" t="s">
        <v>465</v>
      </c>
      <c r="AM825" t="s">
        <v>92</v>
      </c>
      <c r="AN825" t="s">
        <v>480</v>
      </c>
      <c r="AO825" t="s">
        <v>74</v>
      </c>
      <c r="AP825" t="s">
        <v>74</v>
      </c>
      <c r="AQ825" t="s">
        <v>6176</v>
      </c>
      <c r="AR825" t="s">
        <v>74</v>
      </c>
      <c r="AS825" t="s">
        <v>74</v>
      </c>
      <c r="AT825" t="s">
        <v>74</v>
      </c>
      <c r="AU825">
        <v>2015</v>
      </c>
      <c r="AV825" t="s">
        <v>74</v>
      </c>
      <c r="AW825" t="s">
        <v>74</v>
      </c>
      <c r="AX825" t="s">
        <v>74</v>
      </c>
      <c r="AY825" t="s">
        <v>74</v>
      </c>
      <c r="AZ825" t="s">
        <v>74</v>
      </c>
      <c r="BA825" t="s">
        <v>74</v>
      </c>
      <c r="BB825">
        <v>1492</v>
      </c>
      <c r="BC825">
        <v>1499</v>
      </c>
      <c r="BD825" t="s">
        <v>74</v>
      </c>
      <c r="BE825" t="s">
        <v>74</v>
      </c>
      <c r="BF825" t="s">
        <v>74</v>
      </c>
      <c r="BG825" t="s">
        <v>74</v>
      </c>
      <c r="BH825" t="s">
        <v>74</v>
      </c>
      <c r="BI825">
        <v>8</v>
      </c>
      <c r="BJ825" t="s">
        <v>6177</v>
      </c>
      <c r="BK825" t="s">
        <v>203</v>
      </c>
      <c r="BL825" t="s">
        <v>953</v>
      </c>
      <c r="BM825" t="s">
        <v>6178</v>
      </c>
      <c r="BN825" t="s">
        <v>74</v>
      </c>
      <c r="BO825" t="s">
        <v>346</v>
      </c>
      <c r="BP825" t="s">
        <v>74</v>
      </c>
      <c r="BQ825" t="s">
        <v>74</v>
      </c>
      <c r="BR825" t="s">
        <v>106</v>
      </c>
      <c r="BS825" t="s">
        <v>16296</v>
      </c>
      <c r="BT825" t="str">
        <f>HYPERLINK("https%3A%2F%2Fwww.webofscience.com%2Fwos%2Fwoscc%2Ffull-record%2FWOS:000380404600180","View Full Record in Web of Science")</f>
        <v>View Full Record in Web of Science</v>
      </c>
    </row>
    <row r="826" spans="1:72" x14ac:dyDescent="0.25">
      <c r="A826" t="s">
        <v>72</v>
      </c>
      <c r="B826" t="s">
        <v>14025</v>
      </c>
      <c r="C826" t="s">
        <v>74</v>
      </c>
      <c r="D826" t="s">
        <v>74</v>
      </c>
      <c r="E826" t="s">
        <v>74</v>
      </c>
      <c r="F826" t="s">
        <v>14025</v>
      </c>
      <c r="G826" t="s">
        <v>74</v>
      </c>
      <c r="H826" t="s">
        <v>74</v>
      </c>
      <c r="I826" t="s">
        <v>16297</v>
      </c>
      <c r="J826" t="s">
        <v>10390</v>
      </c>
      <c r="K826" t="s">
        <v>74</v>
      </c>
      <c r="L826" t="s">
        <v>74</v>
      </c>
      <c r="M826" t="s">
        <v>78</v>
      </c>
      <c r="N826" t="s">
        <v>79</v>
      </c>
      <c r="O826" t="s">
        <v>74</v>
      </c>
      <c r="P826" t="s">
        <v>74</v>
      </c>
      <c r="Q826" t="s">
        <v>74</v>
      </c>
      <c r="R826" t="s">
        <v>74</v>
      </c>
      <c r="S826" t="s">
        <v>74</v>
      </c>
      <c r="T826" t="s">
        <v>16298</v>
      </c>
      <c r="U826" t="s">
        <v>9854</v>
      </c>
      <c r="V826" t="s">
        <v>16299</v>
      </c>
      <c r="W826" t="s">
        <v>16300</v>
      </c>
      <c r="X826" t="s">
        <v>14032</v>
      </c>
      <c r="Y826" t="s">
        <v>16301</v>
      </c>
      <c r="Z826" t="s">
        <v>74</v>
      </c>
      <c r="AA826" t="s">
        <v>74</v>
      </c>
      <c r="AB826" t="s">
        <v>74</v>
      </c>
      <c r="AC826" t="s">
        <v>74</v>
      </c>
      <c r="AD826" t="s">
        <v>74</v>
      </c>
      <c r="AE826" t="s">
        <v>74</v>
      </c>
      <c r="AF826" t="s">
        <v>74</v>
      </c>
      <c r="AG826">
        <v>31</v>
      </c>
      <c r="AH826">
        <v>6</v>
      </c>
      <c r="AI826">
        <v>8</v>
      </c>
      <c r="AJ826">
        <v>0</v>
      </c>
      <c r="AK826">
        <v>5</v>
      </c>
      <c r="AL826" t="s">
        <v>16302</v>
      </c>
      <c r="AM826" t="s">
        <v>16303</v>
      </c>
      <c r="AN826" t="s">
        <v>16304</v>
      </c>
      <c r="AO826" t="s">
        <v>10396</v>
      </c>
      <c r="AP826" t="s">
        <v>74</v>
      </c>
      <c r="AQ826" t="s">
        <v>74</v>
      </c>
      <c r="AR826" t="s">
        <v>10397</v>
      </c>
      <c r="AS826" t="s">
        <v>10398</v>
      </c>
      <c r="AT826" t="s">
        <v>16305</v>
      </c>
      <c r="AU826">
        <v>2001</v>
      </c>
      <c r="AV826">
        <v>9</v>
      </c>
      <c r="AW826">
        <v>1</v>
      </c>
      <c r="AX826" t="s">
        <v>74</v>
      </c>
      <c r="AY826" t="s">
        <v>74</v>
      </c>
      <c r="AZ826" t="s">
        <v>74</v>
      </c>
      <c r="BA826" t="s">
        <v>74</v>
      </c>
      <c r="BB826">
        <v>61</v>
      </c>
      <c r="BC826">
        <v>79</v>
      </c>
      <c r="BD826" t="s">
        <v>74</v>
      </c>
      <c r="BE826" t="s">
        <v>16306</v>
      </c>
      <c r="BF826" t="str">
        <f>HYPERLINK("http://dx.doi.org/10.1177/106907270100900105","http://dx.doi.org/10.1177/106907270100900105")</f>
        <v>http://dx.doi.org/10.1177/106907270100900105</v>
      </c>
      <c r="BG826" t="s">
        <v>74</v>
      </c>
      <c r="BH826" t="s">
        <v>74</v>
      </c>
      <c r="BI826">
        <v>19</v>
      </c>
      <c r="BJ826" t="s">
        <v>10400</v>
      </c>
      <c r="BK826" t="s">
        <v>250</v>
      </c>
      <c r="BL826" t="s">
        <v>251</v>
      </c>
      <c r="BM826" t="s">
        <v>16307</v>
      </c>
      <c r="BN826" t="s">
        <v>74</v>
      </c>
      <c r="BO826" t="s">
        <v>74</v>
      </c>
      <c r="BP826" t="s">
        <v>74</v>
      </c>
      <c r="BQ826" t="s">
        <v>74</v>
      </c>
      <c r="BR826" t="s">
        <v>106</v>
      </c>
      <c r="BS826" t="s">
        <v>16308</v>
      </c>
      <c r="BT826" t="str">
        <f>HYPERLINK("https%3A%2F%2Fwww.webofscience.com%2Fwos%2Fwoscc%2Ffull-record%2FWOS:000166486500005","View Full Record in Web of Science")</f>
        <v>View Full Record in Web of Science</v>
      </c>
    </row>
    <row r="827" spans="1:72" x14ac:dyDescent="0.25">
      <c r="A827" t="s">
        <v>72</v>
      </c>
      <c r="B827" t="s">
        <v>9565</v>
      </c>
      <c r="C827" t="s">
        <v>74</v>
      </c>
      <c r="D827" t="s">
        <v>74</v>
      </c>
      <c r="E827" t="s">
        <v>74</v>
      </c>
      <c r="F827" t="s">
        <v>16309</v>
      </c>
      <c r="G827" t="s">
        <v>74</v>
      </c>
      <c r="H827" t="s">
        <v>74</v>
      </c>
      <c r="I827" t="s">
        <v>16310</v>
      </c>
      <c r="J827" t="s">
        <v>3240</v>
      </c>
      <c r="K827" t="s">
        <v>74</v>
      </c>
      <c r="L827" t="s">
        <v>74</v>
      </c>
      <c r="M827" t="s">
        <v>78</v>
      </c>
      <c r="N827" t="s">
        <v>79</v>
      </c>
      <c r="O827" t="s">
        <v>74</v>
      </c>
      <c r="P827" t="s">
        <v>74</v>
      </c>
      <c r="Q827" t="s">
        <v>74</v>
      </c>
      <c r="R827" t="s">
        <v>74</v>
      </c>
      <c r="S827" t="s">
        <v>74</v>
      </c>
      <c r="T827" t="s">
        <v>16311</v>
      </c>
      <c r="U827" t="s">
        <v>16312</v>
      </c>
      <c r="V827" t="s">
        <v>16313</v>
      </c>
      <c r="W827" t="s">
        <v>16314</v>
      </c>
      <c r="X827" t="s">
        <v>9571</v>
      </c>
      <c r="Y827" t="s">
        <v>9572</v>
      </c>
      <c r="Z827" t="s">
        <v>16315</v>
      </c>
      <c r="AA827" t="s">
        <v>74</v>
      </c>
      <c r="AB827" t="s">
        <v>16316</v>
      </c>
      <c r="AC827" t="s">
        <v>74</v>
      </c>
      <c r="AD827" t="s">
        <v>74</v>
      </c>
      <c r="AE827" t="s">
        <v>74</v>
      </c>
      <c r="AF827" t="s">
        <v>74</v>
      </c>
      <c r="AG827">
        <v>61</v>
      </c>
      <c r="AH827">
        <v>2</v>
      </c>
      <c r="AI827">
        <v>2</v>
      </c>
      <c r="AJ827">
        <v>0</v>
      </c>
      <c r="AK827">
        <v>19</v>
      </c>
      <c r="AL827" t="s">
        <v>362</v>
      </c>
      <c r="AM827" t="s">
        <v>363</v>
      </c>
      <c r="AN827" t="s">
        <v>364</v>
      </c>
      <c r="AO827" t="s">
        <v>3252</v>
      </c>
      <c r="AP827" t="s">
        <v>3253</v>
      </c>
      <c r="AQ827" t="s">
        <v>74</v>
      </c>
      <c r="AR827" t="s">
        <v>3254</v>
      </c>
      <c r="AS827" t="s">
        <v>3255</v>
      </c>
      <c r="AT827" t="s">
        <v>16317</v>
      </c>
      <c r="AU827">
        <v>2021</v>
      </c>
      <c r="AV827">
        <v>228</v>
      </c>
      <c r="AW827" t="s">
        <v>74</v>
      </c>
      <c r="AX827" t="s">
        <v>74</v>
      </c>
      <c r="AY827" t="s">
        <v>74</v>
      </c>
      <c r="AZ827" t="s">
        <v>74</v>
      </c>
      <c r="BA827" t="s">
        <v>74</v>
      </c>
      <c r="BB827" t="s">
        <v>74</v>
      </c>
      <c r="BC827" t="s">
        <v>74</v>
      </c>
      <c r="BD827">
        <v>107249</v>
      </c>
      <c r="BE827" t="s">
        <v>16318</v>
      </c>
      <c r="BF827" t="str">
        <f>HYPERLINK("http://dx.doi.org/10.1016/j.knosys.2021.107249","http://dx.doi.org/10.1016/j.knosys.2021.107249")</f>
        <v>http://dx.doi.org/10.1016/j.knosys.2021.107249</v>
      </c>
      <c r="BG827" t="s">
        <v>74</v>
      </c>
      <c r="BH827" t="s">
        <v>4130</v>
      </c>
      <c r="BI827">
        <v>21</v>
      </c>
      <c r="BJ827" t="s">
        <v>807</v>
      </c>
      <c r="BK827" t="s">
        <v>745</v>
      </c>
      <c r="BL827" t="s">
        <v>103</v>
      </c>
      <c r="BM827" t="s">
        <v>16319</v>
      </c>
      <c r="BN827" t="s">
        <v>74</v>
      </c>
      <c r="BO827" t="s">
        <v>74</v>
      </c>
      <c r="BP827" t="s">
        <v>74</v>
      </c>
      <c r="BQ827" t="s">
        <v>74</v>
      </c>
      <c r="BR827" t="s">
        <v>106</v>
      </c>
      <c r="BS827" t="s">
        <v>16320</v>
      </c>
      <c r="BT827" t="str">
        <f>HYPERLINK("https%3A%2F%2Fwww.webofscience.com%2Fwos%2Fwoscc%2Ffull-record%2FWOS:000685995700004","View Full Record in Web of Science")</f>
        <v>View Full Record in Web of Science</v>
      </c>
    </row>
    <row r="828" spans="1:72" x14ac:dyDescent="0.25">
      <c r="A828" t="s">
        <v>108</v>
      </c>
      <c r="B828" t="s">
        <v>16321</v>
      </c>
      <c r="C828" t="s">
        <v>74</v>
      </c>
      <c r="D828" t="s">
        <v>16322</v>
      </c>
      <c r="E828" t="s">
        <v>74</v>
      </c>
      <c r="F828" t="s">
        <v>16323</v>
      </c>
      <c r="G828" t="s">
        <v>74</v>
      </c>
      <c r="H828" t="s">
        <v>74</v>
      </c>
      <c r="I828" t="s">
        <v>16324</v>
      </c>
      <c r="J828" t="s">
        <v>16325</v>
      </c>
      <c r="K828" t="s">
        <v>2682</v>
      </c>
      <c r="L828" t="s">
        <v>74</v>
      </c>
      <c r="M828" t="s">
        <v>78</v>
      </c>
      <c r="N828" t="s">
        <v>115</v>
      </c>
      <c r="O828" t="s">
        <v>16326</v>
      </c>
      <c r="P828" t="s">
        <v>16327</v>
      </c>
      <c r="Q828" t="s">
        <v>16328</v>
      </c>
      <c r="R828" t="s">
        <v>16329</v>
      </c>
      <c r="S828" t="s">
        <v>74</v>
      </c>
      <c r="T828" t="s">
        <v>16330</v>
      </c>
      <c r="U828" t="s">
        <v>74</v>
      </c>
      <c r="V828" t="s">
        <v>16331</v>
      </c>
      <c r="W828" t="s">
        <v>16332</v>
      </c>
      <c r="X828" t="s">
        <v>74</v>
      </c>
      <c r="Y828" t="s">
        <v>16333</v>
      </c>
      <c r="Z828" t="s">
        <v>74</v>
      </c>
      <c r="AA828" t="s">
        <v>16334</v>
      </c>
      <c r="AB828" t="s">
        <v>16335</v>
      </c>
      <c r="AC828" t="s">
        <v>74</v>
      </c>
      <c r="AD828" t="s">
        <v>74</v>
      </c>
      <c r="AE828" t="s">
        <v>74</v>
      </c>
      <c r="AF828" t="s">
        <v>74</v>
      </c>
      <c r="AG828">
        <v>17</v>
      </c>
      <c r="AH828">
        <v>3</v>
      </c>
      <c r="AI828">
        <v>4</v>
      </c>
      <c r="AJ828">
        <v>0</v>
      </c>
      <c r="AK828">
        <v>1</v>
      </c>
      <c r="AL828" t="s">
        <v>2695</v>
      </c>
      <c r="AM828" t="s">
        <v>363</v>
      </c>
      <c r="AN828" t="s">
        <v>2696</v>
      </c>
      <c r="AO828" t="s">
        <v>2697</v>
      </c>
      <c r="AP828" t="s">
        <v>74</v>
      </c>
      <c r="AQ828" t="s">
        <v>74</v>
      </c>
      <c r="AR828" t="s">
        <v>2698</v>
      </c>
      <c r="AS828" t="s">
        <v>74</v>
      </c>
      <c r="AT828" t="s">
        <v>74</v>
      </c>
      <c r="AU828">
        <v>2016</v>
      </c>
      <c r="AV828">
        <v>79</v>
      </c>
      <c r="AW828" t="s">
        <v>74</v>
      </c>
      <c r="AX828" t="s">
        <v>74</v>
      </c>
      <c r="AY828" t="s">
        <v>74</v>
      </c>
      <c r="AZ828" t="s">
        <v>74</v>
      </c>
      <c r="BA828" t="s">
        <v>74</v>
      </c>
      <c r="BB828">
        <v>53</v>
      </c>
      <c r="BC828">
        <v>60</v>
      </c>
      <c r="BD828" t="s">
        <v>74</v>
      </c>
      <c r="BE828" t="s">
        <v>16336</v>
      </c>
      <c r="BF828" t="str">
        <f>HYPERLINK("http://dx.doi.org/10.1016/j.procs.2016.03.008","http://dx.doi.org/10.1016/j.procs.2016.03.008")</f>
        <v>http://dx.doi.org/10.1016/j.procs.2016.03.008</v>
      </c>
      <c r="BG828" t="s">
        <v>74</v>
      </c>
      <c r="BH828" t="s">
        <v>74</v>
      </c>
      <c r="BI828">
        <v>8</v>
      </c>
      <c r="BJ828" t="s">
        <v>925</v>
      </c>
      <c r="BK828" t="s">
        <v>203</v>
      </c>
      <c r="BL828" t="s">
        <v>103</v>
      </c>
      <c r="BM828" t="s">
        <v>16337</v>
      </c>
      <c r="BN828" t="s">
        <v>74</v>
      </c>
      <c r="BO828" t="s">
        <v>372</v>
      </c>
      <c r="BP828" t="s">
        <v>74</v>
      </c>
      <c r="BQ828" t="s">
        <v>74</v>
      </c>
      <c r="BR828" t="s">
        <v>106</v>
      </c>
      <c r="BS828" t="s">
        <v>16338</v>
      </c>
      <c r="BT828" t="str">
        <f>HYPERLINK("https%3A%2F%2Fwww.webofscience.com%2Fwos%2Fwoscc%2Ffull-record%2FWOS:000375222800007","View Full Record in Web of Science")</f>
        <v>View Full Record in Web of Science</v>
      </c>
    </row>
    <row r="829" spans="1:72" x14ac:dyDescent="0.25">
      <c r="A829" t="s">
        <v>108</v>
      </c>
      <c r="B829" t="s">
        <v>16339</v>
      </c>
      <c r="C829" t="s">
        <v>74</v>
      </c>
      <c r="D829" t="s">
        <v>74</v>
      </c>
      <c r="E829" t="s">
        <v>16340</v>
      </c>
      <c r="F829" t="s">
        <v>16341</v>
      </c>
      <c r="G829" t="s">
        <v>74</v>
      </c>
      <c r="H829" t="s">
        <v>74</v>
      </c>
      <c r="I829" t="s">
        <v>16342</v>
      </c>
      <c r="J829" t="s">
        <v>16343</v>
      </c>
      <c r="K829" t="s">
        <v>74</v>
      </c>
      <c r="L829" t="s">
        <v>74</v>
      </c>
      <c r="M829" t="s">
        <v>78</v>
      </c>
      <c r="N829" t="s">
        <v>115</v>
      </c>
      <c r="O829" t="s">
        <v>16344</v>
      </c>
      <c r="P829" t="s">
        <v>11290</v>
      </c>
      <c r="Q829" t="s">
        <v>424</v>
      </c>
      <c r="R829" t="s">
        <v>16345</v>
      </c>
      <c r="S829" t="s">
        <v>74</v>
      </c>
      <c r="T829" t="s">
        <v>16346</v>
      </c>
      <c r="U829" t="s">
        <v>74</v>
      </c>
      <c r="V829" t="s">
        <v>16347</v>
      </c>
      <c r="W829" t="s">
        <v>16348</v>
      </c>
      <c r="X829" t="s">
        <v>16349</v>
      </c>
      <c r="Y829" t="s">
        <v>16350</v>
      </c>
      <c r="Z829" t="s">
        <v>16351</v>
      </c>
      <c r="AA829" t="s">
        <v>16352</v>
      </c>
      <c r="AB829" t="s">
        <v>16353</v>
      </c>
      <c r="AC829" t="s">
        <v>16354</v>
      </c>
      <c r="AD829" t="s">
        <v>16355</v>
      </c>
      <c r="AE829" t="s">
        <v>16356</v>
      </c>
      <c r="AF829" t="s">
        <v>74</v>
      </c>
      <c r="AG829">
        <v>48</v>
      </c>
      <c r="AH829">
        <v>28</v>
      </c>
      <c r="AI829">
        <v>34</v>
      </c>
      <c r="AJ829">
        <v>0</v>
      </c>
      <c r="AK829">
        <v>3</v>
      </c>
      <c r="AL829" t="s">
        <v>291</v>
      </c>
      <c r="AM829" t="s">
        <v>92</v>
      </c>
      <c r="AN829" t="s">
        <v>292</v>
      </c>
      <c r="AO829" t="s">
        <v>74</v>
      </c>
      <c r="AP829" t="s">
        <v>74</v>
      </c>
      <c r="AQ829" t="s">
        <v>16357</v>
      </c>
      <c r="AR829" t="s">
        <v>74</v>
      </c>
      <c r="AS829" t="s">
        <v>74</v>
      </c>
      <c r="AT829" t="s">
        <v>74</v>
      </c>
      <c r="AU829">
        <v>2015</v>
      </c>
      <c r="AV829" t="s">
        <v>74</v>
      </c>
      <c r="AW829" t="s">
        <v>74</v>
      </c>
      <c r="AX829" t="s">
        <v>74</v>
      </c>
      <c r="AY829" t="s">
        <v>74</v>
      </c>
      <c r="AZ829" t="s">
        <v>74</v>
      </c>
      <c r="BA829" t="s">
        <v>74</v>
      </c>
      <c r="BB829">
        <v>1761</v>
      </c>
      <c r="BC829">
        <v>1775</v>
      </c>
      <c r="BD829" t="s">
        <v>74</v>
      </c>
      <c r="BE829" t="s">
        <v>16358</v>
      </c>
      <c r="BF829" t="str">
        <f>HYPERLINK("http://dx.doi.org/10.1145/2723372.2751522","http://dx.doi.org/10.1145/2723372.2751522")</f>
        <v>http://dx.doi.org/10.1145/2723372.2751522</v>
      </c>
      <c r="BG829" t="s">
        <v>74</v>
      </c>
      <c r="BH829" t="s">
        <v>74</v>
      </c>
      <c r="BI829">
        <v>15</v>
      </c>
      <c r="BJ829" t="s">
        <v>852</v>
      </c>
      <c r="BK829" t="s">
        <v>203</v>
      </c>
      <c r="BL829" t="s">
        <v>103</v>
      </c>
      <c r="BM829" t="s">
        <v>16359</v>
      </c>
      <c r="BN829" t="s">
        <v>74</v>
      </c>
      <c r="BO829" t="s">
        <v>74</v>
      </c>
      <c r="BP829" t="s">
        <v>74</v>
      </c>
      <c r="BQ829" t="s">
        <v>74</v>
      </c>
      <c r="BR829" t="s">
        <v>106</v>
      </c>
      <c r="BS829" t="s">
        <v>16360</v>
      </c>
      <c r="BT829" t="str">
        <f>HYPERLINK("https%3A%2F%2Fwww.webofscience.com%2Fwos%2Fwoscc%2Ffull-record%2FWOS:000452535700141","View Full Record in Web of Science")</f>
        <v>View Full Record in Web of Science</v>
      </c>
    </row>
    <row r="830" spans="1:72" x14ac:dyDescent="0.25">
      <c r="A830" t="s">
        <v>108</v>
      </c>
      <c r="B830" t="s">
        <v>16361</v>
      </c>
      <c r="C830" t="s">
        <v>74</v>
      </c>
      <c r="D830" t="s">
        <v>74</v>
      </c>
      <c r="E830" t="s">
        <v>322</v>
      </c>
      <c r="F830" t="s">
        <v>16362</v>
      </c>
      <c r="G830" t="s">
        <v>74</v>
      </c>
      <c r="H830" t="s">
        <v>74</v>
      </c>
      <c r="I830" t="s">
        <v>16363</v>
      </c>
      <c r="J830" t="s">
        <v>16364</v>
      </c>
      <c r="K830" t="s">
        <v>74</v>
      </c>
      <c r="L830" t="s">
        <v>74</v>
      </c>
      <c r="M830" t="s">
        <v>78</v>
      </c>
      <c r="N830" t="s">
        <v>115</v>
      </c>
      <c r="O830" t="s">
        <v>16365</v>
      </c>
      <c r="P830" t="s">
        <v>16366</v>
      </c>
      <c r="Q830" t="s">
        <v>5512</v>
      </c>
      <c r="R830" t="s">
        <v>322</v>
      </c>
      <c r="S830" t="s">
        <v>74</v>
      </c>
      <c r="T830" t="s">
        <v>16367</v>
      </c>
      <c r="U830" t="s">
        <v>74</v>
      </c>
      <c r="V830" t="s">
        <v>16368</v>
      </c>
      <c r="W830" t="s">
        <v>16369</v>
      </c>
      <c r="X830" t="s">
        <v>16370</v>
      </c>
      <c r="Y830" t="s">
        <v>16371</v>
      </c>
      <c r="Z830" t="s">
        <v>16372</v>
      </c>
      <c r="AA830" t="s">
        <v>74</v>
      </c>
      <c r="AB830" t="s">
        <v>16373</v>
      </c>
      <c r="AC830" t="s">
        <v>74</v>
      </c>
      <c r="AD830" t="s">
        <v>74</v>
      </c>
      <c r="AE830" t="s">
        <v>74</v>
      </c>
      <c r="AF830" t="s">
        <v>74</v>
      </c>
      <c r="AG830">
        <v>3</v>
      </c>
      <c r="AH830">
        <v>1</v>
      </c>
      <c r="AI830">
        <v>3</v>
      </c>
      <c r="AJ830">
        <v>0</v>
      </c>
      <c r="AK830">
        <v>3</v>
      </c>
      <c r="AL830" t="s">
        <v>291</v>
      </c>
      <c r="AM830" t="s">
        <v>92</v>
      </c>
      <c r="AN830" t="s">
        <v>292</v>
      </c>
      <c r="AO830" t="s">
        <v>74</v>
      </c>
      <c r="AP830" t="s">
        <v>74</v>
      </c>
      <c r="AQ830" t="s">
        <v>16374</v>
      </c>
      <c r="AR830" t="s">
        <v>74</v>
      </c>
      <c r="AS830" t="s">
        <v>74</v>
      </c>
      <c r="AT830" t="s">
        <v>74</v>
      </c>
      <c r="AU830">
        <v>2010</v>
      </c>
      <c r="AV830" t="s">
        <v>74</v>
      </c>
      <c r="AW830" t="s">
        <v>74</v>
      </c>
      <c r="AX830" t="s">
        <v>74</v>
      </c>
      <c r="AY830" t="s">
        <v>74</v>
      </c>
      <c r="AZ830" t="s">
        <v>74</v>
      </c>
      <c r="BA830" t="s">
        <v>74</v>
      </c>
      <c r="BB830">
        <v>67</v>
      </c>
      <c r="BC830">
        <v>72</v>
      </c>
      <c r="BD830" t="s">
        <v>74</v>
      </c>
      <c r="BE830" t="s">
        <v>16375</v>
      </c>
      <c r="BF830" t="str">
        <f>HYPERLINK("http://dx.doi.org/10.1145/1900008.1900028","http://dx.doi.org/10.1145/1900008.1900028")</f>
        <v>http://dx.doi.org/10.1145/1900008.1900028</v>
      </c>
      <c r="BG830" t="s">
        <v>74</v>
      </c>
      <c r="BH830" t="s">
        <v>74</v>
      </c>
      <c r="BI830">
        <v>6</v>
      </c>
      <c r="BJ830" t="s">
        <v>972</v>
      </c>
      <c r="BK830" t="s">
        <v>203</v>
      </c>
      <c r="BL830" t="s">
        <v>953</v>
      </c>
      <c r="BM830" t="s">
        <v>16376</v>
      </c>
      <c r="BN830" t="s">
        <v>74</v>
      </c>
      <c r="BO830" t="s">
        <v>74</v>
      </c>
      <c r="BP830" t="s">
        <v>74</v>
      </c>
      <c r="BQ830" t="s">
        <v>74</v>
      </c>
      <c r="BR830" t="s">
        <v>106</v>
      </c>
      <c r="BS830" t="s">
        <v>16377</v>
      </c>
      <c r="BT830" t="str">
        <f>HYPERLINK("https%3A%2F%2Fwww.webofscience.com%2Fwos%2Fwoscc%2Ffull-record%2FWOS:000395862200013","View Full Record in Web of Science")</f>
        <v>View Full Record in Web of Science</v>
      </c>
    </row>
    <row r="831" spans="1:72" x14ac:dyDescent="0.25">
      <c r="A831" t="s">
        <v>72</v>
      </c>
      <c r="B831" t="s">
        <v>16378</v>
      </c>
      <c r="C831" t="s">
        <v>74</v>
      </c>
      <c r="D831" t="s">
        <v>74</v>
      </c>
      <c r="E831" t="s">
        <v>74</v>
      </c>
      <c r="F831" t="s">
        <v>16379</v>
      </c>
      <c r="G831" t="s">
        <v>74</v>
      </c>
      <c r="H831" t="s">
        <v>74</v>
      </c>
      <c r="I831" t="s">
        <v>16380</v>
      </c>
      <c r="J831" t="s">
        <v>5244</v>
      </c>
      <c r="K831" t="s">
        <v>74</v>
      </c>
      <c r="L831" t="s">
        <v>74</v>
      </c>
      <c r="M831" t="s">
        <v>78</v>
      </c>
      <c r="N831" t="s">
        <v>79</v>
      </c>
      <c r="O831" t="s">
        <v>74</v>
      </c>
      <c r="P831" t="s">
        <v>74</v>
      </c>
      <c r="Q831" t="s">
        <v>74</v>
      </c>
      <c r="R831" t="s">
        <v>74</v>
      </c>
      <c r="S831" t="s">
        <v>74</v>
      </c>
      <c r="T831" t="s">
        <v>16381</v>
      </c>
      <c r="U831" t="s">
        <v>74</v>
      </c>
      <c r="V831" t="s">
        <v>16382</v>
      </c>
      <c r="W831" t="s">
        <v>16383</v>
      </c>
      <c r="X831" t="s">
        <v>16384</v>
      </c>
      <c r="Y831" t="s">
        <v>16385</v>
      </c>
      <c r="Z831" t="s">
        <v>16386</v>
      </c>
      <c r="AA831" t="s">
        <v>74</v>
      </c>
      <c r="AB831" t="s">
        <v>16387</v>
      </c>
      <c r="AC831" t="s">
        <v>16388</v>
      </c>
      <c r="AD831" t="s">
        <v>16389</v>
      </c>
      <c r="AE831" t="s">
        <v>16390</v>
      </c>
      <c r="AF831" t="s">
        <v>74</v>
      </c>
      <c r="AG831">
        <v>33</v>
      </c>
      <c r="AH831">
        <v>5</v>
      </c>
      <c r="AI831">
        <v>5</v>
      </c>
      <c r="AJ831">
        <v>0</v>
      </c>
      <c r="AK831">
        <v>7</v>
      </c>
      <c r="AL831" t="s">
        <v>2946</v>
      </c>
      <c r="AM831" t="s">
        <v>2947</v>
      </c>
      <c r="AN831" t="s">
        <v>2948</v>
      </c>
      <c r="AO831" t="s">
        <v>5253</v>
      </c>
      <c r="AP831" t="s">
        <v>5254</v>
      </c>
      <c r="AQ831" t="s">
        <v>74</v>
      </c>
      <c r="AR831" t="s">
        <v>5255</v>
      </c>
      <c r="AS831" t="s">
        <v>5256</v>
      </c>
      <c r="AT831" t="s">
        <v>74</v>
      </c>
      <c r="AU831">
        <v>2016</v>
      </c>
      <c r="AV831">
        <v>12</v>
      </c>
      <c r="AW831">
        <v>3</v>
      </c>
      <c r="AX831" t="s">
        <v>74</v>
      </c>
      <c r="AY831" t="s">
        <v>74</v>
      </c>
      <c r="AZ831" t="s">
        <v>74</v>
      </c>
      <c r="BA831" t="s">
        <v>74</v>
      </c>
      <c r="BB831">
        <v>292</v>
      </c>
      <c r="BC831">
        <v>311</v>
      </c>
      <c r="BD831" t="s">
        <v>74</v>
      </c>
      <c r="BE831" t="s">
        <v>16391</v>
      </c>
      <c r="BF831" t="str">
        <f>HYPERLINK("http://dx.doi.org/10.1108/IJWIS-03-2016-0012","http://dx.doi.org/10.1108/IJWIS-03-2016-0012")</f>
        <v>http://dx.doi.org/10.1108/IJWIS-03-2016-0012</v>
      </c>
      <c r="BG831" t="s">
        <v>74</v>
      </c>
      <c r="BH831" t="s">
        <v>74</v>
      </c>
      <c r="BI831">
        <v>20</v>
      </c>
      <c r="BJ831" t="s">
        <v>852</v>
      </c>
      <c r="BK831" t="s">
        <v>102</v>
      </c>
      <c r="BL831" t="s">
        <v>103</v>
      </c>
      <c r="BM831" t="s">
        <v>16392</v>
      </c>
      <c r="BN831" t="s">
        <v>74</v>
      </c>
      <c r="BO831" t="s">
        <v>74</v>
      </c>
      <c r="BP831" t="s">
        <v>74</v>
      </c>
      <c r="BQ831" t="s">
        <v>74</v>
      </c>
      <c r="BR831" t="s">
        <v>106</v>
      </c>
      <c r="BS831" t="s">
        <v>16393</v>
      </c>
      <c r="BT831" t="str">
        <f>HYPERLINK("https%3A%2F%2Fwww.webofscience.com%2Fwos%2Fwoscc%2Ffull-record%2FWOS:000382554100003","View Full Record in Web of Science")</f>
        <v>View Full Record in Web of Science</v>
      </c>
    </row>
    <row r="832" spans="1:72" x14ac:dyDescent="0.25">
      <c r="A832" t="s">
        <v>108</v>
      </c>
      <c r="B832" t="s">
        <v>16394</v>
      </c>
      <c r="C832" t="s">
        <v>74</v>
      </c>
      <c r="D832" t="s">
        <v>74</v>
      </c>
      <c r="E832" t="s">
        <v>5505</v>
      </c>
      <c r="F832" t="s">
        <v>16395</v>
      </c>
      <c r="G832" t="s">
        <v>74</v>
      </c>
      <c r="H832" t="s">
        <v>74</v>
      </c>
      <c r="I832" t="s">
        <v>16396</v>
      </c>
      <c r="J832" t="s">
        <v>5508</v>
      </c>
      <c r="K832" t="s">
        <v>5509</v>
      </c>
      <c r="L832" t="s">
        <v>74</v>
      </c>
      <c r="M832" t="s">
        <v>78</v>
      </c>
      <c r="N832" t="s">
        <v>115</v>
      </c>
      <c r="O832" t="s">
        <v>5510</v>
      </c>
      <c r="P832" t="s">
        <v>5511</v>
      </c>
      <c r="Q832" t="s">
        <v>5512</v>
      </c>
      <c r="R832" t="s">
        <v>5505</v>
      </c>
      <c r="S832" t="s">
        <v>74</v>
      </c>
      <c r="T832" t="s">
        <v>74</v>
      </c>
      <c r="U832" t="s">
        <v>74</v>
      </c>
      <c r="V832" t="s">
        <v>16397</v>
      </c>
      <c r="W832" t="s">
        <v>16398</v>
      </c>
      <c r="X832" t="s">
        <v>16226</v>
      </c>
      <c r="Y832" t="s">
        <v>16399</v>
      </c>
      <c r="Z832" t="s">
        <v>16400</v>
      </c>
      <c r="AA832" t="s">
        <v>16401</v>
      </c>
      <c r="AB832" t="s">
        <v>74</v>
      </c>
      <c r="AC832" t="s">
        <v>16402</v>
      </c>
      <c r="AD832" t="s">
        <v>16403</v>
      </c>
      <c r="AE832" t="s">
        <v>16404</v>
      </c>
      <c r="AF832" t="s">
        <v>74</v>
      </c>
      <c r="AG832">
        <v>30</v>
      </c>
      <c r="AH832">
        <v>47</v>
      </c>
      <c r="AI832">
        <v>54</v>
      </c>
      <c r="AJ832">
        <v>0</v>
      </c>
      <c r="AK832">
        <v>2</v>
      </c>
      <c r="AL832" t="s">
        <v>5523</v>
      </c>
      <c r="AM832" t="s">
        <v>5524</v>
      </c>
      <c r="AN832" t="s">
        <v>5525</v>
      </c>
      <c r="AO832" t="s">
        <v>5526</v>
      </c>
      <c r="AP832" t="s">
        <v>5527</v>
      </c>
      <c r="AQ832" t="s">
        <v>5528</v>
      </c>
      <c r="AR832" t="s">
        <v>5529</v>
      </c>
      <c r="AS832" t="s">
        <v>74</v>
      </c>
      <c r="AT832" t="s">
        <v>74</v>
      </c>
      <c r="AU832">
        <v>2020</v>
      </c>
      <c r="AV832">
        <v>34</v>
      </c>
      <c r="AW832" t="s">
        <v>74</v>
      </c>
      <c r="AX832" t="s">
        <v>74</v>
      </c>
      <c r="AY832" t="s">
        <v>74</v>
      </c>
      <c r="AZ832" t="s">
        <v>74</v>
      </c>
      <c r="BA832" t="s">
        <v>74</v>
      </c>
      <c r="BB832">
        <v>9338</v>
      </c>
      <c r="BC832">
        <v>9345</v>
      </c>
      <c r="BD832" t="s">
        <v>74</v>
      </c>
      <c r="BE832" t="s">
        <v>74</v>
      </c>
      <c r="BF832" t="s">
        <v>74</v>
      </c>
      <c r="BG832" t="s">
        <v>74</v>
      </c>
      <c r="BH832" t="s">
        <v>74</v>
      </c>
      <c r="BI832">
        <v>8</v>
      </c>
      <c r="BJ832" t="s">
        <v>5530</v>
      </c>
      <c r="BK832" t="s">
        <v>203</v>
      </c>
      <c r="BL832" t="s">
        <v>139</v>
      </c>
      <c r="BM832" t="s">
        <v>5531</v>
      </c>
      <c r="BN832" t="s">
        <v>74</v>
      </c>
      <c r="BO832" t="s">
        <v>74</v>
      </c>
      <c r="BP832" t="s">
        <v>74</v>
      </c>
      <c r="BQ832" t="s">
        <v>74</v>
      </c>
      <c r="BR832" t="s">
        <v>106</v>
      </c>
      <c r="BS832" t="s">
        <v>16405</v>
      </c>
      <c r="BT832" t="str">
        <f>HYPERLINK("https%3A%2F%2Fwww.webofscience.com%2Fwos%2Fwoscc%2Ffull-record%2FWOS:000668126801096","View Full Record in Web of Science")</f>
        <v>View Full Record in Web of Science</v>
      </c>
    </row>
    <row r="833" spans="1:72" x14ac:dyDescent="0.25">
      <c r="A833" t="s">
        <v>108</v>
      </c>
      <c r="B833" t="s">
        <v>16406</v>
      </c>
      <c r="C833" t="s">
        <v>74</v>
      </c>
      <c r="D833" t="s">
        <v>16407</v>
      </c>
      <c r="E833" t="s">
        <v>74</v>
      </c>
      <c r="F833" t="s">
        <v>16408</v>
      </c>
      <c r="G833" t="s">
        <v>74</v>
      </c>
      <c r="H833" t="s">
        <v>74</v>
      </c>
      <c r="I833" t="s">
        <v>16409</v>
      </c>
      <c r="J833" t="s">
        <v>16410</v>
      </c>
      <c r="K833" t="s">
        <v>74</v>
      </c>
      <c r="L833" t="s">
        <v>74</v>
      </c>
      <c r="M833" t="s">
        <v>78</v>
      </c>
      <c r="N833" t="s">
        <v>115</v>
      </c>
      <c r="O833" t="s">
        <v>16411</v>
      </c>
      <c r="P833" t="s">
        <v>16412</v>
      </c>
      <c r="Q833" t="s">
        <v>16413</v>
      </c>
      <c r="R833" t="s">
        <v>16414</v>
      </c>
      <c r="S833" t="s">
        <v>16415</v>
      </c>
      <c r="T833" t="s">
        <v>16416</v>
      </c>
      <c r="U833" t="s">
        <v>74</v>
      </c>
      <c r="V833" t="s">
        <v>16417</v>
      </c>
      <c r="W833" t="s">
        <v>16418</v>
      </c>
      <c r="X833" t="s">
        <v>16419</v>
      </c>
      <c r="Y833" t="s">
        <v>16420</v>
      </c>
      <c r="Z833" t="s">
        <v>16421</v>
      </c>
      <c r="AA833" t="s">
        <v>74</v>
      </c>
      <c r="AB833" t="s">
        <v>74</v>
      </c>
      <c r="AC833" t="s">
        <v>74</v>
      </c>
      <c r="AD833" t="s">
        <v>74</v>
      </c>
      <c r="AE833" t="s">
        <v>74</v>
      </c>
      <c r="AF833" t="s">
        <v>74</v>
      </c>
      <c r="AG833">
        <v>20</v>
      </c>
      <c r="AH833">
        <v>12</v>
      </c>
      <c r="AI833">
        <v>14</v>
      </c>
      <c r="AJ833">
        <v>0</v>
      </c>
      <c r="AK833">
        <v>4</v>
      </c>
      <c r="AL833" t="s">
        <v>465</v>
      </c>
      <c r="AM833" t="s">
        <v>92</v>
      </c>
      <c r="AN833" t="s">
        <v>480</v>
      </c>
      <c r="AO833" t="s">
        <v>74</v>
      </c>
      <c r="AP833" t="s">
        <v>74</v>
      </c>
      <c r="AQ833" t="s">
        <v>16422</v>
      </c>
      <c r="AR833" t="s">
        <v>74</v>
      </c>
      <c r="AS833" t="s">
        <v>74</v>
      </c>
      <c r="AT833" t="s">
        <v>74</v>
      </c>
      <c r="AU833">
        <v>2014</v>
      </c>
      <c r="AV833" t="s">
        <v>74</v>
      </c>
      <c r="AW833" t="s">
        <v>74</v>
      </c>
      <c r="AX833" t="s">
        <v>74</v>
      </c>
      <c r="AY833" t="s">
        <v>74</v>
      </c>
      <c r="AZ833" t="s">
        <v>74</v>
      </c>
      <c r="BA833" t="s">
        <v>74</v>
      </c>
      <c r="BB833">
        <v>54</v>
      </c>
      <c r="BC833">
        <v>62</v>
      </c>
      <c r="BD833" t="s">
        <v>74</v>
      </c>
      <c r="BE833" t="s">
        <v>16423</v>
      </c>
      <c r="BF833" t="str">
        <f>HYPERLINK("http://dx.doi.org/10.1109/WI-IAT.2014.80","http://dx.doi.org/10.1109/WI-IAT.2014.80")</f>
        <v>http://dx.doi.org/10.1109/WI-IAT.2014.80</v>
      </c>
      <c r="BG833" t="s">
        <v>74</v>
      </c>
      <c r="BH833" t="s">
        <v>74</v>
      </c>
      <c r="BI833">
        <v>9</v>
      </c>
      <c r="BJ833" t="s">
        <v>202</v>
      </c>
      <c r="BK833" t="s">
        <v>203</v>
      </c>
      <c r="BL833" t="s">
        <v>103</v>
      </c>
      <c r="BM833" t="s">
        <v>16424</v>
      </c>
      <c r="BN833" t="s">
        <v>74</v>
      </c>
      <c r="BO833" t="s">
        <v>346</v>
      </c>
      <c r="BP833" t="s">
        <v>74</v>
      </c>
      <c r="BQ833" t="s">
        <v>74</v>
      </c>
      <c r="BR833" t="s">
        <v>106</v>
      </c>
      <c r="BS833" t="s">
        <v>16425</v>
      </c>
      <c r="BT833" t="str">
        <f>HYPERLINK("https%3A%2F%2Fwww.webofscience.com%2Fwos%2Fwoscc%2Ffull-record%2FWOS:000365543800008","View Full Record in Web of Science")</f>
        <v>View Full Record in Web of Science</v>
      </c>
    </row>
    <row r="834" spans="1:72" x14ac:dyDescent="0.25">
      <c r="A834" t="s">
        <v>72</v>
      </c>
      <c r="B834" t="s">
        <v>16426</v>
      </c>
      <c r="C834" t="s">
        <v>74</v>
      </c>
      <c r="D834" t="s">
        <v>74</v>
      </c>
      <c r="E834" t="s">
        <v>74</v>
      </c>
      <c r="F834" t="s">
        <v>16427</v>
      </c>
      <c r="G834" t="s">
        <v>74</v>
      </c>
      <c r="H834" t="s">
        <v>74</v>
      </c>
      <c r="I834" t="s">
        <v>16428</v>
      </c>
      <c r="J834" t="s">
        <v>14147</v>
      </c>
      <c r="K834" t="s">
        <v>74</v>
      </c>
      <c r="L834" t="s">
        <v>74</v>
      </c>
      <c r="M834" t="s">
        <v>78</v>
      </c>
      <c r="N834" t="s">
        <v>79</v>
      </c>
      <c r="O834" t="s">
        <v>74</v>
      </c>
      <c r="P834" t="s">
        <v>74</v>
      </c>
      <c r="Q834" t="s">
        <v>74</v>
      </c>
      <c r="R834" t="s">
        <v>74</v>
      </c>
      <c r="S834" t="s">
        <v>74</v>
      </c>
      <c r="T834" t="s">
        <v>16429</v>
      </c>
      <c r="U834" t="s">
        <v>1553</v>
      </c>
      <c r="V834" t="s">
        <v>16430</v>
      </c>
      <c r="W834" t="s">
        <v>16431</v>
      </c>
      <c r="X834" t="s">
        <v>16432</v>
      </c>
      <c r="Y834" t="s">
        <v>16433</v>
      </c>
      <c r="Z834" t="s">
        <v>16434</v>
      </c>
      <c r="AA834" t="s">
        <v>16435</v>
      </c>
      <c r="AB834" t="s">
        <v>16436</v>
      </c>
      <c r="AC834" t="s">
        <v>16437</v>
      </c>
      <c r="AD834" t="s">
        <v>16438</v>
      </c>
      <c r="AE834" t="s">
        <v>16439</v>
      </c>
      <c r="AF834" t="s">
        <v>74</v>
      </c>
      <c r="AG834">
        <v>66</v>
      </c>
      <c r="AH834">
        <v>4</v>
      </c>
      <c r="AI834">
        <v>4</v>
      </c>
      <c r="AJ834">
        <v>7</v>
      </c>
      <c r="AK834">
        <v>29</v>
      </c>
      <c r="AL834" t="s">
        <v>14158</v>
      </c>
      <c r="AM834" t="s">
        <v>198</v>
      </c>
      <c r="AN834" t="s">
        <v>14159</v>
      </c>
      <c r="AO834" t="s">
        <v>14160</v>
      </c>
      <c r="AP834" t="s">
        <v>74</v>
      </c>
      <c r="AQ834" t="s">
        <v>74</v>
      </c>
      <c r="AR834" t="s">
        <v>14161</v>
      </c>
      <c r="AS834" t="s">
        <v>14162</v>
      </c>
      <c r="AT834" t="s">
        <v>16440</v>
      </c>
      <c r="AU834">
        <v>2025</v>
      </c>
      <c r="AV834">
        <v>15</v>
      </c>
      <c r="AW834">
        <v>1</v>
      </c>
      <c r="AX834" t="s">
        <v>74</v>
      </c>
      <c r="AY834" t="s">
        <v>74</v>
      </c>
      <c r="AZ834" t="s">
        <v>74</v>
      </c>
      <c r="BA834" t="s">
        <v>74</v>
      </c>
      <c r="BB834" t="s">
        <v>74</v>
      </c>
      <c r="BC834" t="s">
        <v>74</v>
      </c>
      <c r="BD834">
        <v>10370</v>
      </c>
      <c r="BE834" t="s">
        <v>16441</v>
      </c>
      <c r="BF834" t="str">
        <f>HYPERLINK("http://dx.doi.org/10.1038/s41598-025-95294-2","http://dx.doi.org/10.1038/s41598-025-95294-2")</f>
        <v>http://dx.doi.org/10.1038/s41598-025-95294-2</v>
      </c>
      <c r="BG834" t="s">
        <v>74</v>
      </c>
      <c r="BH834" t="s">
        <v>74</v>
      </c>
      <c r="BI834">
        <v>13</v>
      </c>
      <c r="BJ834" t="s">
        <v>5861</v>
      </c>
      <c r="BK834" t="s">
        <v>902</v>
      </c>
      <c r="BL834" t="s">
        <v>5862</v>
      </c>
      <c r="BM834" t="s">
        <v>16442</v>
      </c>
      <c r="BN834">
        <v>40140502</v>
      </c>
      <c r="BO834" t="s">
        <v>398</v>
      </c>
      <c r="BP834" t="s">
        <v>74</v>
      </c>
      <c r="BQ834" t="s">
        <v>74</v>
      </c>
      <c r="BR834" t="s">
        <v>106</v>
      </c>
      <c r="BS834" t="s">
        <v>16443</v>
      </c>
      <c r="BT834" t="str">
        <f>HYPERLINK("https%3A%2F%2Fwww.webofscience.com%2Fwos%2Fwoscc%2Ffull-record%2FWOS:001454462300022","View Full Record in Web of Science")</f>
        <v>View Full Record in Web of Science</v>
      </c>
    </row>
    <row r="835" spans="1:72" x14ac:dyDescent="0.25">
      <c r="A835" t="s">
        <v>108</v>
      </c>
      <c r="B835" t="s">
        <v>16444</v>
      </c>
      <c r="C835" t="s">
        <v>74</v>
      </c>
      <c r="D835" t="s">
        <v>74</v>
      </c>
      <c r="E835" t="s">
        <v>465</v>
      </c>
      <c r="F835" t="s">
        <v>16445</v>
      </c>
      <c r="G835" t="s">
        <v>74</v>
      </c>
      <c r="H835" t="s">
        <v>74</v>
      </c>
      <c r="I835" t="s">
        <v>16446</v>
      </c>
      <c r="J835" t="s">
        <v>16447</v>
      </c>
      <c r="K835" t="s">
        <v>74</v>
      </c>
      <c r="L835" t="s">
        <v>74</v>
      </c>
      <c r="M835" t="s">
        <v>78</v>
      </c>
      <c r="N835" t="s">
        <v>115</v>
      </c>
      <c r="O835" t="s">
        <v>16448</v>
      </c>
      <c r="P835" t="s">
        <v>16449</v>
      </c>
      <c r="Q835" t="s">
        <v>16450</v>
      </c>
      <c r="R835" t="s">
        <v>1748</v>
      </c>
      <c r="S835" t="s">
        <v>74</v>
      </c>
      <c r="T835" t="s">
        <v>16451</v>
      </c>
      <c r="U835" t="s">
        <v>74</v>
      </c>
      <c r="V835" t="s">
        <v>16452</v>
      </c>
      <c r="W835" t="s">
        <v>16453</v>
      </c>
      <c r="X835" t="s">
        <v>16454</v>
      </c>
      <c r="Y835" t="s">
        <v>16455</v>
      </c>
      <c r="Z835" t="s">
        <v>16456</v>
      </c>
      <c r="AA835" t="s">
        <v>74</v>
      </c>
      <c r="AB835" t="s">
        <v>74</v>
      </c>
      <c r="AC835" t="s">
        <v>74</v>
      </c>
      <c r="AD835" t="s">
        <v>74</v>
      </c>
      <c r="AE835" t="s">
        <v>74</v>
      </c>
      <c r="AF835" t="s">
        <v>74</v>
      </c>
      <c r="AG835">
        <v>13</v>
      </c>
      <c r="AH835">
        <v>1</v>
      </c>
      <c r="AI835">
        <v>2</v>
      </c>
      <c r="AJ835">
        <v>0</v>
      </c>
      <c r="AK835">
        <v>5</v>
      </c>
      <c r="AL835" t="s">
        <v>947</v>
      </c>
      <c r="AM835" t="s">
        <v>948</v>
      </c>
      <c r="AN835" t="s">
        <v>949</v>
      </c>
      <c r="AO835" t="s">
        <v>74</v>
      </c>
      <c r="AP835" t="s">
        <v>74</v>
      </c>
      <c r="AQ835" t="s">
        <v>16457</v>
      </c>
      <c r="AR835" t="s">
        <v>74</v>
      </c>
      <c r="AS835" t="s">
        <v>74</v>
      </c>
      <c r="AT835" t="s">
        <v>74</v>
      </c>
      <c r="AU835">
        <v>2018</v>
      </c>
      <c r="AV835" t="s">
        <v>74</v>
      </c>
      <c r="AW835" t="s">
        <v>74</v>
      </c>
      <c r="AX835" t="s">
        <v>74</v>
      </c>
      <c r="AY835" t="s">
        <v>74</v>
      </c>
      <c r="AZ835" t="s">
        <v>74</v>
      </c>
      <c r="BA835" t="s">
        <v>74</v>
      </c>
      <c r="BB835">
        <v>72</v>
      </c>
      <c r="BC835">
        <v>79</v>
      </c>
      <c r="BD835" t="s">
        <v>74</v>
      </c>
      <c r="BE835" t="s">
        <v>16458</v>
      </c>
      <c r="BF835" t="str">
        <f>HYPERLINK("http://dx.doi.org/10.1109/BigDataService.2018.00019","http://dx.doi.org/10.1109/BigDataService.2018.00019")</f>
        <v>http://dx.doi.org/10.1109/BigDataService.2018.00019</v>
      </c>
      <c r="BG835" t="s">
        <v>74</v>
      </c>
      <c r="BH835" t="s">
        <v>74</v>
      </c>
      <c r="BI835">
        <v>8</v>
      </c>
      <c r="BJ835" t="s">
        <v>2902</v>
      </c>
      <c r="BK835" t="s">
        <v>203</v>
      </c>
      <c r="BL835" t="s">
        <v>103</v>
      </c>
      <c r="BM835" t="s">
        <v>16459</v>
      </c>
      <c r="BN835" t="s">
        <v>74</v>
      </c>
      <c r="BO835" t="s">
        <v>74</v>
      </c>
      <c r="BP835" t="s">
        <v>74</v>
      </c>
      <c r="BQ835" t="s">
        <v>74</v>
      </c>
      <c r="BR835" t="s">
        <v>106</v>
      </c>
      <c r="BS835" t="s">
        <v>16460</v>
      </c>
      <c r="BT835" t="str">
        <f>HYPERLINK("https%3A%2F%2Fwww.webofscience.com%2Fwos%2Fwoscc%2Ffull-record%2FWOS:000593974100010","View Full Record in Web of Science")</f>
        <v>View Full Record in Web of Science</v>
      </c>
    </row>
    <row r="836" spans="1:72" x14ac:dyDescent="0.25">
      <c r="A836" t="s">
        <v>108</v>
      </c>
      <c r="B836" t="s">
        <v>16461</v>
      </c>
      <c r="C836" t="s">
        <v>74</v>
      </c>
      <c r="D836" t="s">
        <v>16462</v>
      </c>
      <c r="E836" t="s">
        <v>74</v>
      </c>
      <c r="F836" t="s">
        <v>16463</v>
      </c>
      <c r="G836" t="s">
        <v>74</v>
      </c>
      <c r="H836" t="s">
        <v>74</v>
      </c>
      <c r="I836" t="s">
        <v>16464</v>
      </c>
      <c r="J836" t="s">
        <v>16465</v>
      </c>
      <c r="K836" t="s">
        <v>147</v>
      </c>
      <c r="L836" t="s">
        <v>74</v>
      </c>
      <c r="M836" t="s">
        <v>78</v>
      </c>
      <c r="N836" t="s">
        <v>115</v>
      </c>
      <c r="O836" t="s">
        <v>16466</v>
      </c>
      <c r="P836" t="s">
        <v>16467</v>
      </c>
      <c r="Q836" t="s">
        <v>14235</v>
      </c>
      <c r="R836" t="s">
        <v>74</v>
      </c>
      <c r="S836" t="s">
        <v>74</v>
      </c>
      <c r="T836" t="s">
        <v>16468</v>
      </c>
      <c r="U836" t="s">
        <v>74</v>
      </c>
      <c r="V836" t="s">
        <v>16469</v>
      </c>
      <c r="W836" t="s">
        <v>16470</v>
      </c>
      <c r="X836" t="s">
        <v>16471</v>
      </c>
      <c r="Y836" t="s">
        <v>16472</v>
      </c>
      <c r="Z836" t="s">
        <v>16473</v>
      </c>
      <c r="AA836" t="s">
        <v>74</v>
      </c>
      <c r="AB836" t="s">
        <v>74</v>
      </c>
      <c r="AC836" t="s">
        <v>74</v>
      </c>
      <c r="AD836" t="s">
        <v>74</v>
      </c>
      <c r="AE836" t="s">
        <v>74</v>
      </c>
      <c r="AF836" t="s">
        <v>74</v>
      </c>
      <c r="AG836">
        <v>29</v>
      </c>
      <c r="AH836">
        <v>5</v>
      </c>
      <c r="AI836">
        <v>6</v>
      </c>
      <c r="AJ836">
        <v>0</v>
      </c>
      <c r="AK836">
        <v>1</v>
      </c>
      <c r="AL836" t="s">
        <v>197</v>
      </c>
      <c r="AM836" t="s">
        <v>198</v>
      </c>
      <c r="AN836" t="s">
        <v>199</v>
      </c>
      <c r="AO836" t="s">
        <v>159</v>
      </c>
      <c r="AP836" t="s">
        <v>133</v>
      </c>
      <c r="AQ836" t="s">
        <v>16474</v>
      </c>
      <c r="AR836" t="s">
        <v>161</v>
      </c>
      <c r="AS836" t="s">
        <v>74</v>
      </c>
      <c r="AT836" t="s">
        <v>74</v>
      </c>
      <c r="AU836">
        <v>2007</v>
      </c>
      <c r="AV836">
        <v>4469</v>
      </c>
      <c r="AW836" t="s">
        <v>74</v>
      </c>
      <c r="AX836" t="s">
        <v>74</v>
      </c>
      <c r="AY836" t="s">
        <v>74</v>
      </c>
      <c r="AZ836" t="s">
        <v>74</v>
      </c>
      <c r="BA836" t="s">
        <v>74</v>
      </c>
      <c r="BB836">
        <v>324</v>
      </c>
      <c r="BC836" t="s">
        <v>5459</v>
      </c>
      <c r="BD836" t="s">
        <v>74</v>
      </c>
      <c r="BE836" t="s">
        <v>74</v>
      </c>
      <c r="BF836" t="s">
        <v>74</v>
      </c>
      <c r="BG836" t="s">
        <v>74</v>
      </c>
      <c r="BH836" t="s">
        <v>74</v>
      </c>
      <c r="BI836">
        <v>3</v>
      </c>
      <c r="BJ836" t="s">
        <v>16475</v>
      </c>
      <c r="BK836" t="s">
        <v>203</v>
      </c>
      <c r="BL836" t="s">
        <v>876</v>
      </c>
      <c r="BM836" t="s">
        <v>16476</v>
      </c>
      <c r="BN836" t="s">
        <v>74</v>
      </c>
      <c r="BO836" t="s">
        <v>74</v>
      </c>
      <c r="BP836" t="s">
        <v>74</v>
      </c>
      <c r="BQ836" t="s">
        <v>74</v>
      </c>
      <c r="BR836" t="s">
        <v>106</v>
      </c>
      <c r="BS836" t="s">
        <v>16477</v>
      </c>
      <c r="BT836" t="str">
        <f>HYPERLINK("https%3A%2F%2Fwww.webofscience.com%2Fwos%2Fwoscc%2Ffull-record%2FWOS:000247340500031","View Full Record in Web of Science")</f>
        <v>View Full Record in Web of Science</v>
      </c>
    </row>
    <row r="837" spans="1:72" x14ac:dyDescent="0.25">
      <c r="A837" t="s">
        <v>108</v>
      </c>
      <c r="B837" t="s">
        <v>16478</v>
      </c>
      <c r="C837" t="s">
        <v>74</v>
      </c>
      <c r="D837" t="s">
        <v>6158</v>
      </c>
      <c r="E837" t="s">
        <v>74</v>
      </c>
      <c r="F837" t="s">
        <v>16479</v>
      </c>
      <c r="G837" t="s">
        <v>74</v>
      </c>
      <c r="H837" t="s">
        <v>74</v>
      </c>
      <c r="I837" t="s">
        <v>16480</v>
      </c>
      <c r="J837" t="s">
        <v>6161</v>
      </c>
      <c r="K837" t="s">
        <v>74</v>
      </c>
      <c r="L837" t="s">
        <v>74</v>
      </c>
      <c r="M837" t="s">
        <v>78</v>
      </c>
      <c r="N837" t="s">
        <v>115</v>
      </c>
      <c r="O837" t="s">
        <v>6162</v>
      </c>
      <c r="P837" t="s">
        <v>6163</v>
      </c>
      <c r="Q837" t="s">
        <v>6164</v>
      </c>
      <c r="R837" t="s">
        <v>6165</v>
      </c>
      <c r="S837" t="s">
        <v>74</v>
      </c>
      <c r="T837" t="s">
        <v>16481</v>
      </c>
      <c r="U837" t="s">
        <v>74</v>
      </c>
      <c r="V837" t="s">
        <v>16482</v>
      </c>
      <c r="W837" t="s">
        <v>16483</v>
      </c>
      <c r="X837" t="s">
        <v>16484</v>
      </c>
      <c r="Y837" t="s">
        <v>16485</v>
      </c>
      <c r="Z837" t="s">
        <v>16486</v>
      </c>
      <c r="AA837" t="s">
        <v>16487</v>
      </c>
      <c r="AB837" t="s">
        <v>16488</v>
      </c>
      <c r="AC837" t="s">
        <v>74</v>
      </c>
      <c r="AD837" t="s">
        <v>74</v>
      </c>
      <c r="AE837" t="s">
        <v>74</v>
      </c>
      <c r="AF837" t="s">
        <v>74</v>
      </c>
      <c r="AG837">
        <v>16</v>
      </c>
      <c r="AH837">
        <v>16</v>
      </c>
      <c r="AI837">
        <v>17</v>
      </c>
      <c r="AJ837">
        <v>0</v>
      </c>
      <c r="AK837">
        <v>5</v>
      </c>
      <c r="AL837" t="s">
        <v>465</v>
      </c>
      <c r="AM837" t="s">
        <v>92</v>
      </c>
      <c r="AN837" t="s">
        <v>480</v>
      </c>
      <c r="AO837" t="s">
        <v>74</v>
      </c>
      <c r="AP837" t="s">
        <v>74</v>
      </c>
      <c r="AQ837" t="s">
        <v>6176</v>
      </c>
      <c r="AR837" t="s">
        <v>74</v>
      </c>
      <c r="AS837" t="s">
        <v>74</v>
      </c>
      <c r="AT837" t="s">
        <v>74</v>
      </c>
      <c r="AU837">
        <v>2015</v>
      </c>
      <c r="AV837" t="s">
        <v>74</v>
      </c>
      <c r="AW837" t="s">
        <v>74</v>
      </c>
      <c r="AX837" t="s">
        <v>74</v>
      </c>
      <c r="AY837" t="s">
        <v>74</v>
      </c>
      <c r="AZ837" t="s">
        <v>74</v>
      </c>
      <c r="BA837" t="s">
        <v>74</v>
      </c>
      <c r="BB837">
        <v>837</v>
      </c>
      <c r="BC837">
        <v>842</v>
      </c>
      <c r="BD837" t="s">
        <v>74</v>
      </c>
      <c r="BE837" t="s">
        <v>74</v>
      </c>
      <c r="BF837" t="s">
        <v>74</v>
      </c>
      <c r="BG837" t="s">
        <v>74</v>
      </c>
      <c r="BH837" t="s">
        <v>74</v>
      </c>
      <c r="BI837">
        <v>6</v>
      </c>
      <c r="BJ837" t="s">
        <v>6177</v>
      </c>
      <c r="BK837" t="s">
        <v>203</v>
      </c>
      <c r="BL837" t="s">
        <v>953</v>
      </c>
      <c r="BM837" t="s">
        <v>6178</v>
      </c>
      <c r="BN837" t="s">
        <v>74</v>
      </c>
      <c r="BO837" t="s">
        <v>74</v>
      </c>
      <c r="BP837" t="s">
        <v>74</v>
      </c>
      <c r="BQ837" t="s">
        <v>74</v>
      </c>
      <c r="BR837" t="s">
        <v>106</v>
      </c>
      <c r="BS837" t="s">
        <v>16489</v>
      </c>
      <c r="BT837" t="str">
        <f>HYPERLINK("https%3A%2F%2Fwww.webofscience.com%2Fwos%2Fwoscc%2Ffull-record%2FWOS:000380404600099","View Full Record in Web of Science")</f>
        <v>View Full Record in Web of Science</v>
      </c>
    </row>
    <row r="838" spans="1:72" x14ac:dyDescent="0.25">
      <c r="A838" t="s">
        <v>72</v>
      </c>
      <c r="B838" t="s">
        <v>16490</v>
      </c>
      <c r="C838" t="s">
        <v>74</v>
      </c>
      <c r="D838" t="s">
        <v>74</v>
      </c>
      <c r="E838" t="s">
        <v>74</v>
      </c>
      <c r="F838" t="s">
        <v>16491</v>
      </c>
      <c r="G838" t="s">
        <v>74</v>
      </c>
      <c r="H838" t="s">
        <v>74</v>
      </c>
      <c r="I838" t="s">
        <v>16492</v>
      </c>
      <c r="J838" t="s">
        <v>16493</v>
      </c>
      <c r="K838" t="s">
        <v>74</v>
      </c>
      <c r="L838" t="s">
        <v>74</v>
      </c>
      <c r="M838" t="s">
        <v>78</v>
      </c>
      <c r="N838" t="s">
        <v>79</v>
      </c>
      <c r="O838" t="s">
        <v>74</v>
      </c>
      <c r="P838" t="s">
        <v>74</v>
      </c>
      <c r="Q838" t="s">
        <v>74</v>
      </c>
      <c r="R838" t="s">
        <v>74</v>
      </c>
      <c r="S838" t="s">
        <v>74</v>
      </c>
      <c r="T838" t="s">
        <v>16494</v>
      </c>
      <c r="U838" t="s">
        <v>74</v>
      </c>
      <c r="V838" t="s">
        <v>16495</v>
      </c>
      <c r="W838" t="s">
        <v>16496</v>
      </c>
      <c r="X838" t="s">
        <v>16497</v>
      </c>
      <c r="Y838" t="s">
        <v>16498</v>
      </c>
      <c r="Z838" t="s">
        <v>16499</v>
      </c>
      <c r="AA838" t="s">
        <v>16500</v>
      </c>
      <c r="AB838" t="s">
        <v>16501</v>
      </c>
      <c r="AC838" t="s">
        <v>16502</v>
      </c>
      <c r="AD838" t="s">
        <v>16503</v>
      </c>
      <c r="AE838" t="s">
        <v>16504</v>
      </c>
      <c r="AF838" t="s">
        <v>74</v>
      </c>
      <c r="AG838">
        <v>59</v>
      </c>
      <c r="AH838">
        <v>3</v>
      </c>
      <c r="AI838">
        <v>3</v>
      </c>
      <c r="AJ838">
        <v>0</v>
      </c>
      <c r="AK838">
        <v>4</v>
      </c>
      <c r="AL838" t="s">
        <v>631</v>
      </c>
      <c r="AM838" t="s">
        <v>632</v>
      </c>
      <c r="AN838" t="s">
        <v>633</v>
      </c>
      <c r="AO838" t="s">
        <v>16505</v>
      </c>
      <c r="AP838" t="s">
        <v>16506</v>
      </c>
      <c r="AQ838" t="s">
        <v>74</v>
      </c>
      <c r="AR838" t="s">
        <v>16493</v>
      </c>
      <c r="AS838" t="s">
        <v>16507</v>
      </c>
      <c r="AT838" t="s">
        <v>1166</v>
      </c>
      <c r="AU838">
        <v>2024</v>
      </c>
      <c r="AV838">
        <v>55</v>
      </c>
      <c r="AW838">
        <v>3</v>
      </c>
      <c r="AX838" t="s">
        <v>74</v>
      </c>
      <c r="AY838" t="s">
        <v>74</v>
      </c>
      <c r="AZ838" t="s">
        <v>74</v>
      </c>
      <c r="BA838" t="s">
        <v>74</v>
      </c>
      <c r="BB838">
        <v>457</v>
      </c>
      <c r="BC838">
        <v>501</v>
      </c>
      <c r="BD838" t="s">
        <v>74</v>
      </c>
      <c r="BE838" t="s">
        <v>16508</v>
      </c>
      <c r="BF838" t="str">
        <f>HYPERLINK("http://dx.doi.org/10.1111/meta.12700","http://dx.doi.org/10.1111/meta.12700")</f>
        <v>http://dx.doi.org/10.1111/meta.12700</v>
      </c>
      <c r="BG838" t="s">
        <v>74</v>
      </c>
      <c r="BH838" t="s">
        <v>7046</v>
      </c>
      <c r="BI838">
        <v>45</v>
      </c>
      <c r="BJ838" t="s">
        <v>16509</v>
      </c>
      <c r="BK838" t="s">
        <v>10733</v>
      </c>
      <c r="BL838" t="s">
        <v>16509</v>
      </c>
      <c r="BM838" t="s">
        <v>16510</v>
      </c>
      <c r="BN838" t="s">
        <v>74</v>
      </c>
      <c r="BO838" t="s">
        <v>74</v>
      </c>
      <c r="BP838" t="s">
        <v>74</v>
      </c>
      <c r="BQ838" t="s">
        <v>74</v>
      </c>
      <c r="BR838" t="s">
        <v>106</v>
      </c>
      <c r="BS838" t="s">
        <v>16511</v>
      </c>
      <c r="BT838" t="str">
        <f>HYPERLINK("https%3A%2F%2Fwww.webofscience.com%2Fwos%2Fwoscc%2Ffull-record%2FWOS:001274087100001","View Full Record in Web of Science")</f>
        <v>View Full Record in Web of Science</v>
      </c>
    </row>
    <row r="839" spans="1:72" x14ac:dyDescent="0.25">
      <c r="A839" t="s">
        <v>72</v>
      </c>
      <c r="B839" t="s">
        <v>16512</v>
      </c>
      <c r="C839" t="s">
        <v>74</v>
      </c>
      <c r="D839" t="s">
        <v>74</v>
      </c>
      <c r="E839" t="s">
        <v>74</v>
      </c>
      <c r="F839" t="s">
        <v>16513</v>
      </c>
      <c r="G839" t="s">
        <v>74</v>
      </c>
      <c r="H839" t="s">
        <v>74</v>
      </c>
      <c r="I839" t="s">
        <v>16514</v>
      </c>
      <c r="J839" t="s">
        <v>2119</v>
      </c>
      <c r="K839" t="s">
        <v>74</v>
      </c>
      <c r="L839" t="s">
        <v>74</v>
      </c>
      <c r="M839" t="s">
        <v>78</v>
      </c>
      <c r="N839" t="s">
        <v>79</v>
      </c>
      <c r="O839" t="s">
        <v>74</v>
      </c>
      <c r="P839" t="s">
        <v>74</v>
      </c>
      <c r="Q839" t="s">
        <v>74</v>
      </c>
      <c r="R839" t="s">
        <v>74</v>
      </c>
      <c r="S839" t="s">
        <v>74</v>
      </c>
      <c r="T839" t="s">
        <v>16515</v>
      </c>
      <c r="U839" t="s">
        <v>16516</v>
      </c>
      <c r="V839" t="s">
        <v>16517</v>
      </c>
      <c r="W839" t="s">
        <v>16518</v>
      </c>
      <c r="X839" t="s">
        <v>6275</v>
      </c>
      <c r="Y839" t="s">
        <v>16519</v>
      </c>
      <c r="Z839" t="s">
        <v>16520</v>
      </c>
      <c r="AA839" t="s">
        <v>16521</v>
      </c>
      <c r="AB839" t="s">
        <v>16522</v>
      </c>
      <c r="AC839" t="s">
        <v>74</v>
      </c>
      <c r="AD839" t="s">
        <v>74</v>
      </c>
      <c r="AE839" t="s">
        <v>74</v>
      </c>
      <c r="AF839" t="s">
        <v>74</v>
      </c>
      <c r="AG839">
        <v>58</v>
      </c>
      <c r="AH839">
        <v>37</v>
      </c>
      <c r="AI839">
        <v>57</v>
      </c>
      <c r="AJ839">
        <v>0</v>
      </c>
      <c r="AK839">
        <v>58</v>
      </c>
      <c r="AL839" t="s">
        <v>2127</v>
      </c>
      <c r="AM839" t="s">
        <v>737</v>
      </c>
      <c r="AN839" t="s">
        <v>4533</v>
      </c>
      <c r="AO839" t="s">
        <v>2130</v>
      </c>
      <c r="AP839" t="s">
        <v>2131</v>
      </c>
      <c r="AQ839" t="s">
        <v>74</v>
      </c>
      <c r="AR839" t="s">
        <v>2132</v>
      </c>
      <c r="AS839" t="s">
        <v>2133</v>
      </c>
      <c r="AT839" t="s">
        <v>368</v>
      </c>
      <c r="AU839">
        <v>2013</v>
      </c>
      <c r="AV839">
        <v>49</v>
      </c>
      <c r="AW839">
        <v>3</v>
      </c>
      <c r="AX839" t="s">
        <v>74</v>
      </c>
      <c r="AY839" t="s">
        <v>74</v>
      </c>
      <c r="AZ839" t="s">
        <v>74</v>
      </c>
      <c r="BA839" t="s">
        <v>74</v>
      </c>
      <c r="BB839">
        <v>640</v>
      </c>
      <c r="BC839">
        <v>658</v>
      </c>
      <c r="BD839" t="s">
        <v>74</v>
      </c>
      <c r="BE839" t="s">
        <v>16523</v>
      </c>
      <c r="BF839" t="str">
        <f>HYPERLINK("http://dx.doi.org/10.1016/j.ipm.2012.07.010","http://dx.doi.org/10.1016/j.ipm.2012.07.010")</f>
        <v>http://dx.doi.org/10.1016/j.ipm.2012.07.010</v>
      </c>
      <c r="BG839" t="s">
        <v>74</v>
      </c>
      <c r="BH839" t="s">
        <v>74</v>
      </c>
      <c r="BI839">
        <v>19</v>
      </c>
      <c r="BJ839" t="s">
        <v>295</v>
      </c>
      <c r="BK839" t="s">
        <v>745</v>
      </c>
      <c r="BL839" t="s">
        <v>296</v>
      </c>
      <c r="BM839" t="s">
        <v>16524</v>
      </c>
      <c r="BN839" t="s">
        <v>74</v>
      </c>
      <c r="BO839" t="s">
        <v>74</v>
      </c>
      <c r="BP839" t="s">
        <v>74</v>
      </c>
      <c r="BQ839" t="s">
        <v>74</v>
      </c>
      <c r="BR839" t="s">
        <v>106</v>
      </c>
      <c r="BS839" t="s">
        <v>16525</v>
      </c>
      <c r="BT839" t="str">
        <f>HYPERLINK("https%3A%2F%2Fwww.webofscience.com%2Fwos%2Fwoscc%2Ffull-record%2FWOS:000317529900006","View Full Record in Web of Science")</f>
        <v>View Full Record in Web of Science</v>
      </c>
    </row>
    <row r="840" spans="1:72" x14ac:dyDescent="0.25">
      <c r="A840" t="s">
        <v>72</v>
      </c>
      <c r="B840" t="s">
        <v>16526</v>
      </c>
      <c r="C840" t="s">
        <v>74</v>
      </c>
      <c r="D840" t="s">
        <v>74</v>
      </c>
      <c r="E840" t="s">
        <v>74</v>
      </c>
      <c r="F840" t="s">
        <v>16527</v>
      </c>
      <c r="G840" t="s">
        <v>74</v>
      </c>
      <c r="H840" t="s">
        <v>74</v>
      </c>
      <c r="I840" t="s">
        <v>16528</v>
      </c>
      <c r="J840" t="s">
        <v>16529</v>
      </c>
      <c r="K840" t="s">
        <v>74</v>
      </c>
      <c r="L840" t="s">
        <v>74</v>
      </c>
      <c r="M840" t="s">
        <v>78</v>
      </c>
      <c r="N840" t="s">
        <v>79</v>
      </c>
      <c r="O840" t="s">
        <v>74</v>
      </c>
      <c r="P840" t="s">
        <v>74</v>
      </c>
      <c r="Q840" t="s">
        <v>74</v>
      </c>
      <c r="R840" t="s">
        <v>74</v>
      </c>
      <c r="S840" t="s">
        <v>74</v>
      </c>
      <c r="T840" t="s">
        <v>16530</v>
      </c>
      <c r="U840" t="s">
        <v>16531</v>
      </c>
      <c r="V840" t="s">
        <v>16532</v>
      </c>
      <c r="W840" t="s">
        <v>16533</v>
      </c>
      <c r="X840" t="s">
        <v>16534</v>
      </c>
      <c r="Y840" t="s">
        <v>16535</v>
      </c>
      <c r="Z840" t="s">
        <v>16536</v>
      </c>
      <c r="AA840" t="s">
        <v>16537</v>
      </c>
      <c r="AB840" t="s">
        <v>16538</v>
      </c>
      <c r="AC840" t="s">
        <v>16539</v>
      </c>
      <c r="AD840" t="s">
        <v>16540</v>
      </c>
      <c r="AE840" t="s">
        <v>16541</v>
      </c>
      <c r="AF840" t="s">
        <v>74</v>
      </c>
      <c r="AG840">
        <v>18</v>
      </c>
      <c r="AH840">
        <v>0</v>
      </c>
      <c r="AI840">
        <v>1</v>
      </c>
      <c r="AJ840">
        <v>0</v>
      </c>
      <c r="AK840">
        <v>2</v>
      </c>
      <c r="AL840" t="s">
        <v>16542</v>
      </c>
      <c r="AM840" t="s">
        <v>16543</v>
      </c>
      <c r="AN840" t="s">
        <v>16544</v>
      </c>
      <c r="AO840" t="s">
        <v>16545</v>
      </c>
      <c r="AP840" t="s">
        <v>74</v>
      </c>
      <c r="AQ840" t="s">
        <v>74</v>
      </c>
      <c r="AR840" t="s">
        <v>16546</v>
      </c>
      <c r="AS840" t="s">
        <v>16547</v>
      </c>
      <c r="AT840" t="s">
        <v>1375</v>
      </c>
      <c r="AU840">
        <v>2021</v>
      </c>
      <c r="AV840">
        <v>53</v>
      </c>
      <c r="AW840">
        <v>6</v>
      </c>
      <c r="AX840" t="s">
        <v>74</v>
      </c>
      <c r="AY840" t="s">
        <v>74</v>
      </c>
      <c r="AZ840" t="s">
        <v>74</v>
      </c>
      <c r="BA840" t="s">
        <v>74</v>
      </c>
      <c r="BB840">
        <v>2046</v>
      </c>
      <c r="BC840">
        <v>2055</v>
      </c>
      <c r="BD840" t="s">
        <v>74</v>
      </c>
      <c r="BE840" t="s">
        <v>16548</v>
      </c>
      <c r="BF840" t="str">
        <f>HYPERLINK("http://dx.doi.org/10.1016/j.net.2020.11.029","http://dx.doi.org/10.1016/j.net.2020.11.029")</f>
        <v>http://dx.doi.org/10.1016/j.net.2020.11.029</v>
      </c>
      <c r="BG840" t="s">
        <v>74</v>
      </c>
      <c r="BH840" t="s">
        <v>74</v>
      </c>
      <c r="BI840">
        <v>10</v>
      </c>
      <c r="BJ840" t="s">
        <v>16549</v>
      </c>
      <c r="BK840" t="s">
        <v>902</v>
      </c>
      <c r="BL840" t="s">
        <v>16549</v>
      </c>
      <c r="BM840" t="s">
        <v>16550</v>
      </c>
      <c r="BN840" t="s">
        <v>74</v>
      </c>
      <c r="BO840" t="s">
        <v>398</v>
      </c>
      <c r="BP840" t="s">
        <v>74</v>
      </c>
      <c r="BQ840" t="s">
        <v>74</v>
      </c>
      <c r="BR840" t="s">
        <v>106</v>
      </c>
      <c r="BS840" t="s">
        <v>16551</v>
      </c>
      <c r="BT840" t="str">
        <f>HYPERLINK("https%3A%2F%2Fwww.webofscience.com%2Fwos%2Fwoscc%2Ffull-record%2FWOS:000652842800007","View Full Record in Web of Science")</f>
        <v>View Full Record in Web of Science</v>
      </c>
    </row>
    <row r="841" spans="1:72" x14ac:dyDescent="0.25">
      <c r="A841" t="s">
        <v>72</v>
      </c>
      <c r="B841" t="s">
        <v>16552</v>
      </c>
      <c r="C841" t="s">
        <v>74</v>
      </c>
      <c r="D841" t="s">
        <v>74</v>
      </c>
      <c r="E841" t="s">
        <v>74</v>
      </c>
      <c r="F841" t="s">
        <v>16553</v>
      </c>
      <c r="G841" t="s">
        <v>74</v>
      </c>
      <c r="H841" t="s">
        <v>74</v>
      </c>
      <c r="I841" t="s">
        <v>16554</v>
      </c>
      <c r="J841" t="s">
        <v>13604</v>
      </c>
      <c r="K841" t="s">
        <v>74</v>
      </c>
      <c r="L841" t="s">
        <v>74</v>
      </c>
      <c r="M841" t="s">
        <v>78</v>
      </c>
      <c r="N841" t="s">
        <v>79</v>
      </c>
      <c r="O841" t="s">
        <v>74</v>
      </c>
      <c r="P841" t="s">
        <v>74</v>
      </c>
      <c r="Q841" t="s">
        <v>74</v>
      </c>
      <c r="R841" t="s">
        <v>74</v>
      </c>
      <c r="S841" t="s">
        <v>74</v>
      </c>
      <c r="T841" t="s">
        <v>16555</v>
      </c>
      <c r="U841" t="s">
        <v>16556</v>
      </c>
      <c r="V841" t="s">
        <v>16557</v>
      </c>
      <c r="W841" t="s">
        <v>16558</v>
      </c>
      <c r="X841" t="s">
        <v>16559</v>
      </c>
      <c r="Y841" t="s">
        <v>16560</v>
      </c>
      <c r="Z841" t="s">
        <v>16561</v>
      </c>
      <c r="AA841" t="s">
        <v>16562</v>
      </c>
      <c r="AB841" t="s">
        <v>74</v>
      </c>
      <c r="AC841" t="s">
        <v>74</v>
      </c>
      <c r="AD841" t="s">
        <v>74</v>
      </c>
      <c r="AE841" t="s">
        <v>74</v>
      </c>
      <c r="AF841" t="s">
        <v>74</v>
      </c>
      <c r="AG841">
        <v>120</v>
      </c>
      <c r="AH841">
        <v>0</v>
      </c>
      <c r="AI841">
        <v>2</v>
      </c>
      <c r="AJ841">
        <v>8</v>
      </c>
      <c r="AK841">
        <v>19</v>
      </c>
      <c r="AL841" t="s">
        <v>4549</v>
      </c>
      <c r="AM841" t="s">
        <v>4550</v>
      </c>
      <c r="AN841" t="s">
        <v>4551</v>
      </c>
      <c r="AO841" t="s">
        <v>13611</v>
      </c>
      <c r="AP841" t="s">
        <v>15015</v>
      </c>
      <c r="AQ841" t="s">
        <v>74</v>
      </c>
      <c r="AR841" t="s">
        <v>13612</v>
      </c>
      <c r="AS841" t="s">
        <v>13613</v>
      </c>
      <c r="AT841" t="s">
        <v>98</v>
      </c>
      <c r="AU841">
        <v>2025</v>
      </c>
      <c r="AV841">
        <v>163</v>
      </c>
      <c r="AW841" t="s">
        <v>74</v>
      </c>
      <c r="AX841" t="s">
        <v>74</v>
      </c>
      <c r="AY841" t="s">
        <v>74</v>
      </c>
      <c r="AZ841" t="s">
        <v>74</v>
      </c>
      <c r="BA841" t="s">
        <v>74</v>
      </c>
      <c r="BB841" t="s">
        <v>74</v>
      </c>
      <c r="BC841" t="s">
        <v>74</v>
      </c>
      <c r="BD841">
        <v>104191</v>
      </c>
      <c r="BE841" t="s">
        <v>16563</v>
      </c>
      <c r="BF841" t="str">
        <f>HYPERLINK("http://dx.doi.org/10.1016/j.jvb.2025.104191","http://dx.doi.org/10.1016/j.jvb.2025.104191")</f>
        <v>http://dx.doi.org/10.1016/j.jvb.2025.104191</v>
      </c>
      <c r="BG841" t="s">
        <v>74</v>
      </c>
      <c r="BH841" t="s">
        <v>612</v>
      </c>
      <c r="BI841">
        <v>28</v>
      </c>
      <c r="BJ841" t="s">
        <v>10400</v>
      </c>
      <c r="BK841" t="s">
        <v>250</v>
      </c>
      <c r="BL841" t="s">
        <v>251</v>
      </c>
      <c r="BM841" t="s">
        <v>16564</v>
      </c>
      <c r="BN841" t="s">
        <v>74</v>
      </c>
      <c r="BO841" t="s">
        <v>1331</v>
      </c>
      <c r="BP841" t="s">
        <v>74</v>
      </c>
      <c r="BQ841" t="s">
        <v>74</v>
      </c>
      <c r="BR841" t="s">
        <v>106</v>
      </c>
      <c r="BS841" t="s">
        <v>16565</v>
      </c>
      <c r="BT841" t="str">
        <f>HYPERLINK("https%3A%2F%2Fwww.webofscience.com%2Fwos%2Fwoscc%2Ffull-record%2FWOS:001604519900001","View Full Record in Web of Science")</f>
        <v>View Full Record in Web of Science</v>
      </c>
    </row>
    <row r="842" spans="1:72" x14ac:dyDescent="0.25">
      <c r="A842" t="s">
        <v>72</v>
      </c>
      <c r="B842" t="s">
        <v>16566</v>
      </c>
      <c r="C842" t="s">
        <v>74</v>
      </c>
      <c r="D842" t="s">
        <v>74</v>
      </c>
      <c r="E842" t="s">
        <v>74</v>
      </c>
      <c r="F842" t="s">
        <v>16566</v>
      </c>
      <c r="G842" t="s">
        <v>74</v>
      </c>
      <c r="H842" t="s">
        <v>74</v>
      </c>
      <c r="I842" t="s">
        <v>16567</v>
      </c>
      <c r="J842" t="s">
        <v>16568</v>
      </c>
      <c r="K842" t="s">
        <v>74</v>
      </c>
      <c r="L842" t="s">
        <v>74</v>
      </c>
      <c r="M842" t="s">
        <v>78</v>
      </c>
      <c r="N842" t="s">
        <v>79</v>
      </c>
      <c r="O842" t="s">
        <v>74</v>
      </c>
      <c r="P842" t="s">
        <v>74</v>
      </c>
      <c r="Q842" t="s">
        <v>74</v>
      </c>
      <c r="R842" t="s">
        <v>74</v>
      </c>
      <c r="S842" t="s">
        <v>74</v>
      </c>
      <c r="T842" t="s">
        <v>74</v>
      </c>
      <c r="U842" t="s">
        <v>16569</v>
      </c>
      <c r="V842" t="s">
        <v>16570</v>
      </c>
      <c r="W842" t="s">
        <v>74</v>
      </c>
      <c r="X842" t="s">
        <v>74</v>
      </c>
      <c r="Y842" t="s">
        <v>16571</v>
      </c>
      <c r="Z842" t="s">
        <v>74</v>
      </c>
      <c r="AA842" t="s">
        <v>74</v>
      </c>
      <c r="AB842" t="s">
        <v>74</v>
      </c>
      <c r="AC842" t="s">
        <v>74</v>
      </c>
      <c r="AD842" t="s">
        <v>74</v>
      </c>
      <c r="AE842" t="s">
        <v>74</v>
      </c>
      <c r="AF842" t="s">
        <v>74</v>
      </c>
      <c r="AG842">
        <v>37</v>
      </c>
      <c r="AH842">
        <v>45</v>
      </c>
      <c r="AI842">
        <v>66</v>
      </c>
      <c r="AJ842">
        <v>0</v>
      </c>
      <c r="AK842">
        <v>3</v>
      </c>
      <c r="AL842" t="s">
        <v>1136</v>
      </c>
      <c r="AM842" t="s">
        <v>1137</v>
      </c>
      <c r="AN842" t="s">
        <v>1138</v>
      </c>
      <c r="AO842" t="s">
        <v>16572</v>
      </c>
      <c r="AP842" t="s">
        <v>16573</v>
      </c>
      <c r="AQ842" t="s">
        <v>74</v>
      </c>
      <c r="AR842" t="s">
        <v>16574</v>
      </c>
      <c r="AS842" t="s">
        <v>16575</v>
      </c>
      <c r="AT842" t="s">
        <v>565</v>
      </c>
      <c r="AU842">
        <v>1995</v>
      </c>
      <c r="AV842">
        <v>20</v>
      </c>
      <c r="AW842">
        <v>4</v>
      </c>
      <c r="AX842" t="s">
        <v>74</v>
      </c>
      <c r="AY842" t="s">
        <v>74</v>
      </c>
      <c r="AZ842" t="s">
        <v>74</v>
      </c>
      <c r="BA842" t="s">
        <v>74</v>
      </c>
      <c r="BB842">
        <v>221</v>
      </c>
      <c r="BC842">
        <v>237</v>
      </c>
      <c r="BD842" t="s">
        <v>74</v>
      </c>
      <c r="BE842" t="s">
        <v>74</v>
      </c>
      <c r="BF842" t="s">
        <v>74</v>
      </c>
      <c r="BG842" t="s">
        <v>74</v>
      </c>
      <c r="BH842" t="s">
        <v>74</v>
      </c>
      <c r="BI842">
        <v>17</v>
      </c>
      <c r="BJ842" t="s">
        <v>16576</v>
      </c>
      <c r="BK842" t="s">
        <v>250</v>
      </c>
      <c r="BL842" t="s">
        <v>16577</v>
      </c>
      <c r="BM842" t="s">
        <v>16578</v>
      </c>
      <c r="BN842" t="s">
        <v>74</v>
      </c>
      <c r="BO842" t="s">
        <v>74</v>
      </c>
      <c r="BP842" t="s">
        <v>74</v>
      </c>
      <c r="BQ842" t="s">
        <v>74</v>
      </c>
      <c r="BR842" t="s">
        <v>106</v>
      </c>
      <c r="BS842" t="s">
        <v>16579</v>
      </c>
      <c r="BT842" t="str">
        <f>HYPERLINK("https%3A%2F%2Fwww.webofscience.com%2Fwos%2Fwoscc%2Ffull-record%2FWOS:A1995UA97200001","View Full Record in Web of Science")</f>
        <v>View Full Record in Web of Science</v>
      </c>
    </row>
    <row r="843" spans="1:72" x14ac:dyDescent="0.25">
      <c r="A843" t="s">
        <v>108</v>
      </c>
      <c r="B843" t="s">
        <v>16580</v>
      </c>
      <c r="C843" t="s">
        <v>74</v>
      </c>
      <c r="D843" t="s">
        <v>74</v>
      </c>
      <c r="E843" t="s">
        <v>322</v>
      </c>
      <c r="F843" t="s">
        <v>16581</v>
      </c>
      <c r="G843" t="s">
        <v>74</v>
      </c>
      <c r="H843" t="s">
        <v>74</v>
      </c>
      <c r="I843" t="s">
        <v>16582</v>
      </c>
      <c r="J843" t="s">
        <v>7866</v>
      </c>
      <c r="K843" t="s">
        <v>74</v>
      </c>
      <c r="L843" t="s">
        <v>74</v>
      </c>
      <c r="M843" t="s">
        <v>78</v>
      </c>
      <c r="N843" t="s">
        <v>115</v>
      </c>
      <c r="O843" t="s">
        <v>7867</v>
      </c>
      <c r="P843" t="s">
        <v>7868</v>
      </c>
      <c r="Q843" t="s">
        <v>705</v>
      </c>
      <c r="R843" t="s">
        <v>7869</v>
      </c>
      <c r="S843" t="s">
        <v>74</v>
      </c>
      <c r="T843" t="s">
        <v>16583</v>
      </c>
      <c r="U843" t="s">
        <v>74</v>
      </c>
      <c r="V843" t="s">
        <v>16584</v>
      </c>
      <c r="W843" t="s">
        <v>16585</v>
      </c>
      <c r="X843" t="s">
        <v>16586</v>
      </c>
      <c r="Y843" t="s">
        <v>16587</v>
      </c>
      <c r="Z843" t="s">
        <v>16588</v>
      </c>
      <c r="AA843" t="s">
        <v>16589</v>
      </c>
      <c r="AB843" t="s">
        <v>16590</v>
      </c>
      <c r="AC843" t="s">
        <v>74</v>
      </c>
      <c r="AD843" t="s">
        <v>74</v>
      </c>
      <c r="AE843" t="s">
        <v>74</v>
      </c>
      <c r="AF843" t="s">
        <v>74</v>
      </c>
      <c r="AG843">
        <v>10</v>
      </c>
      <c r="AH843">
        <v>28</v>
      </c>
      <c r="AI843">
        <v>35</v>
      </c>
      <c r="AJ843">
        <v>0</v>
      </c>
      <c r="AK843">
        <v>2</v>
      </c>
      <c r="AL843" t="s">
        <v>291</v>
      </c>
      <c r="AM843" t="s">
        <v>92</v>
      </c>
      <c r="AN843" t="s">
        <v>292</v>
      </c>
      <c r="AO843" t="s">
        <v>74</v>
      </c>
      <c r="AP843" t="s">
        <v>74</v>
      </c>
      <c r="AQ843" t="s">
        <v>7876</v>
      </c>
      <c r="AR843" t="s">
        <v>74</v>
      </c>
      <c r="AS843" t="s">
        <v>74</v>
      </c>
      <c r="AT843" t="s">
        <v>74</v>
      </c>
      <c r="AU843">
        <v>2015</v>
      </c>
      <c r="AV843" t="s">
        <v>74</v>
      </c>
      <c r="AW843" t="s">
        <v>74</v>
      </c>
      <c r="AX843" t="s">
        <v>74</v>
      </c>
      <c r="AY843" t="s">
        <v>74</v>
      </c>
      <c r="AZ843" t="s">
        <v>74</v>
      </c>
      <c r="BA843" t="s">
        <v>74</v>
      </c>
      <c r="BB843">
        <v>963</v>
      </c>
      <c r="BC843">
        <v>966</v>
      </c>
      <c r="BD843" t="s">
        <v>74</v>
      </c>
      <c r="BE843" t="s">
        <v>16591</v>
      </c>
      <c r="BF843" t="str">
        <f>HYPERLINK("http://dx.doi.org/10.1145/2733373.2806375","http://dx.doi.org/10.1145/2733373.2806375")</f>
        <v>http://dx.doi.org/10.1145/2733373.2806375</v>
      </c>
      <c r="BG843" t="s">
        <v>74</v>
      </c>
      <c r="BH843" t="s">
        <v>74</v>
      </c>
      <c r="BI843">
        <v>4</v>
      </c>
      <c r="BJ843" t="s">
        <v>696</v>
      </c>
      <c r="BK843" t="s">
        <v>203</v>
      </c>
      <c r="BL843" t="s">
        <v>103</v>
      </c>
      <c r="BM843" t="s">
        <v>7878</v>
      </c>
      <c r="BN843" t="s">
        <v>74</v>
      </c>
      <c r="BO843" t="s">
        <v>346</v>
      </c>
      <c r="BP843" t="s">
        <v>74</v>
      </c>
      <c r="BQ843" t="s">
        <v>74</v>
      </c>
      <c r="BR843" t="s">
        <v>106</v>
      </c>
      <c r="BS843" t="s">
        <v>16592</v>
      </c>
      <c r="BT843" t="str">
        <f>HYPERLINK("https%3A%2F%2Fwww.webofscience.com%2Fwos%2Fwoscc%2Ffull-record%2FWOS:000387861300168","View Full Record in Web of Science")</f>
        <v>View Full Record in Web of Science</v>
      </c>
    </row>
    <row r="844" spans="1:72" x14ac:dyDescent="0.25">
      <c r="A844" t="s">
        <v>72</v>
      </c>
      <c r="B844" t="s">
        <v>9551</v>
      </c>
      <c r="C844" t="s">
        <v>74</v>
      </c>
      <c r="D844" t="s">
        <v>74</v>
      </c>
      <c r="E844" t="s">
        <v>74</v>
      </c>
      <c r="F844" t="s">
        <v>9552</v>
      </c>
      <c r="G844" t="s">
        <v>74</v>
      </c>
      <c r="H844" t="s">
        <v>74</v>
      </c>
      <c r="I844" t="s">
        <v>16593</v>
      </c>
      <c r="J844" t="s">
        <v>6807</v>
      </c>
      <c r="K844" t="s">
        <v>74</v>
      </c>
      <c r="L844" t="s">
        <v>74</v>
      </c>
      <c r="M844" t="s">
        <v>78</v>
      </c>
      <c r="N844" t="s">
        <v>79</v>
      </c>
      <c r="O844" t="s">
        <v>74</v>
      </c>
      <c r="P844" t="s">
        <v>74</v>
      </c>
      <c r="Q844" t="s">
        <v>74</v>
      </c>
      <c r="R844" t="s">
        <v>74</v>
      </c>
      <c r="S844" t="s">
        <v>74</v>
      </c>
      <c r="T844" t="s">
        <v>16594</v>
      </c>
      <c r="U844" t="s">
        <v>16595</v>
      </c>
      <c r="V844" t="s">
        <v>16596</v>
      </c>
      <c r="W844" t="s">
        <v>16597</v>
      </c>
      <c r="X844" t="s">
        <v>16598</v>
      </c>
      <c r="Y844" t="s">
        <v>16599</v>
      </c>
      <c r="Z844" t="s">
        <v>16600</v>
      </c>
      <c r="AA844" t="s">
        <v>9560</v>
      </c>
      <c r="AB844" t="s">
        <v>9561</v>
      </c>
      <c r="AC844" t="s">
        <v>74</v>
      </c>
      <c r="AD844" t="s">
        <v>74</v>
      </c>
      <c r="AE844" t="s">
        <v>74</v>
      </c>
      <c r="AF844" t="s">
        <v>74</v>
      </c>
      <c r="AG844">
        <v>62</v>
      </c>
      <c r="AH844">
        <v>5</v>
      </c>
      <c r="AI844">
        <v>5</v>
      </c>
      <c r="AJ844">
        <v>0</v>
      </c>
      <c r="AK844">
        <v>13</v>
      </c>
      <c r="AL844" t="s">
        <v>91</v>
      </c>
      <c r="AM844" t="s">
        <v>92</v>
      </c>
      <c r="AN844" t="s">
        <v>2307</v>
      </c>
      <c r="AO844" t="s">
        <v>6819</v>
      </c>
      <c r="AP844" t="s">
        <v>6820</v>
      </c>
      <c r="AQ844" t="s">
        <v>74</v>
      </c>
      <c r="AR844" t="s">
        <v>6821</v>
      </c>
      <c r="AS844" t="s">
        <v>6822</v>
      </c>
      <c r="AT844" t="s">
        <v>16601</v>
      </c>
      <c r="AU844">
        <v>2014</v>
      </c>
      <c r="AV844">
        <v>270</v>
      </c>
      <c r="AW844" t="s">
        <v>74</v>
      </c>
      <c r="AX844" t="s">
        <v>74</v>
      </c>
      <c r="AY844" t="s">
        <v>74</v>
      </c>
      <c r="AZ844" t="s">
        <v>74</v>
      </c>
      <c r="BA844" t="s">
        <v>74</v>
      </c>
      <c r="BB844">
        <v>41</v>
      </c>
      <c r="BC844">
        <v>72</v>
      </c>
      <c r="BD844" t="s">
        <v>74</v>
      </c>
      <c r="BE844" t="s">
        <v>16602</v>
      </c>
      <c r="BF844" t="str">
        <f>HYPERLINK("http://dx.doi.org/10.1016/j.ins.2014.02.111","http://dx.doi.org/10.1016/j.ins.2014.02.111")</f>
        <v>http://dx.doi.org/10.1016/j.ins.2014.02.111</v>
      </c>
      <c r="BG844" t="s">
        <v>74</v>
      </c>
      <c r="BH844" t="s">
        <v>74</v>
      </c>
      <c r="BI844">
        <v>32</v>
      </c>
      <c r="BJ844" t="s">
        <v>852</v>
      </c>
      <c r="BK844" t="s">
        <v>902</v>
      </c>
      <c r="BL844" t="s">
        <v>103</v>
      </c>
      <c r="BM844" t="s">
        <v>16603</v>
      </c>
      <c r="BN844" t="s">
        <v>74</v>
      </c>
      <c r="BO844" t="s">
        <v>74</v>
      </c>
      <c r="BP844" t="s">
        <v>74</v>
      </c>
      <c r="BQ844" t="s">
        <v>74</v>
      </c>
      <c r="BR844" t="s">
        <v>106</v>
      </c>
      <c r="BS844" t="s">
        <v>16604</v>
      </c>
      <c r="BT844" t="str">
        <f>HYPERLINK("https%3A%2F%2Fwww.webofscience.com%2Fwos%2Fwoscc%2Ffull-record%2FWOS:000335635600003","View Full Record in Web of Science")</f>
        <v>View Full Record in Web of Science</v>
      </c>
    </row>
    <row r="845" spans="1:72" x14ac:dyDescent="0.25">
      <c r="A845" t="s">
        <v>72</v>
      </c>
      <c r="B845" t="s">
        <v>16605</v>
      </c>
      <c r="C845" t="s">
        <v>74</v>
      </c>
      <c r="D845" t="s">
        <v>74</v>
      </c>
      <c r="E845" t="s">
        <v>74</v>
      </c>
      <c r="F845" t="s">
        <v>16606</v>
      </c>
      <c r="G845" t="s">
        <v>74</v>
      </c>
      <c r="H845" t="s">
        <v>74</v>
      </c>
      <c r="I845" t="s">
        <v>16607</v>
      </c>
      <c r="J845" t="s">
        <v>16608</v>
      </c>
      <c r="K845" t="s">
        <v>74</v>
      </c>
      <c r="L845" t="s">
        <v>74</v>
      </c>
      <c r="M845" t="s">
        <v>78</v>
      </c>
      <c r="N845" t="s">
        <v>79</v>
      </c>
      <c r="O845" t="s">
        <v>74</v>
      </c>
      <c r="P845" t="s">
        <v>74</v>
      </c>
      <c r="Q845" t="s">
        <v>74</v>
      </c>
      <c r="R845" t="s">
        <v>74</v>
      </c>
      <c r="S845" t="s">
        <v>74</v>
      </c>
      <c r="T845" t="s">
        <v>16609</v>
      </c>
      <c r="U845" t="s">
        <v>74</v>
      </c>
      <c r="V845" t="s">
        <v>16610</v>
      </c>
      <c r="W845" t="s">
        <v>16611</v>
      </c>
      <c r="X845" t="s">
        <v>16612</v>
      </c>
      <c r="Y845" t="s">
        <v>16613</v>
      </c>
      <c r="Z845" t="s">
        <v>16614</v>
      </c>
      <c r="AA845" t="s">
        <v>16615</v>
      </c>
      <c r="AB845" t="s">
        <v>16616</v>
      </c>
      <c r="AC845" t="s">
        <v>16617</v>
      </c>
      <c r="AD845" t="s">
        <v>16617</v>
      </c>
      <c r="AE845" t="s">
        <v>16618</v>
      </c>
      <c r="AF845" t="s">
        <v>74</v>
      </c>
      <c r="AG845">
        <v>47</v>
      </c>
      <c r="AH845">
        <v>18</v>
      </c>
      <c r="AI845">
        <v>23</v>
      </c>
      <c r="AJ845">
        <v>1</v>
      </c>
      <c r="AK845">
        <v>40</v>
      </c>
      <c r="AL845" t="s">
        <v>178</v>
      </c>
      <c r="AM845" t="s">
        <v>1005</v>
      </c>
      <c r="AN845" t="s">
        <v>1006</v>
      </c>
      <c r="AO845" t="s">
        <v>16619</v>
      </c>
      <c r="AP845" t="s">
        <v>16620</v>
      </c>
      <c r="AQ845" t="s">
        <v>74</v>
      </c>
      <c r="AR845" t="s">
        <v>16621</v>
      </c>
      <c r="AS845" t="s">
        <v>16622</v>
      </c>
      <c r="AT845" t="s">
        <v>246</v>
      </c>
      <c r="AU845">
        <v>2022</v>
      </c>
      <c r="AV845">
        <v>36</v>
      </c>
      <c r="AW845">
        <v>6</v>
      </c>
      <c r="AX845" t="s">
        <v>74</v>
      </c>
      <c r="AY845" t="s">
        <v>74</v>
      </c>
      <c r="AZ845" t="s">
        <v>74</v>
      </c>
      <c r="BA845" t="s">
        <v>74</v>
      </c>
      <c r="BB845">
        <v>2379</v>
      </c>
      <c r="BC845">
        <v>2409</v>
      </c>
      <c r="BD845" t="s">
        <v>74</v>
      </c>
      <c r="BE845" t="s">
        <v>16623</v>
      </c>
      <c r="BF845" t="str">
        <f>HYPERLINK("http://dx.doi.org/10.1007/s10618-022-00865-w","http://dx.doi.org/10.1007/s10618-022-00865-w")</f>
        <v>http://dx.doi.org/10.1007/s10618-022-00865-w</v>
      </c>
      <c r="BG845" t="s">
        <v>74</v>
      </c>
      <c r="BH845" t="s">
        <v>16624</v>
      </c>
      <c r="BI845">
        <v>31</v>
      </c>
      <c r="BJ845" t="s">
        <v>202</v>
      </c>
      <c r="BK845" t="s">
        <v>902</v>
      </c>
      <c r="BL845" t="s">
        <v>103</v>
      </c>
      <c r="BM845" t="s">
        <v>16625</v>
      </c>
      <c r="BN845" t="s">
        <v>74</v>
      </c>
      <c r="BO845" t="s">
        <v>1331</v>
      </c>
      <c r="BP845" t="s">
        <v>74</v>
      </c>
      <c r="BQ845" t="s">
        <v>74</v>
      </c>
      <c r="BR845" t="s">
        <v>106</v>
      </c>
      <c r="BS845" t="s">
        <v>16626</v>
      </c>
      <c r="BT845" t="str">
        <f>HYPERLINK("https%3A%2F%2Fwww.webofscience.com%2Fwos%2Fwoscc%2Ffull-record%2FWOS:000863549200001","View Full Record in Web of Science")</f>
        <v>View Full Record in Web of Science</v>
      </c>
    </row>
    <row r="846" spans="1:72" x14ac:dyDescent="0.25">
      <c r="A846" t="s">
        <v>72</v>
      </c>
      <c r="B846" t="s">
        <v>16627</v>
      </c>
      <c r="C846" t="s">
        <v>74</v>
      </c>
      <c r="D846" t="s">
        <v>74</v>
      </c>
      <c r="E846" t="s">
        <v>74</v>
      </c>
      <c r="F846" t="s">
        <v>16628</v>
      </c>
      <c r="G846" t="s">
        <v>74</v>
      </c>
      <c r="H846" t="s">
        <v>74</v>
      </c>
      <c r="I846" t="s">
        <v>16629</v>
      </c>
      <c r="J846" t="s">
        <v>16630</v>
      </c>
      <c r="K846" t="s">
        <v>74</v>
      </c>
      <c r="L846" t="s">
        <v>74</v>
      </c>
      <c r="M846" t="s">
        <v>78</v>
      </c>
      <c r="N846" t="s">
        <v>79</v>
      </c>
      <c r="O846" t="s">
        <v>74</v>
      </c>
      <c r="P846" t="s">
        <v>74</v>
      </c>
      <c r="Q846" t="s">
        <v>74</v>
      </c>
      <c r="R846" t="s">
        <v>74</v>
      </c>
      <c r="S846" t="s">
        <v>74</v>
      </c>
      <c r="T846" t="s">
        <v>16631</v>
      </c>
      <c r="U846" t="s">
        <v>16632</v>
      </c>
      <c r="V846" t="s">
        <v>16633</v>
      </c>
      <c r="W846" t="s">
        <v>16634</v>
      </c>
      <c r="X846" t="s">
        <v>16635</v>
      </c>
      <c r="Y846" t="s">
        <v>16636</v>
      </c>
      <c r="Z846" t="s">
        <v>16637</v>
      </c>
      <c r="AA846" t="s">
        <v>16638</v>
      </c>
      <c r="AB846" t="s">
        <v>74</v>
      </c>
      <c r="AC846" t="s">
        <v>16639</v>
      </c>
      <c r="AD846" t="s">
        <v>16640</v>
      </c>
      <c r="AE846" t="s">
        <v>16641</v>
      </c>
      <c r="AF846" t="s">
        <v>74</v>
      </c>
      <c r="AG846">
        <v>22</v>
      </c>
      <c r="AH846">
        <v>5</v>
      </c>
      <c r="AI846">
        <v>5</v>
      </c>
      <c r="AJ846">
        <v>0</v>
      </c>
      <c r="AK846">
        <v>22</v>
      </c>
      <c r="AL846" t="s">
        <v>1097</v>
      </c>
      <c r="AM846" t="s">
        <v>1098</v>
      </c>
      <c r="AN846" t="s">
        <v>1099</v>
      </c>
      <c r="AO846" t="s">
        <v>16642</v>
      </c>
      <c r="AP846" t="s">
        <v>16643</v>
      </c>
      <c r="AQ846" t="s">
        <v>74</v>
      </c>
      <c r="AR846" t="s">
        <v>16644</v>
      </c>
      <c r="AS846" t="s">
        <v>16645</v>
      </c>
      <c r="AT846" t="s">
        <v>368</v>
      </c>
      <c r="AU846">
        <v>2021</v>
      </c>
      <c r="AV846">
        <v>11</v>
      </c>
      <c r="AW846">
        <v>5</v>
      </c>
      <c r="AX846" t="s">
        <v>74</v>
      </c>
      <c r="AY846" t="s">
        <v>74</v>
      </c>
      <c r="AZ846" t="s">
        <v>247</v>
      </c>
      <c r="BA846" t="s">
        <v>74</v>
      </c>
      <c r="BB846">
        <v>2271</v>
      </c>
      <c r="BC846">
        <v>2286</v>
      </c>
      <c r="BD846" t="s">
        <v>74</v>
      </c>
      <c r="BE846" t="s">
        <v>16646</v>
      </c>
      <c r="BF846" t="str">
        <f>HYPERLINK("http://dx.doi.org/10.1007/s13202-021-01153-x","http://dx.doi.org/10.1007/s13202-021-01153-x")</f>
        <v>http://dx.doi.org/10.1007/s13202-021-01153-x</v>
      </c>
      <c r="BG846" t="s">
        <v>74</v>
      </c>
      <c r="BH846" t="s">
        <v>1105</v>
      </c>
      <c r="BI846">
        <v>16</v>
      </c>
      <c r="BJ846" t="s">
        <v>16647</v>
      </c>
      <c r="BK846" t="s">
        <v>902</v>
      </c>
      <c r="BL846" t="s">
        <v>16648</v>
      </c>
      <c r="BM846" t="s">
        <v>16649</v>
      </c>
      <c r="BN846" t="s">
        <v>74</v>
      </c>
      <c r="BO846" t="s">
        <v>398</v>
      </c>
      <c r="BP846" t="s">
        <v>74</v>
      </c>
      <c r="BQ846" t="s">
        <v>74</v>
      </c>
      <c r="BR846" t="s">
        <v>106</v>
      </c>
      <c r="BS846" t="s">
        <v>16650</v>
      </c>
      <c r="BT846" t="str">
        <f>HYPERLINK("https%3A%2F%2Fwww.webofscience.com%2Fwos%2Fwoscc%2Ffull-record%2FWOS:000640243300001","View Full Record in Web of Science")</f>
        <v>View Full Record in Web of Science</v>
      </c>
    </row>
    <row r="847" spans="1:72" x14ac:dyDescent="0.25">
      <c r="A847" t="s">
        <v>72</v>
      </c>
      <c r="B847" t="s">
        <v>16651</v>
      </c>
      <c r="C847" t="s">
        <v>74</v>
      </c>
      <c r="D847" t="s">
        <v>74</v>
      </c>
      <c r="E847" t="s">
        <v>74</v>
      </c>
      <c r="F847" t="s">
        <v>16652</v>
      </c>
      <c r="G847" t="s">
        <v>74</v>
      </c>
      <c r="H847" t="s">
        <v>74</v>
      </c>
      <c r="I847" t="s">
        <v>16653</v>
      </c>
      <c r="J847" t="s">
        <v>16654</v>
      </c>
      <c r="K847" t="s">
        <v>74</v>
      </c>
      <c r="L847" t="s">
        <v>74</v>
      </c>
      <c r="M847" t="s">
        <v>78</v>
      </c>
      <c r="N847" t="s">
        <v>79</v>
      </c>
      <c r="O847" t="s">
        <v>74</v>
      </c>
      <c r="P847" t="s">
        <v>74</v>
      </c>
      <c r="Q847" t="s">
        <v>74</v>
      </c>
      <c r="R847" t="s">
        <v>74</v>
      </c>
      <c r="S847" t="s">
        <v>74</v>
      </c>
      <c r="T847" t="s">
        <v>16655</v>
      </c>
      <c r="U847" t="s">
        <v>74</v>
      </c>
      <c r="V847" t="s">
        <v>16656</v>
      </c>
      <c r="W847" t="s">
        <v>16657</v>
      </c>
      <c r="X847" t="s">
        <v>16658</v>
      </c>
      <c r="Y847" t="s">
        <v>16659</v>
      </c>
      <c r="Z847" t="s">
        <v>16660</v>
      </c>
      <c r="AA847" t="s">
        <v>16661</v>
      </c>
      <c r="AB847" t="s">
        <v>16662</v>
      </c>
      <c r="AC847" t="s">
        <v>16663</v>
      </c>
      <c r="AD847" t="s">
        <v>16664</v>
      </c>
      <c r="AE847" t="s">
        <v>16665</v>
      </c>
      <c r="AF847" t="s">
        <v>74</v>
      </c>
      <c r="AG847">
        <v>21</v>
      </c>
      <c r="AH847">
        <v>7</v>
      </c>
      <c r="AI847">
        <v>10</v>
      </c>
      <c r="AJ847">
        <v>0</v>
      </c>
      <c r="AK847">
        <v>15</v>
      </c>
      <c r="AL847" t="s">
        <v>10100</v>
      </c>
      <c r="AM847" t="s">
        <v>10101</v>
      </c>
      <c r="AN847" t="s">
        <v>10102</v>
      </c>
      <c r="AO847" t="s">
        <v>16666</v>
      </c>
      <c r="AP847" t="s">
        <v>16667</v>
      </c>
      <c r="AQ847" t="s">
        <v>74</v>
      </c>
      <c r="AR847" t="s">
        <v>16668</v>
      </c>
      <c r="AS847" t="s">
        <v>16669</v>
      </c>
      <c r="AT847" t="s">
        <v>4318</v>
      </c>
      <c r="AU847">
        <v>2020</v>
      </c>
      <c r="AV847">
        <v>36</v>
      </c>
      <c r="AW847">
        <v>5</v>
      </c>
      <c r="AX847" t="s">
        <v>74</v>
      </c>
      <c r="AY847" t="s">
        <v>74</v>
      </c>
      <c r="AZ847" t="s">
        <v>74</v>
      </c>
      <c r="BA847" t="s">
        <v>74</v>
      </c>
      <c r="BB847">
        <v>360</v>
      </c>
      <c r="BC847">
        <v>367</v>
      </c>
      <c r="BD847" t="s">
        <v>74</v>
      </c>
      <c r="BE847" t="s">
        <v>16670</v>
      </c>
      <c r="BF847" t="str">
        <f>HYPERLINK("http://dx.doi.org/10.1123/jab.2020-0029","http://dx.doi.org/10.1123/jab.2020-0029")</f>
        <v>http://dx.doi.org/10.1123/jab.2020-0029</v>
      </c>
      <c r="BG847" t="s">
        <v>74</v>
      </c>
      <c r="BH847" t="s">
        <v>74</v>
      </c>
      <c r="BI847">
        <v>8</v>
      </c>
      <c r="BJ847" t="s">
        <v>16671</v>
      </c>
      <c r="BK847" t="s">
        <v>745</v>
      </c>
      <c r="BL847" t="s">
        <v>16672</v>
      </c>
      <c r="BM847" t="s">
        <v>16673</v>
      </c>
      <c r="BN847" t="s">
        <v>74</v>
      </c>
      <c r="BO847" t="s">
        <v>74</v>
      </c>
      <c r="BP847" t="s">
        <v>74</v>
      </c>
      <c r="BQ847" t="s">
        <v>74</v>
      </c>
      <c r="BR847" t="s">
        <v>106</v>
      </c>
      <c r="BS847" t="s">
        <v>16674</v>
      </c>
      <c r="BT847" t="str">
        <f>HYPERLINK("https%3A%2F%2Fwww.webofscience.com%2Fwos%2Fwoscc%2Ffull-record%2FWOS:000576134000014","View Full Record in Web of Science")</f>
        <v>View Full Record in Web of Science</v>
      </c>
    </row>
    <row r="848" spans="1:72" x14ac:dyDescent="0.25">
      <c r="A848" t="s">
        <v>72</v>
      </c>
      <c r="B848" t="s">
        <v>14025</v>
      </c>
      <c r="C848" t="s">
        <v>74</v>
      </c>
      <c r="D848" t="s">
        <v>74</v>
      </c>
      <c r="E848" t="s">
        <v>74</v>
      </c>
      <c r="F848" t="s">
        <v>14026</v>
      </c>
      <c r="G848" t="s">
        <v>74</v>
      </c>
      <c r="H848" t="s">
        <v>74</v>
      </c>
      <c r="I848" t="s">
        <v>16675</v>
      </c>
      <c r="J848" t="s">
        <v>16676</v>
      </c>
      <c r="K848" t="s">
        <v>74</v>
      </c>
      <c r="L848" t="s">
        <v>74</v>
      </c>
      <c r="M848" t="s">
        <v>78</v>
      </c>
      <c r="N848" t="s">
        <v>79</v>
      </c>
      <c r="O848" t="s">
        <v>74</v>
      </c>
      <c r="P848" t="s">
        <v>74</v>
      </c>
      <c r="Q848" t="s">
        <v>74</v>
      </c>
      <c r="R848" t="s">
        <v>74</v>
      </c>
      <c r="S848" t="s">
        <v>74</v>
      </c>
      <c r="T848" t="s">
        <v>16677</v>
      </c>
      <c r="U848" t="s">
        <v>16678</v>
      </c>
      <c r="V848" t="s">
        <v>16679</v>
      </c>
      <c r="W848" t="s">
        <v>16680</v>
      </c>
      <c r="X848" t="s">
        <v>16681</v>
      </c>
      <c r="Y848" t="s">
        <v>16682</v>
      </c>
      <c r="Z848" t="s">
        <v>16683</v>
      </c>
      <c r="AA848" t="s">
        <v>74</v>
      </c>
      <c r="AB848" t="s">
        <v>74</v>
      </c>
      <c r="AC848" t="s">
        <v>74</v>
      </c>
      <c r="AD848" t="s">
        <v>74</v>
      </c>
      <c r="AE848" t="s">
        <v>74</v>
      </c>
      <c r="AF848" t="s">
        <v>74</v>
      </c>
      <c r="AG848">
        <v>24</v>
      </c>
      <c r="AH848">
        <v>1</v>
      </c>
      <c r="AI848">
        <v>1</v>
      </c>
      <c r="AJ848">
        <v>0</v>
      </c>
      <c r="AK848">
        <v>3</v>
      </c>
      <c r="AL848" t="s">
        <v>1369</v>
      </c>
      <c r="AM848" t="s">
        <v>1320</v>
      </c>
      <c r="AN848" t="s">
        <v>1370</v>
      </c>
      <c r="AO848" t="s">
        <v>16684</v>
      </c>
      <c r="AP848" t="s">
        <v>16685</v>
      </c>
      <c r="AQ848" t="s">
        <v>74</v>
      </c>
      <c r="AR848" t="s">
        <v>16686</v>
      </c>
      <c r="AS848" t="s">
        <v>16687</v>
      </c>
      <c r="AT848" t="s">
        <v>1166</v>
      </c>
      <c r="AU848">
        <v>2017</v>
      </c>
      <c r="AV848">
        <v>26</v>
      </c>
      <c r="AW848">
        <v>2</v>
      </c>
      <c r="AX848" t="s">
        <v>74</v>
      </c>
      <c r="AY848" t="s">
        <v>74</v>
      </c>
      <c r="AZ848" t="s">
        <v>74</v>
      </c>
      <c r="BA848" t="s">
        <v>74</v>
      </c>
      <c r="BB848">
        <v>81</v>
      </c>
      <c r="BC848">
        <v>88</v>
      </c>
      <c r="BD848" t="s">
        <v>74</v>
      </c>
      <c r="BE848" t="s">
        <v>16688</v>
      </c>
      <c r="BF848" t="str">
        <f>HYPERLINK("http://dx.doi.org/10.1177/1038416217718364","http://dx.doi.org/10.1177/1038416217718364")</f>
        <v>http://dx.doi.org/10.1177/1038416217718364</v>
      </c>
      <c r="BG848" t="s">
        <v>74</v>
      </c>
      <c r="BH848" t="s">
        <v>74</v>
      </c>
      <c r="BI848">
        <v>8</v>
      </c>
      <c r="BJ848" t="s">
        <v>10400</v>
      </c>
      <c r="BK848" t="s">
        <v>102</v>
      </c>
      <c r="BL848" t="s">
        <v>251</v>
      </c>
      <c r="BM848" t="s">
        <v>16689</v>
      </c>
      <c r="BN848" t="s">
        <v>74</v>
      </c>
      <c r="BO848" t="s">
        <v>74</v>
      </c>
      <c r="BP848" t="s">
        <v>74</v>
      </c>
      <c r="BQ848" t="s">
        <v>74</v>
      </c>
      <c r="BR848" t="s">
        <v>106</v>
      </c>
      <c r="BS848" t="s">
        <v>16690</v>
      </c>
      <c r="BT848" t="str">
        <f>HYPERLINK("https%3A%2F%2Fwww.webofscience.com%2Fwos%2Fwoscc%2Ffull-record%2FWOS:000408886100005","View Full Record in Web of Science")</f>
        <v>View Full Record in Web of Science</v>
      </c>
    </row>
    <row r="849" spans="1:72" x14ac:dyDescent="0.25">
      <c r="A849" t="s">
        <v>72</v>
      </c>
      <c r="B849" t="s">
        <v>16691</v>
      </c>
      <c r="C849" t="s">
        <v>74</v>
      </c>
      <c r="D849" t="s">
        <v>74</v>
      </c>
      <c r="E849" t="s">
        <v>74</v>
      </c>
      <c r="F849" t="s">
        <v>16692</v>
      </c>
      <c r="G849" t="s">
        <v>74</v>
      </c>
      <c r="H849" t="s">
        <v>74</v>
      </c>
      <c r="I849" t="s">
        <v>16693</v>
      </c>
      <c r="J849" t="s">
        <v>9182</v>
      </c>
      <c r="K849" t="s">
        <v>74</v>
      </c>
      <c r="L849" t="s">
        <v>74</v>
      </c>
      <c r="M849" t="s">
        <v>78</v>
      </c>
      <c r="N849" t="s">
        <v>79</v>
      </c>
      <c r="O849" t="s">
        <v>74</v>
      </c>
      <c r="P849" t="s">
        <v>74</v>
      </c>
      <c r="Q849" t="s">
        <v>74</v>
      </c>
      <c r="R849" t="s">
        <v>74</v>
      </c>
      <c r="S849" t="s">
        <v>74</v>
      </c>
      <c r="T849" t="s">
        <v>16694</v>
      </c>
      <c r="U849" t="s">
        <v>9854</v>
      </c>
      <c r="V849" t="s">
        <v>16695</v>
      </c>
      <c r="W849" t="s">
        <v>16696</v>
      </c>
      <c r="X849" t="s">
        <v>16697</v>
      </c>
      <c r="Y849" t="s">
        <v>16698</v>
      </c>
      <c r="Z849" t="s">
        <v>16699</v>
      </c>
      <c r="AA849" t="s">
        <v>16700</v>
      </c>
      <c r="AB849" t="s">
        <v>16701</v>
      </c>
      <c r="AC849" t="s">
        <v>16702</v>
      </c>
      <c r="AD849" t="s">
        <v>16703</v>
      </c>
      <c r="AE849" t="s">
        <v>16704</v>
      </c>
      <c r="AF849" t="s">
        <v>74</v>
      </c>
      <c r="AG849">
        <v>35</v>
      </c>
      <c r="AH849">
        <v>17</v>
      </c>
      <c r="AI849">
        <v>20</v>
      </c>
      <c r="AJ849">
        <v>1</v>
      </c>
      <c r="AK849">
        <v>25</v>
      </c>
      <c r="AL849" t="s">
        <v>291</v>
      </c>
      <c r="AM849" t="s">
        <v>92</v>
      </c>
      <c r="AN849" t="s">
        <v>2534</v>
      </c>
      <c r="AO849" t="s">
        <v>9193</v>
      </c>
      <c r="AP849" t="s">
        <v>9194</v>
      </c>
      <c r="AQ849" t="s">
        <v>74</v>
      </c>
      <c r="AR849" t="s">
        <v>9195</v>
      </c>
      <c r="AS849" t="s">
        <v>9196</v>
      </c>
      <c r="AT849" t="s">
        <v>1375</v>
      </c>
      <c r="AU849">
        <v>2024</v>
      </c>
      <c r="AV849">
        <v>18</v>
      </c>
      <c r="AW849">
        <v>5</v>
      </c>
      <c r="AX849" t="s">
        <v>74</v>
      </c>
      <c r="AY849" t="s">
        <v>74</v>
      </c>
      <c r="AZ849" t="s">
        <v>74</v>
      </c>
      <c r="BA849" t="s">
        <v>74</v>
      </c>
      <c r="BB849" t="s">
        <v>74</v>
      </c>
      <c r="BC849" t="s">
        <v>74</v>
      </c>
      <c r="BD849">
        <v>112</v>
      </c>
      <c r="BE849" t="s">
        <v>16705</v>
      </c>
      <c r="BF849" t="str">
        <f>HYPERLINK("http://dx.doi.org/10.1145/3643644","http://dx.doi.org/10.1145/3643644")</f>
        <v>http://dx.doi.org/10.1145/3643644</v>
      </c>
      <c r="BG849" t="s">
        <v>74</v>
      </c>
      <c r="BH849" t="s">
        <v>74</v>
      </c>
      <c r="BI849">
        <v>21</v>
      </c>
      <c r="BJ849" t="s">
        <v>2540</v>
      </c>
      <c r="BK849" t="s">
        <v>902</v>
      </c>
      <c r="BL849" t="s">
        <v>103</v>
      </c>
      <c r="BM849" t="s">
        <v>16706</v>
      </c>
      <c r="BN849" t="s">
        <v>74</v>
      </c>
      <c r="BO849" t="s">
        <v>74</v>
      </c>
      <c r="BP849" t="s">
        <v>74</v>
      </c>
      <c r="BQ849" t="s">
        <v>74</v>
      </c>
      <c r="BR849" t="s">
        <v>106</v>
      </c>
      <c r="BS849" t="s">
        <v>16707</v>
      </c>
      <c r="BT849" t="str">
        <f>HYPERLINK("https%3A%2F%2Fwww.webofscience.com%2Fwos%2Fwoscc%2Ffull-record%2FWOS:001208696700008","View Full Record in Web of Science")</f>
        <v>View Full Record in Web of Science</v>
      </c>
    </row>
    <row r="850" spans="1:72" x14ac:dyDescent="0.25">
      <c r="A850" t="s">
        <v>1108</v>
      </c>
      <c r="B850" t="s">
        <v>16708</v>
      </c>
      <c r="C850" t="s">
        <v>74</v>
      </c>
      <c r="D850" t="s">
        <v>16709</v>
      </c>
      <c r="E850" t="s">
        <v>74</v>
      </c>
      <c r="F850" t="s">
        <v>16710</v>
      </c>
      <c r="G850" t="s">
        <v>74</v>
      </c>
      <c r="H850" t="s">
        <v>74</v>
      </c>
      <c r="I850" t="s">
        <v>16711</v>
      </c>
      <c r="J850" t="s">
        <v>16712</v>
      </c>
      <c r="K850" t="s">
        <v>74</v>
      </c>
      <c r="L850" t="s">
        <v>74</v>
      </c>
      <c r="M850" t="s">
        <v>78</v>
      </c>
      <c r="N850" t="s">
        <v>1113</v>
      </c>
      <c r="O850" t="s">
        <v>74</v>
      </c>
      <c r="P850" t="s">
        <v>74</v>
      </c>
      <c r="Q850" t="s">
        <v>74</v>
      </c>
      <c r="R850" t="s">
        <v>74</v>
      </c>
      <c r="S850" t="s">
        <v>74</v>
      </c>
      <c r="T850" t="s">
        <v>74</v>
      </c>
      <c r="U850" t="s">
        <v>16713</v>
      </c>
      <c r="V850" t="s">
        <v>16714</v>
      </c>
      <c r="W850" t="s">
        <v>16715</v>
      </c>
      <c r="X850" t="s">
        <v>8857</v>
      </c>
      <c r="Y850" t="s">
        <v>16716</v>
      </c>
      <c r="Z850" t="s">
        <v>16717</v>
      </c>
      <c r="AA850" t="s">
        <v>16718</v>
      </c>
      <c r="AB850" t="s">
        <v>16719</v>
      </c>
      <c r="AC850" t="s">
        <v>74</v>
      </c>
      <c r="AD850" t="s">
        <v>74</v>
      </c>
      <c r="AE850" t="s">
        <v>74</v>
      </c>
      <c r="AF850" t="s">
        <v>74</v>
      </c>
      <c r="AG850">
        <v>62</v>
      </c>
      <c r="AH850">
        <v>25</v>
      </c>
      <c r="AI850">
        <v>30</v>
      </c>
      <c r="AJ850">
        <v>0</v>
      </c>
      <c r="AK850">
        <v>2</v>
      </c>
      <c r="AL850" t="s">
        <v>197</v>
      </c>
      <c r="AM850" t="s">
        <v>198</v>
      </c>
      <c r="AN850" t="s">
        <v>199</v>
      </c>
      <c r="AO850" t="s">
        <v>74</v>
      </c>
      <c r="AP850" t="s">
        <v>74</v>
      </c>
      <c r="AQ850" t="s">
        <v>16720</v>
      </c>
      <c r="AR850" t="s">
        <v>74</v>
      </c>
      <c r="AS850" t="s">
        <v>74</v>
      </c>
      <c r="AT850" t="s">
        <v>74</v>
      </c>
      <c r="AU850">
        <v>2010</v>
      </c>
      <c r="AV850" t="s">
        <v>74</v>
      </c>
      <c r="AW850" t="s">
        <v>74</v>
      </c>
      <c r="AX850" t="s">
        <v>74</v>
      </c>
      <c r="AY850" t="s">
        <v>74</v>
      </c>
      <c r="AZ850" t="s">
        <v>74</v>
      </c>
      <c r="BA850" t="s">
        <v>74</v>
      </c>
      <c r="BB850">
        <v>387</v>
      </c>
      <c r="BC850">
        <v>407</v>
      </c>
      <c r="BD850" t="s">
        <v>74</v>
      </c>
      <c r="BE850" t="s">
        <v>16721</v>
      </c>
      <c r="BF850" t="str">
        <f>HYPERLINK("http://dx.doi.org/10.1007/978-3-642-14125-6_18","http://dx.doi.org/10.1007/978-3-642-14125-6_18")</f>
        <v>http://dx.doi.org/10.1007/978-3-642-14125-6_18</v>
      </c>
      <c r="BG850" t="s">
        <v>74</v>
      </c>
      <c r="BH850" t="s">
        <v>74</v>
      </c>
      <c r="BI850">
        <v>21</v>
      </c>
      <c r="BJ850" t="s">
        <v>807</v>
      </c>
      <c r="BK850" t="s">
        <v>2421</v>
      </c>
      <c r="BL850" t="s">
        <v>103</v>
      </c>
      <c r="BM850" t="s">
        <v>16722</v>
      </c>
      <c r="BN850" t="s">
        <v>74</v>
      </c>
      <c r="BO850" t="s">
        <v>74</v>
      </c>
      <c r="BP850" t="s">
        <v>74</v>
      </c>
      <c r="BQ850" t="s">
        <v>74</v>
      </c>
      <c r="BR850" t="s">
        <v>106</v>
      </c>
      <c r="BS850" t="s">
        <v>16723</v>
      </c>
      <c r="BT850" t="str">
        <f>HYPERLINK("https%3A%2F%2Fwww.webofscience.com%2Fwos%2Fwoscc%2Ffull-record%2FWOS:000285117600018","View Full Record in Web of Science")</f>
        <v>View Full Record in Web of Science</v>
      </c>
    </row>
    <row r="851" spans="1:72" x14ac:dyDescent="0.25">
      <c r="A851" t="s">
        <v>72</v>
      </c>
      <c r="B851" t="s">
        <v>16724</v>
      </c>
      <c r="C851" t="s">
        <v>74</v>
      </c>
      <c r="D851" t="s">
        <v>74</v>
      </c>
      <c r="E851" t="s">
        <v>74</v>
      </c>
      <c r="F851" t="s">
        <v>16725</v>
      </c>
      <c r="G851" t="s">
        <v>74</v>
      </c>
      <c r="H851" t="s">
        <v>74</v>
      </c>
      <c r="I851" t="s">
        <v>16726</v>
      </c>
      <c r="J851" t="s">
        <v>12234</v>
      </c>
      <c r="K851" t="s">
        <v>74</v>
      </c>
      <c r="L851" t="s">
        <v>74</v>
      </c>
      <c r="M851" t="s">
        <v>78</v>
      </c>
      <c r="N851" t="s">
        <v>79</v>
      </c>
      <c r="O851" t="s">
        <v>74</v>
      </c>
      <c r="P851" t="s">
        <v>74</v>
      </c>
      <c r="Q851" t="s">
        <v>74</v>
      </c>
      <c r="R851" t="s">
        <v>74</v>
      </c>
      <c r="S851" t="s">
        <v>74</v>
      </c>
      <c r="T851" t="s">
        <v>16727</v>
      </c>
      <c r="U851" t="s">
        <v>16728</v>
      </c>
      <c r="V851" t="s">
        <v>16729</v>
      </c>
      <c r="W851" t="s">
        <v>16730</v>
      </c>
      <c r="X851" t="s">
        <v>16731</v>
      </c>
      <c r="Y851" t="s">
        <v>16732</v>
      </c>
      <c r="Z851" t="s">
        <v>16733</v>
      </c>
      <c r="AA851" t="s">
        <v>16734</v>
      </c>
      <c r="AB851" t="s">
        <v>16735</v>
      </c>
      <c r="AC851" t="s">
        <v>16736</v>
      </c>
      <c r="AD851" t="s">
        <v>16736</v>
      </c>
      <c r="AE851" t="s">
        <v>16737</v>
      </c>
      <c r="AF851" t="s">
        <v>74</v>
      </c>
      <c r="AG851">
        <v>81</v>
      </c>
      <c r="AH851">
        <v>31</v>
      </c>
      <c r="AI851">
        <v>35</v>
      </c>
      <c r="AJ851">
        <v>1</v>
      </c>
      <c r="AK851">
        <v>17</v>
      </c>
      <c r="AL851" t="s">
        <v>1272</v>
      </c>
      <c r="AM851" t="s">
        <v>1273</v>
      </c>
      <c r="AN851" t="s">
        <v>1274</v>
      </c>
      <c r="AO851" t="s">
        <v>74</v>
      </c>
      <c r="AP851" t="s">
        <v>12247</v>
      </c>
      <c r="AQ851" t="s">
        <v>74</v>
      </c>
      <c r="AR851" t="s">
        <v>12248</v>
      </c>
      <c r="AS851" t="s">
        <v>12249</v>
      </c>
      <c r="AT851" t="s">
        <v>246</v>
      </c>
      <c r="AU851">
        <v>2021</v>
      </c>
      <c r="AV851">
        <v>13</v>
      </c>
      <c r="AW851">
        <v>22</v>
      </c>
      <c r="AX851" t="s">
        <v>74</v>
      </c>
      <c r="AY851" t="s">
        <v>74</v>
      </c>
      <c r="AZ851" t="s">
        <v>74</v>
      </c>
      <c r="BA851" t="s">
        <v>74</v>
      </c>
      <c r="BB851" t="s">
        <v>74</v>
      </c>
      <c r="BC851" t="s">
        <v>74</v>
      </c>
      <c r="BD851">
        <v>12527</v>
      </c>
      <c r="BE851" t="s">
        <v>16738</v>
      </c>
      <c r="BF851" t="str">
        <f>HYPERLINK("http://dx.doi.org/10.3390/su132212527","http://dx.doi.org/10.3390/su132212527")</f>
        <v>http://dx.doi.org/10.3390/su132212527</v>
      </c>
      <c r="BG851" t="s">
        <v>74</v>
      </c>
      <c r="BH851" t="s">
        <v>74</v>
      </c>
      <c r="BI851">
        <v>24</v>
      </c>
      <c r="BJ851" t="s">
        <v>12252</v>
      </c>
      <c r="BK851" t="s">
        <v>745</v>
      </c>
      <c r="BL851" t="s">
        <v>10608</v>
      </c>
      <c r="BM851" t="s">
        <v>16739</v>
      </c>
      <c r="BN851" t="s">
        <v>74</v>
      </c>
      <c r="BO851" t="s">
        <v>398</v>
      </c>
      <c r="BP851" t="s">
        <v>74</v>
      </c>
      <c r="BQ851" t="s">
        <v>74</v>
      </c>
      <c r="BR851" t="s">
        <v>106</v>
      </c>
      <c r="BS851" t="s">
        <v>16740</v>
      </c>
      <c r="BT851" t="str">
        <f>HYPERLINK("https%3A%2F%2Fwww.webofscience.com%2Fwos%2Fwoscc%2Ffull-record%2FWOS:000749894000001","View Full Record in Web of Science")</f>
        <v>View Full Record in Web of Science</v>
      </c>
    </row>
    <row r="852" spans="1:72" x14ac:dyDescent="0.25">
      <c r="A852" t="s">
        <v>108</v>
      </c>
      <c r="B852" t="s">
        <v>16741</v>
      </c>
      <c r="C852" t="s">
        <v>74</v>
      </c>
      <c r="D852" t="s">
        <v>74</v>
      </c>
      <c r="E852" t="s">
        <v>322</v>
      </c>
      <c r="F852" t="s">
        <v>16742</v>
      </c>
      <c r="G852" t="s">
        <v>74</v>
      </c>
      <c r="H852" t="s">
        <v>74</v>
      </c>
      <c r="I852" t="s">
        <v>16743</v>
      </c>
      <c r="J852" t="s">
        <v>16744</v>
      </c>
      <c r="K852" t="s">
        <v>74</v>
      </c>
      <c r="L852" t="s">
        <v>74</v>
      </c>
      <c r="M852" t="s">
        <v>78</v>
      </c>
      <c r="N852" t="s">
        <v>115</v>
      </c>
      <c r="O852" t="s">
        <v>16745</v>
      </c>
      <c r="P852" t="s">
        <v>16746</v>
      </c>
      <c r="Q852" t="s">
        <v>8325</v>
      </c>
      <c r="R852" t="s">
        <v>273</v>
      </c>
      <c r="S852" t="s">
        <v>74</v>
      </c>
      <c r="T852" t="s">
        <v>16747</v>
      </c>
      <c r="U852" t="s">
        <v>74</v>
      </c>
      <c r="V852" t="s">
        <v>16748</v>
      </c>
      <c r="W852" t="s">
        <v>16749</v>
      </c>
      <c r="X852" t="s">
        <v>16750</v>
      </c>
      <c r="Y852" t="s">
        <v>16751</v>
      </c>
      <c r="Z852" t="s">
        <v>16752</v>
      </c>
      <c r="AA852" t="s">
        <v>74</v>
      </c>
      <c r="AB852" t="s">
        <v>16753</v>
      </c>
      <c r="AC852" t="s">
        <v>16754</v>
      </c>
      <c r="AD852" t="s">
        <v>16755</v>
      </c>
      <c r="AE852" t="s">
        <v>16756</v>
      </c>
      <c r="AF852" t="s">
        <v>74</v>
      </c>
      <c r="AG852">
        <v>42</v>
      </c>
      <c r="AH852">
        <v>12</v>
      </c>
      <c r="AI852">
        <v>12</v>
      </c>
      <c r="AJ852">
        <v>1</v>
      </c>
      <c r="AK852">
        <v>8</v>
      </c>
      <c r="AL852" t="s">
        <v>291</v>
      </c>
      <c r="AM852" t="s">
        <v>92</v>
      </c>
      <c r="AN852" t="s">
        <v>341</v>
      </c>
      <c r="AO852" t="s">
        <v>74</v>
      </c>
      <c r="AP852" t="s">
        <v>74</v>
      </c>
      <c r="AQ852" t="s">
        <v>16757</v>
      </c>
      <c r="AR852" t="s">
        <v>74</v>
      </c>
      <c r="AS852" t="s">
        <v>74</v>
      </c>
      <c r="AT852" t="s">
        <v>74</v>
      </c>
      <c r="AU852">
        <v>2023</v>
      </c>
      <c r="AV852" t="s">
        <v>74</v>
      </c>
      <c r="AW852" t="s">
        <v>74</v>
      </c>
      <c r="AX852" t="s">
        <v>74</v>
      </c>
      <c r="AY852" t="s">
        <v>74</v>
      </c>
      <c r="AZ852" t="s">
        <v>74</v>
      </c>
      <c r="BA852" t="s">
        <v>74</v>
      </c>
      <c r="BB852">
        <v>3560</v>
      </c>
      <c r="BC852">
        <v>3568</v>
      </c>
      <c r="BD852" t="s">
        <v>74</v>
      </c>
      <c r="BE852" t="s">
        <v>16758</v>
      </c>
      <c r="BF852" t="str">
        <f>HYPERLINK("http://dx.doi.org/10.1145/3581783.3613809","http://dx.doi.org/10.1145/3581783.3613809")</f>
        <v>http://dx.doi.org/10.1145/3581783.3613809</v>
      </c>
      <c r="BG852" t="s">
        <v>74</v>
      </c>
      <c r="BH852" t="s">
        <v>74</v>
      </c>
      <c r="BI852">
        <v>9</v>
      </c>
      <c r="BJ852" t="s">
        <v>16759</v>
      </c>
      <c r="BK852" t="s">
        <v>203</v>
      </c>
      <c r="BL852" t="s">
        <v>103</v>
      </c>
      <c r="BM852" t="s">
        <v>16760</v>
      </c>
      <c r="BN852" t="s">
        <v>74</v>
      </c>
      <c r="BO852" t="s">
        <v>398</v>
      </c>
      <c r="BP852" t="s">
        <v>74</v>
      </c>
      <c r="BQ852" t="s">
        <v>74</v>
      </c>
      <c r="BR852" t="s">
        <v>106</v>
      </c>
      <c r="BS852" t="s">
        <v>16761</v>
      </c>
      <c r="BT852" t="str">
        <f>HYPERLINK("https%3A%2F%2Fwww.webofscience.com%2Fwos%2Fwoscc%2Ffull-record%2FWOS:001199449103066","View Full Record in Web of Science")</f>
        <v>View Full Record in Web of Science</v>
      </c>
    </row>
    <row r="853" spans="1:72" x14ac:dyDescent="0.25">
      <c r="A853" t="s">
        <v>72</v>
      </c>
      <c r="B853" t="s">
        <v>16762</v>
      </c>
      <c r="C853" t="s">
        <v>74</v>
      </c>
      <c r="D853" t="s">
        <v>74</v>
      </c>
      <c r="E853" t="s">
        <v>74</v>
      </c>
      <c r="F853" t="s">
        <v>16763</v>
      </c>
      <c r="G853" t="s">
        <v>74</v>
      </c>
      <c r="H853" t="s">
        <v>74</v>
      </c>
      <c r="I853" t="s">
        <v>16764</v>
      </c>
      <c r="J853" t="s">
        <v>10571</v>
      </c>
      <c r="K853" t="s">
        <v>74</v>
      </c>
      <c r="L853" t="s">
        <v>74</v>
      </c>
      <c r="M853" t="s">
        <v>78</v>
      </c>
      <c r="N853" t="s">
        <v>79</v>
      </c>
      <c r="O853" t="s">
        <v>74</v>
      </c>
      <c r="P853" t="s">
        <v>74</v>
      </c>
      <c r="Q853" t="s">
        <v>74</v>
      </c>
      <c r="R853" t="s">
        <v>74</v>
      </c>
      <c r="S853" t="s">
        <v>74</v>
      </c>
      <c r="T853" t="s">
        <v>16765</v>
      </c>
      <c r="U853" t="s">
        <v>16766</v>
      </c>
      <c r="V853" t="s">
        <v>16767</v>
      </c>
      <c r="W853" t="s">
        <v>16768</v>
      </c>
      <c r="X853" t="s">
        <v>16769</v>
      </c>
      <c r="Y853" t="s">
        <v>16770</v>
      </c>
      <c r="Z853" t="s">
        <v>16771</v>
      </c>
      <c r="AA853" t="s">
        <v>16772</v>
      </c>
      <c r="AB853" t="s">
        <v>16773</v>
      </c>
      <c r="AC853" t="s">
        <v>16774</v>
      </c>
      <c r="AD853" t="s">
        <v>16775</v>
      </c>
      <c r="AE853" t="s">
        <v>16776</v>
      </c>
      <c r="AF853" t="s">
        <v>74</v>
      </c>
      <c r="AG853">
        <v>33</v>
      </c>
      <c r="AH853">
        <v>634</v>
      </c>
      <c r="AI853">
        <v>657</v>
      </c>
      <c r="AJ853">
        <v>2</v>
      </c>
      <c r="AK853">
        <v>205</v>
      </c>
      <c r="AL853" t="s">
        <v>947</v>
      </c>
      <c r="AM853" t="s">
        <v>948</v>
      </c>
      <c r="AN853" t="s">
        <v>2346</v>
      </c>
      <c r="AO853" t="s">
        <v>10580</v>
      </c>
      <c r="AP853" t="s">
        <v>10581</v>
      </c>
      <c r="AQ853" t="s">
        <v>74</v>
      </c>
      <c r="AR853" t="s">
        <v>10582</v>
      </c>
      <c r="AS853" t="s">
        <v>10583</v>
      </c>
      <c r="AT853" t="s">
        <v>12024</v>
      </c>
      <c r="AU853">
        <v>2016</v>
      </c>
      <c r="AV853">
        <v>27</v>
      </c>
      <c r="AW853">
        <v>9</v>
      </c>
      <c r="AX853" t="s">
        <v>74</v>
      </c>
      <c r="AY853" t="s">
        <v>74</v>
      </c>
      <c r="AZ853" t="s">
        <v>74</v>
      </c>
      <c r="BA853" t="s">
        <v>74</v>
      </c>
      <c r="BB853">
        <v>2546</v>
      </c>
      <c r="BC853">
        <v>2559</v>
      </c>
      <c r="BD853" t="s">
        <v>74</v>
      </c>
      <c r="BE853" t="s">
        <v>16777</v>
      </c>
      <c r="BF853" t="str">
        <f>HYPERLINK("http://dx.doi.org/10.1109/TPDS.2015.2506573","http://dx.doi.org/10.1109/TPDS.2015.2506573")</f>
        <v>http://dx.doi.org/10.1109/TPDS.2015.2506573</v>
      </c>
      <c r="BG853" t="s">
        <v>74</v>
      </c>
      <c r="BH853" t="s">
        <v>74</v>
      </c>
      <c r="BI853">
        <v>14</v>
      </c>
      <c r="BJ853" t="s">
        <v>972</v>
      </c>
      <c r="BK853" t="s">
        <v>902</v>
      </c>
      <c r="BL853" t="s">
        <v>953</v>
      </c>
      <c r="BM853" t="s">
        <v>16778</v>
      </c>
      <c r="BN853" t="s">
        <v>74</v>
      </c>
      <c r="BO853" t="s">
        <v>74</v>
      </c>
      <c r="BP853" t="s">
        <v>16023</v>
      </c>
      <c r="BQ853" t="s">
        <v>16024</v>
      </c>
      <c r="BR853" t="s">
        <v>106</v>
      </c>
      <c r="BS853" t="s">
        <v>16779</v>
      </c>
      <c r="BT853" t="str">
        <f>HYPERLINK("https%3A%2F%2Fwww.webofscience.com%2Fwos%2Fwoscc%2Ffull-record%2FWOS:000384238000006","View Full Record in Web of Science")</f>
        <v>View Full Record in Web of Science</v>
      </c>
    </row>
    <row r="854" spans="1:72" x14ac:dyDescent="0.25">
      <c r="A854" t="s">
        <v>108</v>
      </c>
      <c r="B854" t="s">
        <v>14025</v>
      </c>
      <c r="C854" t="s">
        <v>74</v>
      </c>
      <c r="D854" t="s">
        <v>16780</v>
      </c>
      <c r="E854" t="s">
        <v>74</v>
      </c>
      <c r="F854" t="s">
        <v>14025</v>
      </c>
      <c r="G854" t="s">
        <v>74</v>
      </c>
      <c r="H854" t="s">
        <v>74</v>
      </c>
      <c r="I854" t="s">
        <v>16781</v>
      </c>
      <c r="J854" t="s">
        <v>16782</v>
      </c>
      <c r="K854" t="s">
        <v>74</v>
      </c>
      <c r="L854" t="s">
        <v>74</v>
      </c>
      <c r="M854" t="s">
        <v>78</v>
      </c>
      <c r="N854" t="s">
        <v>115</v>
      </c>
      <c r="O854" t="s">
        <v>16783</v>
      </c>
      <c r="P854" t="s">
        <v>16784</v>
      </c>
      <c r="Q854" t="s">
        <v>5553</v>
      </c>
      <c r="R854" t="s">
        <v>16785</v>
      </c>
      <c r="S854" t="s">
        <v>74</v>
      </c>
      <c r="T854" t="s">
        <v>74</v>
      </c>
      <c r="U854" t="s">
        <v>16786</v>
      </c>
      <c r="V854" t="s">
        <v>16787</v>
      </c>
      <c r="W854" t="s">
        <v>16300</v>
      </c>
      <c r="X854" t="s">
        <v>14032</v>
      </c>
      <c r="Y854" t="s">
        <v>74</v>
      </c>
      <c r="Z854" t="s">
        <v>74</v>
      </c>
      <c r="AA854" t="s">
        <v>74</v>
      </c>
      <c r="AB854" t="s">
        <v>74</v>
      </c>
      <c r="AC854" t="s">
        <v>74</v>
      </c>
      <c r="AD854" t="s">
        <v>74</v>
      </c>
      <c r="AE854" t="s">
        <v>74</v>
      </c>
      <c r="AF854" t="s">
        <v>74</v>
      </c>
      <c r="AG854">
        <v>26</v>
      </c>
      <c r="AH854">
        <v>0</v>
      </c>
      <c r="AI854">
        <v>0</v>
      </c>
      <c r="AJ854">
        <v>0</v>
      </c>
      <c r="AK854">
        <v>2</v>
      </c>
      <c r="AL854" t="s">
        <v>16788</v>
      </c>
      <c r="AM854" t="s">
        <v>16789</v>
      </c>
      <c r="AN854" t="s">
        <v>16790</v>
      </c>
      <c r="AO854" t="s">
        <v>74</v>
      </c>
      <c r="AP854" t="s">
        <v>74</v>
      </c>
      <c r="AQ854" t="s">
        <v>16791</v>
      </c>
      <c r="AR854" t="s">
        <v>74</v>
      </c>
      <c r="AS854" t="s">
        <v>74</v>
      </c>
      <c r="AT854" t="s">
        <v>74</v>
      </c>
      <c r="AU854">
        <v>2000</v>
      </c>
      <c r="AV854" t="s">
        <v>74</v>
      </c>
      <c r="AW854" t="s">
        <v>74</v>
      </c>
      <c r="AX854" t="s">
        <v>74</v>
      </c>
      <c r="AY854" t="s">
        <v>74</v>
      </c>
      <c r="AZ854" t="s">
        <v>74</v>
      </c>
      <c r="BA854" t="s">
        <v>74</v>
      </c>
      <c r="BB854">
        <v>18</v>
      </c>
      <c r="BC854">
        <v>27</v>
      </c>
      <c r="BD854" t="s">
        <v>74</v>
      </c>
      <c r="BE854" t="s">
        <v>74</v>
      </c>
      <c r="BF854" t="s">
        <v>74</v>
      </c>
      <c r="BG854" t="s">
        <v>74</v>
      </c>
      <c r="BH854" t="s">
        <v>74</v>
      </c>
      <c r="BI854">
        <v>10</v>
      </c>
      <c r="BJ854" t="s">
        <v>318</v>
      </c>
      <c r="BK854" t="s">
        <v>1042</v>
      </c>
      <c r="BL854" t="s">
        <v>318</v>
      </c>
      <c r="BM854" t="s">
        <v>16792</v>
      </c>
      <c r="BN854" t="s">
        <v>74</v>
      </c>
      <c r="BO854" t="s">
        <v>74</v>
      </c>
      <c r="BP854" t="s">
        <v>74</v>
      </c>
      <c r="BQ854" t="s">
        <v>74</v>
      </c>
      <c r="BR854" t="s">
        <v>106</v>
      </c>
      <c r="BS854" t="s">
        <v>16793</v>
      </c>
      <c r="BT854" t="str">
        <f>HYPERLINK("https%3A%2F%2Fwww.webofscience.com%2Fwos%2Fwoscc%2Ffull-record%2FWOS:000226086600003","View Full Record in Web of Science")</f>
        <v>View Full Record in Web of Science</v>
      </c>
    </row>
    <row r="855" spans="1:72" x14ac:dyDescent="0.25">
      <c r="A855" t="s">
        <v>72</v>
      </c>
      <c r="B855" t="s">
        <v>16794</v>
      </c>
      <c r="C855" t="s">
        <v>74</v>
      </c>
      <c r="D855" t="s">
        <v>74</v>
      </c>
      <c r="E855" t="s">
        <v>74</v>
      </c>
      <c r="F855" t="s">
        <v>16795</v>
      </c>
      <c r="G855" t="s">
        <v>74</v>
      </c>
      <c r="H855" t="s">
        <v>74</v>
      </c>
      <c r="I855" t="s">
        <v>16796</v>
      </c>
      <c r="J855" t="s">
        <v>16797</v>
      </c>
      <c r="K855" t="s">
        <v>74</v>
      </c>
      <c r="L855" t="s">
        <v>74</v>
      </c>
      <c r="M855" t="s">
        <v>78</v>
      </c>
      <c r="N855" t="s">
        <v>79</v>
      </c>
      <c r="O855" t="s">
        <v>74</v>
      </c>
      <c r="P855" t="s">
        <v>74</v>
      </c>
      <c r="Q855" t="s">
        <v>74</v>
      </c>
      <c r="R855" t="s">
        <v>74</v>
      </c>
      <c r="S855" t="s">
        <v>74</v>
      </c>
      <c r="T855" t="s">
        <v>74</v>
      </c>
      <c r="U855" t="s">
        <v>16798</v>
      </c>
      <c r="V855" t="s">
        <v>16799</v>
      </c>
      <c r="W855" t="s">
        <v>16800</v>
      </c>
      <c r="X855" t="s">
        <v>16801</v>
      </c>
      <c r="Y855" t="s">
        <v>16802</v>
      </c>
      <c r="Z855" t="s">
        <v>16803</v>
      </c>
      <c r="AA855" t="s">
        <v>16804</v>
      </c>
      <c r="AB855" t="s">
        <v>16805</v>
      </c>
      <c r="AC855" t="s">
        <v>16806</v>
      </c>
      <c r="AD855" t="s">
        <v>16807</v>
      </c>
      <c r="AE855" t="s">
        <v>16808</v>
      </c>
      <c r="AF855" t="s">
        <v>74</v>
      </c>
      <c r="AG855">
        <v>48</v>
      </c>
      <c r="AH855">
        <v>35</v>
      </c>
      <c r="AI855">
        <v>37</v>
      </c>
      <c r="AJ855">
        <v>29</v>
      </c>
      <c r="AK855">
        <v>94</v>
      </c>
      <c r="AL855" t="s">
        <v>14158</v>
      </c>
      <c r="AM855" t="s">
        <v>198</v>
      </c>
      <c r="AN855" t="s">
        <v>14159</v>
      </c>
      <c r="AO855" t="s">
        <v>16809</v>
      </c>
      <c r="AP855" t="s">
        <v>74</v>
      </c>
      <c r="AQ855" t="s">
        <v>74</v>
      </c>
      <c r="AR855" t="s">
        <v>16810</v>
      </c>
      <c r="AS855" t="s">
        <v>16811</v>
      </c>
      <c r="AT855" t="s">
        <v>223</v>
      </c>
      <c r="AU855">
        <v>2025</v>
      </c>
      <c r="AV855">
        <v>9</v>
      </c>
      <c r="AW855">
        <v>3</v>
      </c>
      <c r="AX855" t="s">
        <v>74</v>
      </c>
      <c r="AY855" t="s">
        <v>74</v>
      </c>
      <c r="AZ855" t="s">
        <v>74</v>
      </c>
      <c r="BA855" t="s">
        <v>74</v>
      </c>
      <c r="BB855">
        <v>496</v>
      </c>
      <c r="BC855">
        <v>506</v>
      </c>
      <c r="BD855" t="s">
        <v>74</v>
      </c>
      <c r="BE855" t="s">
        <v>16812</v>
      </c>
      <c r="BF855" t="str">
        <f>HYPERLINK("http://dx.doi.org/10.1038/s41562-024-02072-7","http://dx.doi.org/10.1038/s41562-024-02072-7")</f>
        <v>http://dx.doi.org/10.1038/s41562-024-02072-7</v>
      </c>
      <c r="BG855" t="s">
        <v>74</v>
      </c>
      <c r="BH855" t="s">
        <v>10273</v>
      </c>
      <c r="BI855">
        <v>11</v>
      </c>
      <c r="BJ855" t="s">
        <v>16813</v>
      </c>
      <c r="BK855" t="s">
        <v>745</v>
      </c>
      <c r="BL855" t="s">
        <v>16814</v>
      </c>
      <c r="BM855" t="s">
        <v>16815</v>
      </c>
      <c r="BN855">
        <v>39715878</v>
      </c>
      <c r="BO855" t="s">
        <v>1331</v>
      </c>
      <c r="BP855" t="s">
        <v>74</v>
      </c>
      <c r="BQ855" t="s">
        <v>74</v>
      </c>
      <c r="BR855" t="s">
        <v>106</v>
      </c>
      <c r="BS855" t="s">
        <v>16816</v>
      </c>
      <c r="BT855" t="str">
        <f>HYPERLINK("https%3A%2F%2Fwww.webofscience.com%2Fwos%2Fwoscc%2Ffull-record%2FWOS:001381897800001","View Full Record in Web of Science")</f>
        <v>View Full Record in Web of Science</v>
      </c>
    </row>
    <row r="856" spans="1:72" x14ac:dyDescent="0.25">
      <c r="A856" t="s">
        <v>72</v>
      </c>
      <c r="B856" t="s">
        <v>16817</v>
      </c>
      <c r="C856" t="s">
        <v>74</v>
      </c>
      <c r="D856" t="s">
        <v>74</v>
      </c>
      <c r="E856" t="s">
        <v>74</v>
      </c>
      <c r="F856" t="s">
        <v>16818</v>
      </c>
      <c r="G856" t="s">
        <v>74</v>
      </c>
      <c r="H856" t="s">
        <v>74</v>
      </c>
      <c r="I856" t="s">
        <v>16819</v>
      </c>
      <c r="J856" t="s">
        <v>13604</v>
      </c>
      <c r="K856" t="s">
        <v>74</v>
      </c>
      <c r="L856" t="s">
        <v>74</v>
      </c>
      <c r="M856" t="s">
        <v>78</v>
      </c>
      <c r="N856" t="s">
        <v>79</v>
      </c>
      <c r="O856" t="s">
        <v>74</v>
      </c>
      <c r="P856" t="s">
        <v>74</v>
      </c>
      <c r="Q856" t="s">
        <v>74</v>
      </c>
      <c r="R856" t="s">
        <v>74</v>
      </c>
      <c r="S856" t="s">
        <v>74</v>
      </c>
      <c r="T856" t="s">
        <v>16820</v>
      </c>
      <c r="U856" t="s">
        <v>16821</v>
      </c>
      <c r="V856" t="s">
        <v>16822</v>
      </c>
      <c r="W856" t="s">
        <v>16823</v>
      </c>
      <c r="X856" t="s">
        <v>16824</v>
      </c>
      <c r="Y856" t="s">
        <v>16825</v>
      </c>
      <c r="Z856" t="s">
        <v>16826</v>
      </c>
      <c r="AA856" t="s">
        <v>16827</v>
      </c>
      <c r="AB856" t="s">
        <v>16828</v>
      </c>
      <c r="AC856" t="s">
        <v>74</v>
      </c>
      <c r="AD856" t="s">
        <v>74</v>
      </c>
      <c r="AE856" t="s">
        <v>74</v>
      </c>
      <c r="AF856" t="s">
        <v>74</v>
      </c>
      <c r="AG856">
        <v>97</v>
      </c>
      <c r="AH856">
        <v>10</v>
      </c>
      <c r="AI856">
        <v>12</v>
      </c>
      <c r="AJ856">
        <v>0</v>
      </c>
      <c r="AK856">
        <v>28</v>
      </c>
      <c r="AL856" t="s">
        <v>4549</v>
      </c>
      <c r="AM856" t="s">
        <v>4550</v>
      </c>
      <c r="AN856" t="s">
        <v>4551</v>
      </c>
      <c r="AO856" t="s">
        <v>13611</v>
      </c>
      <c r="AP856" t="s">
        <v>15015</v>
      </c>
      <c r="AQ856" t="s">
        <v>74</v>
      </c>
      <c r="AR856" t="s">
        <v>13612</v>
      </c>
      <c r="AS856" t="s">
        <v>13613</v>
      </c>
      <c r="AT856" t="s">
        <v>1950</v>
      </c>
      <c r="AU856">
        <v>2024</v>
      </c>
      <c r="AV856">
        <v>148</v>
      </c>
      <c r="AW856" t="s">
        <v>74</v>
      </c>
      <c r="AX856" t="s">
        <v>74</v>
      </c>
      <c r="AY856" t="s">
        <v>74</v>
      </c>
      <c r="AZ856" t="s">
        <v>74</v>
      </c>
      <c r="BA856" t="s">
        <v>74</v>
      </c>
      <c r="BB856" t="s">
        <v>74</v>
      </c>
      <c r="BC856" t="s">
        <v>74</v>
      </c>
      <c r="BD856">
        <v>103942</v>
      </c>
      <c r="BE856" t="s">
        <v>16829</v>
      </c>
      <c r="BF856" t="str">
        <f>HYPERLINK("http://dx.doi.org/10.1016/j.jvb.2023.103942","http://dx.doi.org/10.1016/j.jvb.2023.103942")</f>
        <v>http://dx.doi.org/10.1016/j.jvb.2023.103942</v>
      </c>
      <c r="BG856" t="s">
        <v>74</v>
      </c>
      <c r="BH856" t="s">
        <v>7028</v>
      </c>
      <c r="BI856">
        <v>19</v>
      </c>
      <c r="BJ856" t="s">
        <v>10400</v>
      </c>
      <c r="BK856" t="s">
        <v>250</v>
      </c>
      <c r="BL856" t="s">
        <v>251</v>
      </c>
      <c r="BM856" t="s">
        <v>16830</v>
      </c>
      <c r="BN856" t="s">
        <v>74</v>
      </c>
      <c r="BO856" t="s">
        <v>74</v>
      </c>
      <c r="BP856" t="s">
        <v>74</v>
      </c>
      <c r="BQ856" t="s">
        <v>74</v>
      </c>
      <c r="BR856" t="s">
        <v>106</v>
      </c>
      <c r="BS856" t="s">
        <v>16831</v>
      </c>
      <c r="BT856" t="str">
        <f>HYPERLINK("https%3A%2F%2Fwww.webofscience.com%2Fwos%2Fwoscc%2Ffull-record%2FWOS:001135110400001","View Full Record in Web of Science")</f>
        <v>View Full Record in Web of Science</v>
      </c>
    </row>
    <row r="857" spans="1:72" x14ac:dyDescent="0.25">
      <c r="A857" t="s">
        <v>108</v>
      </c>
      <c r="B857" t="s">
        <v>16832</v>
      </c>
      <c r="C857" t="s">
        <v>74</v>
      </c>
      <c r="D857" t="s">
        <v>74</v>
      </c>
      <c r="E857" t="s">
        <v>465</v>
      </c>
      <c r="F857" t="s">
        <v>16833</v>
      </c>
      <c r="G857" t="s">
        <v>74</v>
      </c>
      <c r="H857" t="s">
        <v>74</v>
      </c>
      <c r="I857" t="s">
        <v>16834</v>
      </c>
      <c r="J857" t="s">
        <v>16835</v>
      </c>
      <c r="K857" t="s">
        <v>74</v>
      </c>
      <c r="L857" t="s">
        <v>74</v>
      </c>
      <c r="M857" t="s">
        <v>78</v>
      </c>
      <c r="N857" t="s">
        <v>115</v>
      </c>
      <c r="O857" t="s">
        <v>16836</v>
      </c>
      <c r="P857" t="s">
        <v>16837</v>
      </c>
      <c r="Q857" t="s">
        <v>16838</v>
      </c>
      <c r="R857" t="s">
        <v>465</v>
      </c>
      <c r="S857" t="s">
        <v>74</v>
      </c>
      <c r="T857" t="s">
        <v>74</v>
      </c>
      <c r="U857" t="s">
        <v>74</v>
      </c>
      <c r="V857" t="s">
        <v>16839</v>
      </c>
      <c r="W857" t="s">
        <v>16840</v>
      </c>
      <c r="X857" t="s">
        <v>16841</v>
      </c>
      <c r="Y857" t="s">
        <v>16842</v>
      </c>
      <c r="Z857" t="s">
        <v>16843</v>
      </c>
      <c r="AA857" t="s">
        <v>16844</v>
      </c>
      <c r="AB857" t="s">
        <v>16845</v>
      </c>
      <c r="AC857" t="s">
        <v>74</v>
      </c>
      <c r="AD857" t="s">
        <v>74</v>
      </c>
      <c r="AE857" t="s">
        <v>74</v>
      </c>
      <c r="AF857" t="s">
        <v>74</v>
      </c>
      <c r="AG857">
        <v>20</v>
      </c>
      <c r="AH857">
        <v>1</v>
      </c>
      <c r="AI857">
        <v>2</v>
      </c>
      <c r="AJ857">
        <v>0</v>
      </c>
      <c r="AK857">
        <v>2</v>
      </c>
      <c r="AL857" t="s">
        <v>465</v>
      </c>
      <c r="AM857" t="s">
        <v>92</v>
      </c>
      <c r="AN857" t="s">
        <v>480</v>
      </c>
      <c r="AO857" t="s">
        <v>74</v>
      </c>
      <c r="AP857" t="s">
        <v>74</v>
      </c>
      <c r="AQ857" t="s">
        <v>16846</v>
      </c>
      <c r="AR857" t="s">
        <v>74</v>
      </c>
      <c r="AS857" t="s">
        <v>74</v>
      </c>
      <c r="AT857" t="s">
        <v>74</v>
      </c>
      <c r="AU857">
        <v>2009</v>
      </c>
      <c r="AV857" t="s">
        <v>74</v>
      </c>
      <c r="AW857" t="s">
        <v>74</v>
      </c>
      <c r="AX857" t="s">
        <v>74</v>
      </c>
      <c r="AY857" t="s">
        <v>74</v>
      </c>
      <c r="AZ857" t="s">
        <v>74</v>
      </c>
      <c r="BA857" t="s">
        <v>74</v>
      </c>
      <c r="BB857">
        <v>1062</v>
      </c>
      <c r="BC857">
        <v>1067</v>
      </c>
      <c r="BD857" t="s">
        <v>74</v>
      </c>
      <c r="BE857" t="s">
        <v>16847</v>
      </c>
      <c r="BF857" t="str">
        <f>HYPERLINK("http://dx.doi.org/10.1109/FUZZY.2009.5277205","http://dx.doi.org/10.1109/FUZZY.2009.5277205")</f>
        <v>http://dx.doi.org/10.1109/FUZZY.2009.5277205</v>
      </c>
      <c r="BG857" t="s">
        <v>74</v>
      </c>
      <c r="BH857" t="s">
        <v>74</v>
      </c>
      <c r="BI857">
        <v>6</v>
      </c>
      <c r="BJ857" t="s">
        <v>16848</v>
      </c>
      <c r="BK857" t="s">
        <v>203</v>
      </c>
      <c r="BL857" t="s">
        <v>6015</v>
      </c>
      <c r="BM857" t="s">
        <v>16849</v>
      </c>
      <c r="BN857" t="s">
        <v>74</v>
      </c>
      <c r="BO857" t="s">
        <v>74</v>
      </c>
      <c r="BP857" t="s">
        <v>74</v>
      </c>
      <c r="BQ857" t="s">
        <v>74</v>
      </c>
      <c r="BR857" t="s">
        <v>106</v>
      </c>
      <c r="BS857" t="s">
        <v>16850</v>
      </c>
      <c r="BT857" t="str">
        <f>HYPERLINK("https%3A%2F%2Fwww.webofscience.com%2Fwos%2Fwoscc%2Ffull-record%2FWOS:000274242600184","View Full Record in Web of Science")</f>
        <v>View Full Record in Web of Science</v>
      </c>
    </row>
    <row r="858" spans="1:72" x14ac:dyDescent="0.25">
      <c r="A858" t="s">
        <v>108</v>
      </c>
      <c r="B858" t="s">
        <v>16851</v>
      </c>
      <c r="C858" t="s">
        <v>74</v>
      </c>
      <c r="D858" t="s">
        <v>74</v>
      </c>
      <c r="E858" t="s">
        <v>465</v>
      </c>
      <c r="F858" t="s">
        <v>16852</v>
      </c>
      <c r="G858" t="s">
        <v>74</v>
      </c>
      <c r="H858" t="s">
        <v>74</v>
      </c>
      <c r="I858" t="s">
        <v>16853</v>
      </c>
      <c r="J858" t="s">
        <v>16854</v>
      </c>
      <c r="K858" t="s">
        <v>74</v>
      </c>
      <c r="L858" t="s">
        <v>74</v>
      </c>
      <c r="M858" t="s">
        <v>78</v>
      </c>
      <c r="N858" t="s">
        <v>115</v>
      </c>
      <c r="O858" t="s">
        <v>16855</v>
      </c>
      <c r="P858" t="s">
        <v>16856</v>
      </c>
      <c r="Q858" t="s">
        <v>16857</v>
      </c>
      <c r="R858" t="s">
        <v>16858</v>
      </c>
      <c r="S858" t="s">
        <v>16859</v>
      </c>
      <c r="T858" t="s">
        <v>16860</v>
      </c>
      <c r="U858" t="s">
        <v>884</v>
      </c>
      <c r="V858" t="s">
        <v>16861</v>
      </c>
      <c r="W858" t="s">
        <v>16862</v>
      </c>
      <c r="X858" t="s">
        <v>16863</v>
      </c>
      <c r="Y858" t="s">
        <v>16864</v>
      </c>
      <c r="Z858" t="s">
        <v>16865</v>
      </c>
      <c r="AA858" t="s">
        <v>16866</v>
      </c>
      <c r="AB858" t="s">
        <v>16867</v>
      </c>
      <c r="AC858" t="s">
        <v>74</v>
      </c>
      <c r="AD858" t="s">
        <v>74</v>
      </c>
      <c r="AE858" t="s">
        <v>74</v>
      </c>
      <c r="AF858" t="s">
        <v>74</v>
      </c>
      <c r="AG858">
        <v>24</v>
      </c>
      <c r="AH858">
        <v>0</v>
      </c>
      <c r="AI858">
        <v>0</v>
      </c>
      <c r="AJ858">
        <v>0</v>
      </c>
      <c r="AK858">
        <v>0</v>
      </c>
      <c r="AL858" t="s">
        <v>465</v>
      </c>
      <c r="AM858" t="s">
        <v>92</v>
      </c>
      <c r="AN858" t="s">
        <v>480</v>
      </c>
      <c r="AO858" t="s">
        <v>74</v>
      </c>
      <c r="AP858" t="s">
        <v>74</v>
      </c>
      <c r="AQ858" t="s">
        <v>16868</v>
      </c>
      <c r="AR858" t="s">
        <v>74</v>
      </c>
      <c r="AS858" t="s">
        <v>74</v>
      </c>
      <c r="AT858" t="s">
        <v>74</v>
      </c>
      <c r="AU858">
        <v>2024</v>
      </c>
      <c r="AV858" t="s">
        <v>74</v>
      </c>
      <c r="AW858" t="s">
        <v>74</v>
      </c>
      <c r="AX858" t="s">
        <v>74</v>
      </c>
      <c r="AY858" t="s">
        <v>74</v>
      </c>
      <c r="AZ858" t="s">
        <v>74</v>
      </c>
      <c r="BA858" t="s">
        <v>74</v>
      </c>
      <c r="BB858" t="s">
        <v>74</v>
      </c>
      <c r="BC858" t="s">
        <v>74</v>
      </c>
      <c r="BD858">
        <v>605</v>
      </c>
      <c r="BE858" t="s">
        <v>16869</v>
      </c>
      <c r="BF858" t="str">
        <f>HYPERLINK("http://dx.doi.org/10.1109/WCONF61366.2024.10692090","http://dx.doi.org/10.1109/WCONF61366.2024.10692090")</f>
        <v>http://dx.doi.org/10.1109/WCONF61366.2024.10692090</v>
      </c>
      <c r="BG858" t="s">
        <v>74</v>
      </c>
      <c r="BH858" t="s">
        <v>74</v>
      </c>
      <c r="BI858">
        <v>7</v>
      </c>
      <c r="BJ858" t="s">
        <v>16870</v>
      </c>
      <c r="BK858" t="s">
        <v>203</v>
      </c>
      <c r="BL858" t="s">
        <v>2422</v>
      </c>
      <c r="BM858" t="s">
        <v>16871</v>
      </c>
      <c r="BN858" t="s">
        <v>74</v>
      </c>
      <c r="BO858" t="s">
        <v>74</v>
      </c>
      <c r="BP858" t="s">
        <v>74</v>
      </c>
      <c r="BQ858" t="s">
        <v>74</v>
      </c>
      <c r="BR858" t="s">
        <v>106</v>
      </c>
      <c r="BS858" t="s">
        <v>16872</v>
      </c>
      <c r="BT858" t="str">
        <f>HYPERLINK("https%3A%2F%2Fwww.webofscience.com%2Fwos%2Fwoscc%2Ffull-record%2FWOS:001339364000115","View Full Record in Web of Science")</f>
        <v>View Full Record in Web of Science</v>
      </c>
    </row>
    <row r="859" spans="1:72" x14ac:dyDescent="0.25">
      <c r="A859" t="s">
        <v>108</v>
      </c>
      <c r="B859" t="s">
        <v>16873</v>
      </c>
      <c r="C859" t="s">
        <v>74</v>
      </c>
      <c r="D859" t="s">
        <v>74</v>
      </c>
      <c r="E859" t="s">
        <v>291</v>
      </c>
      <c r="F859" t="s">
        <v>16874</v>
      </c>
      <c r="G859" t="s">
        <v>74</v>
      </c>
      <c r="H859" t="s">
        <v>74</v>
      </c>
      <c r="I859" t="s">
        <v>16875</v>
      </c>
      <c r="J859" t="s">
        <v>12543</v>
      </c>
      <c r="K859" t="s">
        <v>74</v>
      </c>
      <c r="L859" t="s">
        <v>74</v>
      </c>
      <c r="M859" t="s">
        <v>78</v>
      </c>
      <c r="N859" t="s">
        <v>115</v>
      </c>
      <c r="O859" t="s">
        <v>12544</v>
      </c>
      <c r="P859" t="s">
        <v>12545</v>
      </c>
      <c r="Q859" t="s">
        <v>8303</v>
      </c>
      <c r="R859" t="s">
        <v>12546</v>
      </c>
      <c r="S859" t="s">
        <v>74</v>
      </c>
      <c r="T859" t="s">
        <v>16876</v>
      </c>
      <c r="U859" t="s">
        <v>74</v>
      </c>
      <c r="V859" t="s">
        <v>16877</v>
      </c>
      <c r="W859" t="s">
        <v>16878</v>
      </c>
      <c r="X859" t="s">
        <v>16879</v>
      </c>
      <c r="Y859" t="s">
        <v>16880</v>
      </c>
      <c r="Z859" t="s">
        <v>16881</v>
      </c>
      <c r="AA859" t="s">
        <v>16882</v>
      </c>
      <c r="AB859" t="s">
        <v>16883</v>
      </c>
      <c r="AC859" t="s">
        <v>16884</v>
      </c>
      <c r="AD859" t="s">
        <v>16885</v>
      </c>
      <c r="AE859" t="s">
        <v>16886</v>
      </c>
      <c r="AF859" t="s">
        <v>74</v>
      </c>
      <c r="AG859">
        <v>67</v>
      </c>
      <c r="AH859">
        <v>24</v>
      </c>
      <c r="AI859">
        <v>25</v>
      </c>
      <c r="AJ859">
        <v>1</v>
      </c>
      <c r="AK859">
        <v>8</v>
      </c>
      <c r="AL859" t="s">
        <v>291</v>
      </c>
      <c r="AM859" t="s">
        <v>92</v>
      </c>
      <c r="AN859" t="s">
        <v>341</v>
      </c>
      <c r="AO859" t="s">
        <v>74</v>
      </c>
      <c r="AP859" t="s">
        <v>74</v>
      </c>
      <c r="AQ859" t="s">
        <v>12554</v>
      </c>
      <c r="AR859" t="s">
        <v>74</v>
      </c>
      <c r="AS859" t="s">
        <v>74</v>
      </c>
      <c r="AT859" t="s">
        <v>74</v>
      </c>
      <c r="AU859">
        <v>2025</v>
      </c>
      <c r="AV859" t="s">
        <v>74</v>
      </c>
      <c r="AW859" t="s">
        <v>74</v>
      </c>
      <c r="AX859" t="s">
        <v>74</v>
      </c>
      <c r="AY859" t="s">
        <v>74</v>
      </c>
      <c r="AZ859" t="s">
        <v>74</v>
      </c>
      <c r="BA859" t="s">
        <v>74</v>
      </c>
      <c r="BB859">
        <v>3672</v>
      </c>
      <c r="BC859">
        <v>3682</v>
      </c>
      <c r="BD859" t="s">
        <v>74</v>
      </c>
      <c r="BE859" t="s">
        <v>16887</v>
      </c>
      <c r="BF859" t="str">
        <f>HYPERLINK("http://dx.doi.org/10.1145/3696410.3714676","http://dx.doi.org/10.1145/3696410.3714676")</f>
        <v>http://dx.doi.org/10.1145/3696410.3714676</v>
      </c>
      <c r="BG859" t="s">
        <v>74</v>
      </c>
      <c r="BH859" t="s">
        <v>74</v>
      </c>
      <c r="BI859">
        <v>11</v>
      </c>
      <c r="BJ859" t="s">
        <v>101</v>
      </c>
      <c r="BK859" t="s">
        <v>203</v>
      </c>
      <c r="BL859" t="s">
        <v>103</v>
      </c>
      <c r="BM859" t="s">
        <v>12556</v>
      </c>
      <c r="BN859" t="s">
        <v>74</v>
      </c>
      <c r="BO859" t="s">
        <v>372</v>
      </c>
      <c r="BP859" t="s">
        <v>74</v>
      </c>
      <c r="BQ859" t="s">
        <v>74</v>
      </c>
      <c r="BR859" t="s">
        <v>106</v>
      </c>
      <c r="BS859" t="s">
        <v>16888</v>
      </c>
      <c r="BT859" t="str">
        <f>HYPERLINK("https%3A%2F%2Fwww.webofscience.com%2Fwos%2Fwoscc%2Ffull-record%2FWOS:001505285200304","View Full Record in Web of Science")</f>
        <v>View Full Record in Web of Science</v>
      </c>
    </row>
    <row r="860" spans="1:72" x14ac:dyDescent="0.25">
      <c r="A860" t="s">
        <v>108</v>
      </c>
      <c r="B860" t="s">
        <v>16889</v>
      </c>
      <c r="C860" t="s">
        <v>74</v>
      </c>
      <c r="D860" t="s">
        <v>74</v>
      </c>
      <c r="E860" t="s">
        <v>465</v>
      </c>
      <c r="F860" t="s">
        <v>16890</v>
      </c>
      <c r="G860" t="s">
        <v>74</v>
      </c>
      <c r="H860" t="s">
        <v>74</v>
      </c>
      <c r="I860" t="s">
        <v>16891</v>
      </c>
      <c r="J860" t="s">
        <v>16892</v>
      </c>
      <c r="K860" t="s">
        <v>74</v>
      </c>
      <c r="L860" t="s">
        <v>74</v>
      </c>
      <c r="M860" t="s">
        <v>78</v>
      </c>
      <c r="N860" t="s">
        <v>115</v>
      </c>
      <c r="O860" t="s">
        <v>16893</v>
      </c>
      <c r="P860" t="s">
        <v>16894</v>
      </c>
      <c r="Q860" t="s">
        <v>16895</v>
      </c>
      <c r="R860" t="s">
        <v>16896</v>
      </c>
      <c r="S860" t="s">
        <v>16897</v>
      </c>
      <c r="T860" t="s">
        <v>16898</v>
      </c>
      <c r="U860" t="s">
        <v>74</v>
      </c>
      <c r="V860" t="s">
        <v>16899</v>
      </c>
      <c r="W860" t="s">
        <v>16900</v>
      </c>
      <c r="X860" t="s">
        <v>16901</v>
      </c>
      <c r="Y860" t="s">
        <v>16902</v>
      </c>
      <c r="Z860" t="s">
        <v>16903</v>
      </c>
      <c r="AA860" t="s">
        <v>16904</v>
      </c>
      <c r="AB860" t="s">
        <v>74</v>
      </c>
      <c r="AC860" t="s">
        <v>16905</v>
      </c>
      <c r="AD860" t="s">
        <v>16906</v>
      </c>
      <c r="AE860" t="s">
        <v>16907</v>
      </c>
      <c r="AF860" t="s">
        <v>74</v>
      </c>
      <c r="AG860">
        <v>15</v>
      </c>
      <c r="AH860">
        <v>2</v>
      </c>
      <c r="AI860">
        <v>2</v>
      </c>
      <c r="AJ860">
        <v>1</v>
      </c>
      <c r="AK860">
        <v>5</v>
      </c>
      <c r="AL860" t="s">
        <v>465</v>
      </c>
      <c r="AM860" t="s">
        <v>92</v>
      </c>
      <c r="AN860" t="s">
        <v>480</v>
      </c>
      <c r="AO860" t="s">
        <v>74</v>
      </c>
      <c r="AP860" t="s">
        <v>74</v>
      </c>
      <c r="AQ860" t="s">
        <v>16908</v>
      </c>
      <c r="AR860" t="s">
        <v>74</v>
      </c>
      <c r="AS860" t="s">
        <v>74</v>
      </c>
      <c r="AT860" t="s">
        <v>74</v>
      </c>
      <c r="AU860">
        <v>2022</v>
      </c>
      <c r="AV860" t="s">
        <v>74</v>
      </c>
      <c r="AW860" t="s">
        <v>74</v>
      </c>
      <c r="AX860" t="s">
        <v>74</v>
      </c>
      <c r="AY860" t="s">
        <v>74</v>
      </c>
      <c r="AZ860" t="s">
        <v>74</v>
      </c>
      <c r="BA860" t="s">
        <v>74</v>
      </c>
      <c r="BB860" t="s">
        <v>74</v>
      </c>
      <c r="BC860" t="s">
        <v>74</v>
      </c>
      <c r="BD860" t="s">
        <v>74</v>
      </c>
      <c r="BE860" t="s">
        <v>16909</v>
      </c>
      <c r="BF860" t="str">
        <f>HYPERLINK("http://dx.doi.org/10.1109/DSC54232.2022.9888898","http://dx.doi.org/10.1109/DSC54232.2022.9888898")</f>
        <v>http://dx.doi.org/10.1109/DSC54232.2022.9888898</v>
      </c>
      <c r="BG860" t="s">
        <v>74</v>
      </c>
      <c r="BH860" t="s">
        <v>74</v>
      </c>
      <c r="BI860">
        <v>7</v>
      </c>
      <c r="BJ860" t="s">
        <v>16910</v>
      </c>
      <c r="BK860" t="s">
        <v>203</v>
      </c>
      <c r="BL860" t="s">
        <v>103</v>
      </c>
      <c r="BM860" t="s">
        <v>16911</v>
      </c>
      <c r="BN860" t="s">
        <v>74</v>
      </c>
      <c r="BO860" t="s">
        <v>74</v>
      </c>
      <c r="BP860" t="s">
        <v>74</v>
      </c>
      <c r="BQ860" t="s">
        <v>74</v>
      </c>
      <c r="BR860" t="s">
        <v>106</v>
      </c>
      <c r="BS860" t="s">
        <v>16912</v>
      </c>
      <c r="BT860" t="str">
        <f>HYPERLINK("https%3A%2F%2Fwww.webofscience.com%2Fwos%2Fwoscc%2Ffull-record%2FWOS:000892614100030","View Full Record in Web of Science")</f>
        <v>View Full Record in Web of Science</v>
      </c>
    </row>
    <row r="861" spans="1:72" x14ac:dyDescent="0.25">
      <c r="A861" t="s">
        <v>72</v>
      </c>
      <c r="B861" t="s">
        <v>16913</v>
      </c>
      <c r="C861" t="s">
        <v>74</v>
      </c>
      <c r="D861" t="s">
        <v>74</v>
      </c>
      <c r="E861" t="s">
        <v>74</v>
      </c>
      <c r="F861" t="s">
        <v>16914</v>
      </c>
      <c r="G861" t="s">
        <v>74</v>
      </c>
      <c r="H861" t="s">
        <v>74</v>
      </c>
      <c r="I861" t="s">
        <v>16915</v>
      </c>
      <c r="J861" t="s">
        <v>16916</v>
      </c>
      <c r="K861" t="s">
        <v>74</v>
      </c>
      <c r="L861" t="s">
        <v>74</v>
      </c>
      <c r="M861" t="s">
        <v>78</v>
      </c>
      <c r="N861" t="s">
        <v>79</v>
      </c>
      <c r="O861" t="s">
        <v>74</v>
      </c>
      <c r="P861" t="s">
        <v>74</v>
      </c>
      <c r="Q861" t="s">
        <v>74</v>
      </c>
      <c r="R861" t="s">
        <v>74</v>
      </c>
      <c r="S861" t="s">
        <v>74</v>
      </c>
      <c r="T861" t="s">
        <v>16917</v>
      </c>
      <c r="U861" t="s">
        <v>16918</v>
      </c>
      <c r="V861" t="s">
        <v>16919</v>
      </c>
      <c r="W861" t="s">
        <v>16920</v>
      </c>
      <c r="X861" t="s">
        <v>16921</v>
      </c>
      <c r="Y861" t="s">
        <v>16922</v>
      </c>
      <c r="Z861" t="s">
        <v>16923</v>
      </c>
      <c r="AA861" t="s">
        <v>74</v>
      </c>
      <c r="AB861" t="s">
        <v>74</v>
      </c>
      <c r="AC861" t="s">
        <v>74</v>
      </c>
      <c r="AD861" t="s">
        <v>74</v>
      </c>
      <c r="AE861" t="s">
        <v>74</v>
      </c>
      <c r="AF861" t="s">
        <v>74</v>
      </c>
      <c r="AG861">
        <v>20</v>
      </c>
      <c r="AH861">
        <v>60</v>
      </c>
      <c r="AI861">
        <v>81</v>
      </c>
      <c r="AJ861">
        <v>0</v>
      </c>
      <c r="AK861">
        <v>4</v>
      </c>
      <c r="AL861" t="s">
        <v>16924</v>
      </c>
      <c r="AM861" t="s">
        <v>16925</v>
      </c>
      <c r="AN861" t="s">
        <v>16926</v>
      </c>
      <c r="AO861" t="s">
        <v>16927</v>
      </c>
      <c r="AP861" t="s">
        <v>16928</v>
      </c>
      <c r="AQ861" t="s">
        <v>74</v>
      </c>
      <c r="AR861" t="s">
        <v>16929</v>
      </c>
      <c r="AS861" t="s">
        <v>16930</v>
      </c>
      <c r="AT861" t="s">
        <v>98</v>
      </c>
      <c r="AU861">
        <v>2006</v>
      </c>
      <c r="AV861">
        <v>34</v>
      </c>
      <c r="AW861">
        <v>12</v>
      </c>
      <c r="AX861" t="s">
        <v>74</v>
      </c>
      <c r="AY861" t="s">
        <v>74</v>
      </c>
      <c r="AZ861" t="s">
        <v>74</v>
      </c>
      <c r="BA861" t="s">
        <v>74</v>
      </c>
      <c r="BB861">
        <v>2967</v>
      </c>
      <c r="BC861">
        <v>2973</v>
      </c>
      <c r="BD861" t="s">
        <v>74</v>
      </c>
      <c r="BE861" t="s">
        <v>16931</v>
      </c>
      <c r="BF861" t="str">
        <f>HYPERLINK("http://dx.doi.org/10.1097/01.CCM.0000248879.19054.73","http://dx.doi.org/10.1097/01.CCM.0000248879.19054.73")</f>
        <v>http://dx.doi.org/10.1097/01.CCM.0000248879.19054.73</v>
      </c>
      <c r="BG861" t="s">
        <v>74</v>
      </c>
      <c r="BH861" t="s">
        <v>74</v>
      </c>
      <c r="BI861">
        <v>7</v>
      </c>
      <c r="BJ861" t="s">
        <v>15619</v>
      </c>
      <c r="BK861" t="s">
        <v>745</v>
      </c>
      <c r="BL861" t="s">
        <v>10504</v>
      </c>
      <c r="BM861" t="s">
        <v>16932</v>
      </c>
      <c r="BN861">
        <v>17075370</v>
      </c>
      <c r="BO861" t="s">
        <v>74</v>
      </c>
      <c r="BP861" t="s">
        <v>74</v>
      </c>
      <c r="BQ861" t="s">
        <v>74</v>
      </c>
      <c r="BR861" t="s">
        <v>106</v>
      </c>
      <c r="BS861" t="s">
        <v>16933</v>
      </c>
      <c r="BT861" t="str">
        <f>HYPERLINK("https%3A%2F%2Fwww.webofscience.com%2Fwos%2Fwoscc%2Ffull-record%2FWOS:000242393100013","View Full Record in Web of Science")</f>
        <v>View Full Record in Web of Science</v>
      </c>
    </row>
    <row r="862" spans="1:72" x14ac:dyDescent="0.25">
      <c r="A862" t="s">
        <v>108</v>
      </c>
      <c r="B862" t="s">
        <v>16934</v>
      </c>
      <c r="C862" t="s">
        <v>74</v>
      </c>
      <c r="D862" t="s">
        <v>16935</v>
      </c>
      <c r="E862" t="s">
        <v>74</v>
      </c>
      <c r="F862" t="s">
        <v>16936</v>
      </c>
      <c r="G862" t="s">
        <v>74</v>
      </c>
      <c r="H862" t="s">
        <v>74</v>
      </c>
      <c r="I862" t="s">
        <v>16937</v>
      </c>
      <c r="J862" t="s">
        <v>16938</v>
      </c>
      <c r="K862" t="s">
        <v>6162</v>
      </c>
      <c r="L862" t="s">
        <v>74</v>
      </c>
      <c r="M862" t="s">
        <v>78</v>
      </c>
      <c r="N862" t="s">
        <v>115</v>
      </c>
      <c r="O862" t="s">
        <v>16939</v>
      </c>
      <c r="P862" t="s">
        <v>16940</v>
      </c>
      <c r="Q862" t="s">
        <v>2503</v>
      </c>
      <c r="R862" t="s">
        <v>16941</v>
      </c>
      <c r="S862" t="s">
        <v>74</v>
      </c>
      <c r="T862" t="s">
        <v>16942</v>
      </c>
      <c r="U862" t="s">
        <v>74</v>
      </c>
      <c r="V862" t="s">
        <v>16943</v>
      </c>
      <c r="W862" t="s">
        <v>16944</v>
      </c>
      <c r="X862" t="s">
        <v>16945</v>
      </c>
      <c r="Y862" t="s">
        <v>16946</v>
      </c>
      <c r="Z862" t="s">
        <v>16947</v>
      </c>
      <c r="AA862" t="s">
        <v>16948</v>
      </c>
      <c r="AB862" t="s">
        <v>16949</v>
      </c>
      <c r="AC862" t="s">
        <v>16950</v>
      </c>
      <c r="AD862" t="s">
        <v>16951</v>
      </c>
      <c r="AE862" t="s">
        <v>16952</v>
      </c>
      <c r="AF862" t="s">
        <v>74</v>
      </c>
      <c r="AG862">
        <v>21</v>
      </c>
      <c r="AH862">
        <v>25</v>
      </c>
      <c r="AI862">
        <v>26</v>
      </c>
      <c r="AJ862">
        <v>0</v>
      </c>
      <c r="AK862">
        <v>5</v>
      </c>
      <c r="AL862" t="s">
        <v>465</v>
      </c>
      <c r="AM862" t="s">
        <v>92</v>
      </c>
      <c r="AN862" t="s">
        <v>480</v>
      </c>
      <c r="AO862" t="s">
        <v>6859</v>
      </c>
      <c r="AP862" t="s">
        <v>74</v>
      </c>
      <c r="AQ862" t="s">
        <v>16953</v>
      </c>
      <c r="AR862" t="s">
        <v>6861</v>
      </c>
      <c r="AS862" t="s">
        <v>74</v>
      </c>
      <c r="AT862" t="s">
        <v>74</v>
      </c>
      <c r="AU862">
        <v>2017</v>
      </c>
      <c r="AV862" t="s">
        <v>74</v>
      </c>
      <c r="AW862" t="s">
        <v>74</v>
      </c>
      <c r="AX862" t="s">
        <v>74</v>
      </c>
      <c r="AY862" t="s">
        <v>74</v>
      </c>
      <c r="AZ862" t="s">
        <v>74</v>
      </c>
      <c r="BA862" t="s">
        <v>74</v>
      </c>
      <c r="BB862">
        <v>1027</v>
      </c>
      <c r="BC862">
        <v>1032</v>
      </c>
      <c r="BD862" t="s">
        <v>74</v>
      </c>
      <c r="BE862" t="s">
        <v>74</v>
      </c>
      <c r="BF862" t="s">
        <v>74</v>
      </c>
      <c r="BG862" t="s">
        <v>74</v>
      </c>
      <c r="BH862" t="s">
        <v>74</v>
      </c>
      <c r="BI862">
        <v>6</v>
      </c>
      <c r="BJ862" t="s">
        <v>202</v>
      </c>
      <c r="BK862" t="s">
        <v>203</v>
      </c>
      <c r="BL862" t="s">
        <v>103</v>
      </c>
      <c r="BM862" t="s">
        <v>16954</v>
      </c>
      <c r="BN862" t="s">
        <v>74</v>
      </c>
      <c r="BO862" t="s">
        <v>74</v>
      </c>
      <c r="BP862" t="s">
        <v>74</v>
      </c>
      <c r="BQ862" t="s">
        <v>74</v>
      </c>
      <c r="BR862" t="s">
        <v>106</v>
      </c>
      <c r="BS862" t="s">
        <v>16955</v>
      </c>
      <c r="BT862" t="str">
        <f>HYPERLINK("https%3A%2F%2Fwww.webofscience.com%2Fwos%2Fwoscc%2Ffull-record%2FWOS:000428073701009","View Full Record in Web of Science")</f>
        <v>View Full Record in Web of Science</v>
      </c>
    </row>
    <row r="863" spans="1:72" x14ac:dyDescent="0.25">
      <c r="A863" t="s">
        <v>72</v>
      </c>
      <c r="B863" t="s">
        <v>16956</v>
      </c>
      <c r="C863" t="s">
        <v>74</v>
      </c>
      <c r="D863" t="s">
        <v>74</v>
      </c>
      <c r="E863" t="s">
        <v>74</v>
      </c>
      <c r="F863" t="s">
        <v>16957</v>
      </c>
      <c r="G863" t="s">
        <v>74</v>
      </c>
      <c r="H863" t="s">
        <v>74</v>
      </c>
      <c r="I863" t="s">
        <v>16958</v>
      </c>
      <c r="J863" t="s">
        <v>1442</v>
      </c>
      <c r="K863" t="s">
        <v>74</v>
      </c>
      <c r="L863" t="s">
        <v>74</v>
      </c>
      <c r="M863" t="s">
        <v>78</v>
      </c>
      <c r="N863" t="s">
        <v>79</v>
      </c>
      <c r="O863" t="s">
        <v>74</v>
      </c>
      <c r="P863" t="s">
        <v>74</v>
      </c>
      <c r="Q863" t="s">
        <v>74</v>
      </c>
      <c r="R863" t="s">
        <v>74</v>
      </c>
      <c r="S863" t="s">
        <v>74</v>
      </c>
      <c r="T863" t="s">
        <v>16959</v>
      </c>
      <c r="U863" t="s">
        <v>74</v>
      </c>
      <c r="V863" t="s">
        <v>16960</v>
      </c>
      <c r="W863" t="s">
        <v>16961</v>
      </c>
      <c r="X863" t="s">
        <v>16962</v>
      </c>
      <c r="Y863" t="s">
        <v>16963</v>
      </c>
      <c r="Z863" t="s">
        <v>16964</v>
      </c>
      <c r="AA863" t="s">
        <v>16965</v>
      </c>
      <c r="AB863" t="s">
        <v>16966</v>
      </c>
      <c r="AC863" t="s">
        <v>74</v>
      </c>
      <c r="AD863" t="s">
        <v>74</v>
      </c>
      <c r="AE863" t="s">
        <v>74</v>
      </c>
      <c r="AF863" t="s">
        <v>74</v>
      </c>
      <c r="AG863">
        <v>32</v>
      </c>
      <c r="AH863">
        <v>11</v>
      </c>
      <c r="AI863">
        <v>11</v>
      </c>
      <c r="AJ863">
        <v>0</v>
      </c>
      <c r="AK863">
        <v>7</v>
      </c>
      <c r="AL863" t="s">
        <v>631</v>
      </c>
      <c r="AM863" t="s">
        <v>632</v>
      </c>
      <c r="AN863" t="s">
        <v>633</v>
      </c>
      <c r="AO863" t="s">
        <v>1453</v>
      </c>
      <c r="AP863" t="s">
        <v>1454</v>
      </c>
      <c r="AQ863" t="s">
        <v>74</v>
      </c>
      <c r="AR863" t="s">
        <v>1455</v>
      </c>
      <c r="AS863" t="s">
        <v>1456</v>
      </c>
      <c r="AT863" t="s">
        <v>16967</v>
      </c>
      <c r="AU863">
        <v>2018</v>
      </c>
      <c r="AV863">
        <v>30</v>
      </c>
      <c r="AW863">
        <v>12</v>
      </c>
      <c r="AX863" t="s">
        <v>74</v>
      </c>
      <c r="AY863" t="s">
        <v>74</v>
      </c>
      <c r="AZ863" t="s">
        <v>247</v>
      </c>
      <c r="BA863" t="s">
        <v>74</v>
      </c>
      <c r="BB863" t="s">
        <v>74</v>
      </c>
      <c r="BC863" t="s">
        <v>74</v>
      </c>
      <c r="BD863" t="s">
        <v>16968</v>
      </c>
      <c r="BE863" t="s">
        <v>16969</v>
      </c>
      <c r="BF863" t="str">
        <f>HYPERLINK("http://dx.doi.org/10.1002/cpe.4372","http://dx.doi.org/10.1002/cpe.4372")</f>
        <v>http://dx.doi.org/10.1002/cpe.4372</v>
      </c>
      <c r="BG863" t="s">
        <v>74</v>
      </c>
      <c r="BH863" t="s">
        <v>74</v>
      </c>
      <c r="BI863">
        <v>13</v>
      </c>
      <c r="BJ863" t="s">
        <v>1190</v>
      </c>
      <c r="BK863" t="s">
        <v>902</v>
      </c>
      <c r="BL863" t="s">
        <v>103</v>
      </c>
      <c r="BM863" t="s">
        <v>16970</v>
      </c>
      <c r="BN863" t="s">
        <v>74</v>
      </c>
      <c r="BO863" t="s">
        <v>74</v>
      </c>
      <c r="BP863" t="s">
        <v>74</v>
      </c>
      <c r="BQ863" t="s">
        <v>74</v>
      </c>
      <c r="BR863" t="s">
        <v>106</v>
      </c>
      <c r="BS863" t="s">
        <v>16971</v>
      </c>
      <c r="BT863" t="str">
        <f>HYPERLINK("https%3A%2F%2Fwww.webofscience.com%2Fwos%2Fwoscc%2Ffull-record%2FWOS:000434082700008","View Full Record in Web of Science")</f>
        <v>View Full Record in Web of Science</v>
      </c>
    </row>
    <row r="864" spans="1:72" x14ac:dyDescent="0.25">
      <c r="A864" t="s">
        <v>108</v>
      </c>
      <c r="B864" t="s">
        <v>16972</v>
      </c>
      <c r="C864" t="s">
        <v>74</v>
      </c>
      <c r="D864" t="s">
        <v>16973</v>
      </c>
      <c r="E864" t="s">
        <v>74</v>
      </c>
      <c r="F864" t="s">
        <v>16974</v>
      </c>
      <c r="G864" t="s">
        <v>74</v>
      </c>
      <c r="H864" t="s">
        <v>74</v>
      </c>
      <c r="I864" t="s">
        <v>16975</v>
      </c>
      <c r="J864" t="s">
        <v>16976</v>
      </c>
      <c r="K864" t="s">
        <v>114</v>
      </c>
      <c r="L864" t="s">
        <v>74</v>
      </c>
      <c r="M864" t="s">
        <v>78</v>
      </c>
      <c r="N864" t="s">
        <v>115</v>
      </c>
      <c r="O864" t="s">
        <v>16977</v>
      </c>
      <c r="P864" t="s">
        <v>16978</v>
      </c>
      <c r="Q864" t="s">
        <v>16979</v>
      </c>
      <c r="R864" t="s">
        <v>74</v>
      </c>
      <c r="S864" t="s">
        <v>16980</v>
      </c>
      <c r="T864" t="s">
        <v>16981</v>
      </c>
      <c r="U864" t="s">
        <v>74</v>
      </c>
      <c r="V864" t="s">
        <v>16982</v>
      </c>
      <c r="W864" t="s">
        <v>16983</v>
      </c>
      <c r="X864" t="s">
        <v>16984</v>
      </c>
      <c r="Y864" t="s">
        <v>16985</v>
      </c>
      <c r="Z864" t="s">
        <v>16986</v>
      </c>
      <c r="AA864" t="s">
        <v>74</v>
      </c>
      <c r="AB864" t="s">
        <v>74</v>
      </c>
      <c r="AC864" t="s">
        <v>74</v>
      </c>
      <c r="AD864" t="s">
        <v>74</v>
      </c>
      <c r="AE864" t="s">
        <v>74</v>
      </c>
      <c r="AF864" t="s">
        <v>74</v>
      </c>
      <c r="AG864">
        <v>18</v>
      </c>
      <c r="AH864">
        <v>0</v>
      </c>
      <c r="AI864">
        <v>0</v>
      </c>
      <c r="AJ864">
        <v>0</v>
      </c>
      <c r="AK864">
        <v>1</v>
      </c>
      <c r="AL864" t="s">
        <v>2996</v>
      </c>
      <c r="AM864" t="s">
        <v>1814</v>
      </c>
      <c r="AN864" t="s">
        <v>2997</v>
      </c>
      <c r="AO864" t="s">
        <v>132</v>
      </c>
      <c r="AP864" t="s">
        <v>133</v>
      </c>
      <c r="AQ864" t="s">
        <v>16987</v>
      </c>
      <c r="AR864" t="s">
        <v>135</v>
      </c>
      <c r="AS864" t="s">
        <v>74</v>
      </c>
      <c r="AT864" t="s">
        <v>74</v>
      </c>
      <c r="AU864">
        <v>2024</v>
      </c>
      <c r="AV864">
        <v>14877</v>
      </c>
      <c r="AW864" t="s">
        <v>74</v>
      </c>
      <c r="AX864" t="s">
        <v>74</v>
      </c>
      <c r="AY864" t="s">
        <v>74</v>
      </c>
      <c r="AZ864" t="s">
        <v>74</v>
      </c>
      <c r="BA864" t="s">
        <v>74</v>
      </c>
      <c r="BB864">
        <v>90</v>
      </c>
      <c r="BC864">
        <v>101</v>
      </c>
      <c r="BD864" t="s">
        <v>74</v>
      </c>
      <c r="BE864" t="s">
        <v>16988</v>
      </c>
      <c r="BF864" t="str">
        <f>HYPERLINK("http://dx.doi.org/10.1007/978-981-97-5669-8_8","http://dx.doi.org/10.1007/978-981-97-5669-8_8")</f>
        <v>http://dx.doi.org/10.1007/978-981-97-5669-8_8</v>
      </c>
      <c r="BG864" t="s">
        <v>74</v>
      </c>
      <c r="BH864" t="s">
        <v>74</v>
      </c>
      <c r="BI864">
        <v>12</v>
      </c>
      <c r="BJ864" t="s">
        <v>1399</v>
      </c>
      <c r="BK864" t="s">
        <v>203</v>
      </c>
      <c r="BL864" t="s">
        <v>103</v>
      </c>
      <c r="BM864" t="s">
        <v>16989</v>
      </c>
      <c r="BN864" t="s">
        <v>74</v>
      </c>
      <c r="BO864" t="s">
        <v>74</v>
      </c>
      <c r="BP864" t="s">
        <v>74</v>
      </c>
      <c r="BQ864" t="s">
        <v>74</v>
      </c>
      <c r="BR864" t="s">
        <v>106</v>
      </c>
      <c r="BS864" t="s">
        <v>16990</v>
      </c>
      <c r="BT864" t="str">
        <f>HYPERLINK("https%3A%2F%2Fwww.webofscience.com%2Fwos%2Fwoscc%2Ffull-record%2FWOS:001307345000008","View Full Record in Web of Science")</f>
        <v>View Full Record in Web of Science</v>
      </c>
    </row>
    <row r="865" spans="1:72" x14ac:dyDescent="0.25">
      <c r="A865" t="s">
        <v>72</v>
      </c>
      <c r="B865" t="s">
        <v>16991</v>
      </c>
      <c r="C865" t="s">
        <v>74</v>
      </c>
      <c r="D865" t="s">
        <v>74</v>
      </c>
      <c r="E865" t="s">
        <v>74</v>
      </c>
      <c r="F865" t="s">
        <v>16992</v>
      </c>
      <c r="G865" t="s">
        <v>74</v>
      </c>
      <c r="H865" t="s">
        <v>74</v>
      </c>
      <c r="I865" t="s">
        <v>16993</v>
      </c>
      <c r="J865" t="s">
        <v>2480</v>
      </c>
      <c r="K865" t="s">
        <v>74</v>
      </c>
      <c r="L865" t="s">
        <v>74</v>
      </c>
      <c r="M865" t="s">
        <v>78</v>
      </c>
      <c r="N865" t="s">
        <v>79</v>
      </c>
      <c r="O865" t="s">
        <v>74</v>
      </c>
      <c r="P865" t="s">
        <v>74</v>
      </c>
      <c r="Q865" t="s">
        <v>74</v>
      </c>
      <c r="R865" t="s">
        <v>74</v>
      </c>
      <c r="S865" t="s">
        <v>74</v>
      </c>
      <c r="T865" t="s">
        <v>16994</v>
      </c>
      <c r="U865" t="s">
        <v>74</v>
      </c>
      <c r="V865" t="s">
        <v>16995</v>
      </c>
      <c r="W865" t="s">
        <v>16996</v>
      </c>
      <c r="X865" t="s">
        <v>16997</v>
      </c>
      <c r="Y865" t="s">
        <v>16998</v>
      </c>
      <c r="Z865" t="s">
        <v>16999</v>
      </c>
      <c r="AA865" t="s">
        <v>74</v>
      </c>
      <c r="AB865" t="s">
        <v>74</v>
      </c>
      <c r="AC865" t="s">
        <v>74</v>
      </c>
      <c r="AD865" t="s">
        <v>74</v>
      </c>
      <c r="AE865" t="s">
        <v>74</v>
      </c>
      <c r="AF865" t="s">
        <v>74</v>
      </c>
      <c r="AG865">
        <v>31</v>
      </c>
      <c r="AH865">
        <v>13</v>
      </c>
      <c r="AI865">
        <v>15</v>
      </c>
      <c r="AJ865">
        <v>1</v>
      </c>
      <c r="AK865">
        <v>29</v>
      </c>
      <c r="AL865" t="s">
        <v>178</v>
      </c>
      <c r="AM865" t="s">
        <v>1005</v>
      </c>
      <c r="AN865" t="s">
        <v>1006</v>
      </c>
      <c r="AO865" t="s">
        <v>2489</v>
      </c>
      <c r="AP865" t="s">
        <v>3079</v>
      </c>
      <c r="AQ865" t="s">
        <v>74</v>
      </c>
      <c r="AR865" t="s">
        <v>2490</v>
      </c>
      <c r="AS865" t="s">
        <v>2491</v>
      </c>
      <c r="AT865" t="s">
        <v>1950</v>
      </c>
      <c r="AU865">
        <v>2018</v>
      </c>
      <c r="AV865">
        <v>77</v>
      </c>
      <c r="AW865">
        <v>4</v>
      </c>
      <c r="AX865" t="s">
        <v>74</v>
      </c>
      <c r="AY865" t="s">
        <v>74</v>
      </c>
      <c r="AZ865" t="s">
        <v>74</v>
      </c>
      <c r="BA865" t="s">
        <v>74</v>
      </c>
      <c r="BB865">
        <v>4187</v>
      </c>
      <c r="BC865">
        <v>4202</v>
      </c>
      <c r="BD865" t="s">
        <v>74</v>
      </c>
      <c r="BE865" t="s">
        <v>17000</v>
      </c>
      <c r="BF865" t="str">
        <f>HYPERLINK("http://dx.doi.org/10.1007/s11042-017-4553-9","http://dx.doi.org/10.1007/s11042-017-4553-9")</f>
        <v>http://dx.doi.org/10.1007/s11042-017-4553-9</v>
      </c>
      <c r="BG865" t="s">
        <v>74</v>
      </c>
      <c r="BH865" t="s">
        <v>74</v>
      </c>
      <c r="BI865">
        <v>16</v>
      </c>
      <c r="BJ865" t="s">
        <v>2493</v>
      </c>
      <c r="BK865" t="s">
        <v>902</v>
      </c>
      <c r="BL865" t="s">
        <v>953</v>
      </c>
      <c r="BM865" t="s">
        <v>17001</v>
      </c>
      <c r="BN865" t="s">
        <v>74</v>
      </c>
      <c r="BO865" t="s">
        <v>74</v>
      </c>
      <c r="BP865" t="s">
        <v>74</v>
      </c>
      <c r="BQ865" t="s">
        <v>74</v>
      </c>
      <c r="BR865" t="s">
        <v>106</v>
      </c>
      <c r="BS865" t="s">
        <v>17002</v>
      </c>
      <c r="BT865" t="str">
        <f>HYPERLINK("https%3A%2F%2Fwww.webofscience.com%2Fwos%2Fwoscc%2Ffull-record%2FWOS:000425296500007","View Full Record in Web of Science")</f>
        <v>View Full Record in Web of Science</v>
      </c>
    </row>
    <row r="866" spans="1:72" x14ac:dyDescent="0.25">
      <c r="A866" t="s">
        <v>108</v>
      </c>
      <c r="B866" t="s">
        <v>17003</v>
      </c>
      <c r="C866" t="s">
        <v>74</v>
      </c>
      <c r="D866" t="s">
        <v>17004</v>
      </c>
      <c r="E866" t="s">
        <v>74</v>
      </c>
      <c r="F866" t="s">
        <v>17005</v>
      </c>
      <c r="G866" t="s">
        <v>74</v>
      </c>
      <c r="H866" t="s">
        <v>74</v>
      </c>
      <c r="I866" t="s">
        <v>17006</v>
      </c>
      <c r="J866" t="s">
        <v>17007</v>
      </c>
      <c r="K866" t="s">
        <v>74</v>
      </c>
      <c r="L866" t="s">
        <v>74</v>
      </c>
      <c r="M866" t="s">
        <v>78</v>
      </c>
      <c r="N866" t="s">
        <v>115</v>
      </c>
      <c r="O866" t="s">
        <v>17008</v>
      </c>
      <c r="P866" t="s">
        <v>17009</v>
      </c>
      <c r="Q866" t="s">
        <v>17010</v>
      </c>
      <c r="R866" t="s">
        <v>74</v>
      </c>
      <c r="S866" t="s">
        <v>74</v>
      </c>
      <c r="T866" t="s">
        <v>17011</v>
      </c>
      <c r="U866" t="s">
        <v>74</v>
      </c>
      <c r="V866" t="s">
        <v>17012</v>
      </c>
      <c r="W866" t="s">
        <v>17013</v>
      </c>
      <c r="X866" t="s">
        <v>17014</v>
      </c>
      <c r="Y866" t="s">
        <v>17015</v>
      </c>
      <c r="Z866" t="s">
        <v>17016</v>
      </c>
      <c r="AA866" t="s">
        <v>17017</v>
      </c>
      <c r="AB866" t="s">
        <v>17018</v>
      </c>
      <c r="AC866" t="s">
        <v>74</v>
      </c>
      <c r="AD866" t="s">
        <v>74</v>
      </c>
      <c r="AE866" t="s">
        <v>74</v>
      </c>
      <c r="AF866" t="s">
        <v>74</v>
      </c>
      <c r="AG866">
        <v>27</v>
      </c>
      <c r="AH866">
        <v>5</v>
      </c>
      <c r="AI866">
        <v>6</v>
      </c>
      <c r="AJ866">
        <v>0</v>
      </c>
      <c r="AK866">
        <v>2</v>
      </c>
      <c r="AL866" t="s">
        <v>291</v>
      </c>
      <c r="AM866" t="s">
        <v>92</v>
      </c>
      <c r="AN866" t="s">
        <v>341</v>
      </c>
      <c r="AO866" t="s">
        <v>74</v>
      </c>
      <c r="AP866" t="s">
        <v>74</v>
      </c>
      <c r="AQ866" t="s">
        <v>17019</v>
      </c>
      <c r="AR866" t="s">
        <v>74</v>
      </c>
      <c r="AS866" t="s">
        <v>74</v>
      </c>
      <c r="AT866" t="s">
        <v>74</v>
      </c>
      <c r="AU866">
        <v>2020</v>
      </c>
      <c r="AV866" t="s">
        <v>74</v>
      </c>
      <c r="AW866" t="s">
        <v>74</v>
      </c>
      <c r="AX866" t="s">
        <v>74</v>
      </c>
      <c r="AY866" t="s">
        <v>74</v>
      </c>
      <c r="AZ866" t="s">
        <v>74</v>
      </c>
      <c r="BA866" t="s">
        <v>74</v>
      </c>
      <c r="BB866" t="s">
        <v>74</v>
      </c>
      <c r="BC866" t="s">
        <v>74</v>
      </c>
      <c r="BD866" t="s">
        <v>74</v>
      </c>
      <c r="BE866" t="s">
        <v>17020</v>
      </c>
      <c r="BF866" t="str">
        <f>HYPERLINK("http://dx.doi.org/10.1145/3386723.3387874","http://dx.doi.org/10.1145/3386723.3387874")</f>
        <v>http://dx.doi.org/10.1145/3386723.3387874</v>
      </c>
      <c r="BG866" t="s">
        <v>74</v>
      </c>
      <c r="BH866" t="s">
        <v>74</v>
      </c>
      <c r="BI866">
        <v>6</v>
      </c>
      <c r="BJ866" t="s">
        <v>5724</v>
      </c>
      <c r="BK866" t="s">
        <v>203</v>
      </c>
      <c r="BL866" t="s">
        <v>2422</v>
      </c>
      <c r="BM866" t="s">
        <v>17021</v>
      </c>
      <c r="BN866" t="s">
        <v>74</v>
      </c>
      <c r="BO866" t="s">
        <v>74</v>
      </c>
      <c r="BP866" t="s">
        <v>74</v>
      </c>
      <c r="BQ866" t="s">
        <v>74</v>
      </c>
      <c r="BR866" t="s">
        <v>106</v>
      </c>
      <c r="BS866" t="s">
        <v>17022</v>
      </c>
      <c r="BT866" t="str">
        <f>HYPERLINK("https%3A%2F%2Fwww.webofscience.com%2Fwos%2Fwoscc%2Ffull-record%2FWOS:000649337600055","View Full Record in Web of Science")</f>
        <v>View Full Record in Web of Science</v>
      </c>
    </row>
    <row r="867" spans="1:72" x14ac:dyDescent="0.25">
      <c r="A867" t="s">
        <v>108</v>
      </c>
      <c r="B867" t="s">
        <v>17023</v>
      </c>
      <c r="C867" t="s">
        <v>74</v>
      </c>
      <c r="D867" t="s">
        <v>74</v>
      </c>
      <c r="E867" t="s">
        <v>17024</v>
      </c>
      <c r="F867" t="s">
        <v>17023</v>
      </c>
      <c r="G867" t="s">
        <v>74</v>
      </c>
      <c r="H867" t="s">
        <v>74</v>
      </c>
      <c r="I867" t="s">
        <v>17025</v>
      </c>
      <c r="J867" t="s">
        <v>17026</v>
      </c>
      <c r="K867" t="s">
        <v>74</v>
      </c>
      <c r="L867" t="s">
        <v>74</v>
      </c>
      <c r="M867" t="s">
        <v>78</v>
      </c>
      <c r="N867" t="s">
        <v>115</v>
      </c>
      <c r="O867" t="s">
        <v>17027</v>
      </c>
      <c r="P867" t="s">
        <v>17028</v>
      </c>
      <c r="Q867" t="s">
        <v>17029</v>
      </c>
      <c r="R867" t="s">
        <v>17030</v>
      </c>
      <c r="S867" t="s">
        <v>74</v>
      </c>
      <c r="T867" t="s">
        <v>74</v>
      </c>
      <c r="U867" t="s">
        <v>1421</v>
      </c>
      <c r="V867" t="s">
        <v>17031</v>
      </c>
      <c r="W867" t="s">
        <v>17032</v>
      </c>
      <c r="X867" t="s">
        <v>17033</v>
      </c>
      <c r="Y867" t="s">
        <v>17034</v>
      </c>
      <c r="Z867" t="s">
        <v>74</v>
      </c>
      <c r="AA867" t="s">
        <v>74</v>
      </c>
      <c r="AB867" t="s">
        <v>74</v>
      </c>
      <c r="AC867" t="s">
        <v>74</v>
      </c>
      <c r="AD867" t="s">
        <v>74</v>
      </c>
      <c r="AE867" t="s">
        <v>74</v>
      </c>
      <c r="AF867" t="s">
        <v>74</v>
      </c>
      <c r="AG867">
        <v>30</v>
      </c>
      <c r="AH867">
        <v>12</v>
      </c>
      <c r="AI867">
        <v>23</v>
      </c>
      <c r="AJ867">
        <v>0</v>
      </c>
      <c r="AK867">
        <v>2</v>
      </c>
      <c r="AL867" t="s">
        <v>17035</v>
      </c>
      <c r="AM867" t="s">
        <v>17036</v>
      </c>
      <c r="AN867" t="s">
        <v>17037</v>
      </c>
      <c r="AO867" t="s">
        <v>74</v>
      </c>
      <c r="AP867" t="s">
        <v>74</v>
      </c>
      <c r="AQ867" t="s">
        <v>17038</v>
      </c>
      <c r="AR867" t="s">
        <v>74</v>
      </c>
      <c r="AS867" t="s">
        <v>74</v>
      </c>
      <c r="AT867" t="s">
        <v>74</v>
      </c>
      <c r="AU867">
        <v>1996</v>
      </c>
      <c r="AV867" t="s">
        <v>74</v>
      </c>
      <c r="AW867" t="s">
        <v>74</v>
      </c>
      <c r="AX867" t="s">
        <v>74</v>
      </c>
      <c r="AY867" t="s">
        <v>74</v>
      </c>
      <c r="AZ867" t="s">
        <v>74</v>
      </c>
      <c r="BA867" t="s">
        <v>74</v>
      </c>
      <c r="BB867">
        <v>433</v>
      </c>
      <c r="BC867">
        <v>438</v>
      </c>
      <c r="BD867" t="s">
        <v>74</v>
      </c>
      <c r="BE867" t="s">
        <v>74</v>
      </c>
      <c r="BF867" t="s">
        <v>74</v>
      </c>
      <c r="BG867" t="s">
        <v>74</v>
      </c>
      <c r="BH867" t="s">
        <v>74</v>
      </c>
      <c r="BI867">
        <v>6</v>
      </c>
      <c r="BJ867" t="s">
        <v>807</v>
      </c>
      <c r="BK867" t="s">
        <v>203</v>
      </c>
      <c r="BL867" t="s">
        <v>103</v>
      </c>
      <c r="BM867" t="s">
        <v>17039</v>
      </c>
      <c r="BN867" t="s">
        <v>74</v>
      </c>
      <c r="BO867" t="s">
        <v>74</v>
      </c>
      <c r="BP867" t="s">
        <v>74</v>
      </c>
      <c r="BQ867" t="s">
        <v>74</v>
      </c>
      <c r="BR867" t="s">
        <v>106</v>
      </c>
      <c r="BS867" t="s">
        <v>17040</v>
      </c>
      <c r="BT867" t="str">
        <f>HYPERLINK("https%3A%2F%2Fwww.webofscience.com%2Fwos%2Fwoscc%2Ffull-record%2FWOS:000082323300065","View Full Record in Web of Science")</f>
        <v>View Full Record in Web of Science</v>
      </c>
    </row>
    <row r="868" spans="1:72" x14ac:dyDescent="0.25">
      <c r="A868" t="s">
        <v>72</v>
      </c>
      <c r="B868" t="s">
        <v>17041</v>
      </c>
      <c r="C868" t="s">
        <v>74</v>
      </c>
      <c r="D868" t="s">
        <v>74</v>
      </c>
      <c r="E868" t="s">
        <v>74</v>
      </c>
      <c r="F868" t="s">
        <v>17042</v>
      </c>
      <c r="G868" t="s">
        <v>74</v>
      </c>
      <c r="H868" t="s">
        <v>74</v>
      </c>
      <c r="I868" t="s">
        <v>17043</v>
      </c>
      <c r="J868" t="s">
        <v>17044</v>
      </c>
      <c r="K868" t="s">
        <v>74</v>
      </c>
      <c r="L868" t="s">
        <v>74</v>
      </c>
      <c r="M868" t="s">
        <v>78</v>
      </c>
      <c r="N868" t="s">
        <v>79</v>
      </c>
      <c r="O868" t="s">
        <v>74</v>
      </c>
      <c r="P868" t="s">
        <v>74</v>
      </c>
      <c r="Q868" t="s">
        <v>74</v>
      </c>
      <c r="R868" t="s">
        <v>74</v>
      </c>
      <c r="S868" t="s">
        <v>74</v>
      </c>
      <c r="T868" t="s">
        <v>17045</v>
      </c>
      <c r="U868" t="s">
        <v>17046</v>
      </c>
      <c r="V868" t="s">
        <v>17047</v>
      </c>
      <c r="W868" t="s">
        <v>17048</v>
      </c>
      <c r="X868" t="s">
        <v>17049</v>
      </c>
      <c r="Y868" t="s">
        <v>17050</v>
      </c>
      <c r="Z868" t="s">
        <v>17051</v>
      </c>
      <c r="AA868" t="s">
        <v>17052</v>
      </c>
      <c r="AB868" t="s">
        <v>74</v>
      </c>
      <c r="AC868" t="s">
        <v>17053</v>
      </c>
      <c r="AD868" t="s">
        <v>17054</v>
      </c>
      <c r="AE868" t="s">
        <v>17055</v>
      </c>
      <c r="AF868" t="s">
        <v>74</v>
      </c>
      <c r="AG868">
        <v>24</v>
      </c>
      <c r="AH868">
        <v>0</v>
      </c>
      <c r="AI868">
        <v>0</v>
      </c>
      <c r="AJ868">
        <v>0</v>
      </c>
      <c r="AK868">
        <v>2</v>
      </c>
      <c r="AL868" t="s">
        <v>17056</v>
      </c>
      <c r="AM868" t="s">
        <v>17057</v>
      </c>
      <c r="AN868" t="s">
        <v>17058</v>
      </c>
      <c r="AO868" t="s">
        <v>17059</v>
      </c>
      <c r="AP868" t="s">
        <v>74</v>
      </c>
      <c r="AQ868" t="s">
        <v>74</v>
      </c>
      <c r="AR868" t="s">
        <v>17060</v>
      </c>
      <c r="AS868" t="s">
        <v>17061</v>
      </c>
      <c r="AT868" t="s">
        <v>1251</v>
      </c>
      <c r="AU868">
        <v>2020</v>
      </c>
      <c r="AV868">
        <v>11</v>
      </c>
      <c r="AW868">
        <v>1</v>
      </c>
      <c r="AX868" t="s">
        <v>74</v>
      </c>
      <c r="AY868" t="s">
        <v>74</v>
      </c>
      <c r="AZ868" t="s">
        <v>74</v>
      </c>
      <c r="BA868" t="s">
        <v>74</v>
      </c>
      <c r="BB868">
        <v>126</v>
      </c>
      <c r="BC868">
        <v>139</v>
      </c>
      <c r="BD868" t="s">
        <v>74</v>
      </c>
      <c r="BE868" t="s">
        <v>74</v>
      </c>
      <c r="BF868" t="s">
        <v>74</v>
      </c>
      <c r="BG868" t="s">
        <v>74</v>
      </c>
      <c r="BH868" t="s">
        <v>74</v>
      </c>
      <c r="BI868">
        <v>7</v>
      </c>
      <c r="BJ868" t="s">
        <v>11731</v>
      </c>
      <c r="BK868" t="s">
        <v>102</v>
      </c>
      <c r="BL868" t="s">
        <v>11731</v>
      </c>
      <c r="BM868" t="s">
        <v>17062</v>
      </c>
      <c r="BN868" t="s">
        <v>74</v>
      </c>
      <c r="BO868" t="s">
        <v>74</v>
      </c>
      <c r="BP868" t="s">
        <v>74</v>
      </c>
      <c r="BQ868" t="s">
        <v>74</v>
      </c>
      <c r="BR868" t="s">
        <v>106</v>
      </c>
      <c r="BS868" t="s">
        <v>17063</v>
      </c>
      <c r="BT868" t="str">
        <f>HYPERLINK("https%3A%2F%2Fwww.webofscience.com%2Fwos%2Fwoscc%2Ffull-record%2FWOS:000526817800008","View Full Record in Web of Science")</f>
        <v>View Full Record in Web of Science</v>
      </c>
    </row>
    <row r="869" spans="1:72" x14ac:dyDescent="0.25">
      <c r="A869" t="s">
        <v>72</v>
      </c>
      <c r="B869" t="s">
        <v>17064</v>
      </c>
      <c r="C869" t="s">
        <v>74</v>
      </c>
      <c r="D869" t="s">
        <v>74</v>
      </c>
      <c r="E869" t="s">
        <v>74</v>
      </c>
      <c r="F869" t="s">
        <v>17065</v>
      </c>
      <c r="G869" t="s">
        <v>74</v>
      </c>
      <c r="H869" t="s">
        <v>74</v>
      </c>
      <c r="I869" t="s">
        <v>17066</v>
      </c>
      <c r="J869" t="s">
        <v>17067</v>
      </c>
      <c r="K869" t="s">
        <v>74</v>
      </c>
      <c r="L869" t="s">
        <v>74</v>
      </c>
      <c r="M869" t="s">
        <v>78</v>
      </c>
      <c r="N869" t="s">
        <v>79</v>
      </c>
      <c r="O869" t="s">
        <v>74</v>
      </c>
      <c r="P869" t="s">
        <v>74</v>
      </c>
      <c r="Q869" t="s">
        <v>74</v>
      </c>
      <c r="R869" t="s">
        <v>74</v>
      </c>
      <c r="S869" t="s">
        <v>74</v>
      </c>
      <c r="T869" t="s">
        <v>17068</v>
      </c>
      <c r="U869" t="s">
        <v>17069</v>
      </c>
      <c r="V869" t="s">
        <v>17070</v>
      </c>
      <c r="W869" t="s">
        <v>17071</v>
      </c>
      <c r="X869" t="s">
        <v>17072</v>
      </c>
      <c r="Y869" t="s">
        <v>17073</v>
      </c>
      <c r="Z869" t="s">
        <v>17074</v>
      </c>
      <c r="AA869" t="s">
        <v>74</v>
      </c>
      <c r="AB869" t="s">
        <v>74</v>
      </c>
      <c r="AC869" t="s">
        <v>17075</v>
      </c>
      <c r="AD869" t="s">
        <v>17076</v>
      </c>
      <c r="AE869" t="s">
        <v>17077</v>
      </c>
      <c r="AF869" t="s">
        <v>74</v>
      </c>
      <c r="AG869">
        <v>83</v>
      </c>
      <c r="AH869">
        <v>0</v>
      </c>
      <c r="AI869">
        <v>0</v>
      </c>
      <c r="AJ869">
        <v>1</v>
      </c>
      <c r="AK869">
        <v>1</v>
      </c>
      <c r="AL869" t="s">
        <v>4549</v>
      </c>
      <c r="AM869" t="s">
        <v>4550</v>
      </c>
      <c r="AN869" t="s">
        <v>4551</v>
      </c>
      <c r="AO869" t="s">
        <v>17078</v>
      </c>
      <c r="AP869" t="s">
        <v>17079</v>
      </c>
      <c r="AQ869" t="s">
        <v>74</v>
      </c>
      <c r="AR869" t="s">
        <v>17067</v>
      </c>
      <c r="AS869" t="s">
        <v>17080</v>
      </c>
      <c r="AT869" t="s">
        <v>509</v>
      </c>
      <c r="AU869">
        <v>2026</v>
      </c>
      <c r="AV869">
        <v>338</v>
      </c>
      <c r="AW869" t="s">
        <v>74</v>
      </c>
      <c r="AX869" t="s">
        <v>74</v>
      </c>
      <c r="AY869" t="s">
        <v>74</v>
      </c>
      <c r="AZ869" t="s">
        <v>74</v>
      </c>
      <c r="BA869" t="s">
        <v>74</v>
      </c>
      <c r="BB869" t="s">
        <v>74</v>
      </c>
      <c r="BC869" t="s">
        <v>74</v>
      </c>
      <c r="BD869">
        <v>122080</v>
      </c>
      <c r="BE869" t="s">
        <v>17081</v>
      </c>
      <c r="BF869" t="str">
        <f>HYPERLINK("http://dx.doi.org/10.1016/j.neuroimage.2026.122080","http://dx.doi.org/10.1016/j.neuroimage.2026.122080")</f>
        <v>http://dx.doi.org/10.1016/j.neuroimage.2026.122080</v>
      </c>
      <c r="BG869" t="s">
        <v>74</v>
      </c>
      <c r="BH869" t="s">
        <v>17082</v>
      </c>
      <c r="BI869">
        <v>14</v>
      </c>
      <c r="BJ869" t="s">
        <v>17083</v>
      </c>
      <c r="BK869" t="s">
        <v>902</v>
      </c>
      <c r="BL869" t="s">
        <v>17084</v>
      </c>
      <c r="BM869" t="s">
        <v>17085</v>
      </c>
      <c r="BN869">
        <v>42365907</v>
      </c>
      <c r="BO869" t="s">
        <v>372</v>
      </c>
      <c r="BP869" t="s">
        <v>74</v>
      </c>
      <c r="BQ869" t="s">
        <v>74</v>
      </c>
      <c r="BR869" t="s">
        <v>106</v>
      </c>
      <c r="BS869" t="s">
        <v>17086</v>
      </c>
      <c r="BT869" t="str">
        <f>HYPERLINK("https%3A%2F%2Fwww.webofscience.com%2Fwos%2Fwoscc%2Ffull-record%2FWOS:001816737500001","View Full Record in Web of Science")</f>
        <v>View Full Record in Web of Science</v>
      </c>
    </row>
    <row r="870" spans="1:72" x14ac:dyDescent="0.25">
      <c r="A870" t="s">
        <v>108</v>
      </c>
      <c r="B870" t="s">
        <v>17087</v>
      </c>
      <c r="C870" t="s">
        <v>74</v>
      </c>
      <c r="D870" t="s">
        <v>17088</v>
      </c>
      <c r="E870" t="s">
        <v>74</v>
      </c>
      <c r="F870" t="s">
        <v>17089</v>
      </c>
      <c r="G870" t="s">
        <v>74</v>
      </c>
      <c r="H870" t="s">
        <v>74</v>
      </c>
      <c r="I870" t="s">
        <v>17090</v>
      </c>
      <c r="J870" t="s">
        <v>17091</v>
      </c>
      <c r="K870" t="s">
        <v>17092</v>
      </c>
      <c r="L870" t="s">
        <v>74</v>
      </c>
      <c r="M870" t="s">
        <v>78</v>
      </c>
      <c r="N870" t="s">
        <v>115</v>
      </c>
      <c r="O870" t="s">
        <v>17093</v>
      </c>
      <c r="P870" t="s">
        <v>17094</v>
      </c>
      <c r="Q870" t="s">
        <v>17095</v>
      </c>
      <c r="R870" t="s">
        <v>17096</v>
      </c>
      <c r="S870" t="s">
        <v>17097</v>
      </c>
      <c r="T870" t="s">
        <v>17098</v>
      </c>
      <c r="U870" t="s">
        <v>74</v>
      </c>
      <c r="V870" t="s">
        <v>17099</v>
      </c>
      <c r="W870" t="s">
        <v>17100</v>
      </c>
      <c r="X870" t="s">
        <v>17101</v>
      </c>
      <c r="Y870" t="s">
        <v>17102</v>
      </c>
      <c r="Z870" t="s">
        <v>17103</v>
      </c>
      <c r="AA870" t="s">
        <v>17104</v>
      </c>
      <c r="AB870" t="s">
        <v>17105</v>
      </c>
      <c r="AC870" t="s">
        <v>74</v>
      </c>
      <c r="AD870" t="s">
        <v>74</v>
      </c>
      <c r="AE870" t="s">
        <v>74</v>
      </c>
      <c r="AF870" t="s">
        <v>74</v>
      </c>
      <c r="AG870">
        <v>16</v>
      </c>
      <c r="AH870">
        <v>5</v>
      </c>
      <c r="AI870">
        <v>7</v>
      </c>
      <c r="AJ870">
        <v>0</v>
      </c>
      <c r="AK870">
        <v>6</v>
      </c>
      <c r="AL870" t="s">
        <v>465</v>
      </c>
      <c r="AM870" t="s">
        <v>92</v>
      </c>
      <c r="AN870" t="s">
        <v>480</v>
      </c>
      <c r="AO870" t="s">
        <v>17106</v>
      </c>
      <c r="AP870" t="s">
        <v>74</v>
      </c>
      <c r="AQ870" t="s">
        <v>17107</v>
      </c>
      <c r="AR870" t="s">
        <v>17108</v>
      </c>
      <c r="AS870" t="s">
        <v>74</v>
      </c>
      <c r="AT870" t="s">
        <v>74</v>
      </c>
      <c r="AU870">
        <v>2017</v>
      </c>
      <c r="AV870" t="s">
        <v>74</v>
      </c>
      <c r="AW870" t="s">
        <v>74</v>
      </c>
      <c r="AX870" t="s">
        <v>74</v>
      </c>
      <c r="AY870" t="s">
        <v>74</v>
      </c>
      <c r="AZ870" t="s">
        <v>74</v>
      </c>
      <c r="BA870" t="s">
        <v>74</v>
      </c>
      <c r="BB870">
        <v>377</v>
      </c>
      <c r="BC870">
        <v>383</v>
      </c>
      <c r="BD870" t="s">
        <v>74</v>
      </c>
      <c r="BE870" t="s">
        <v>74</v>
      </c>
      <c r="BF870" t="s">
        <v>74</v>
      </c>
      <c r="BG870" t="s">
        <v>74</v>
      </c>
      <c r="BH870" t="s">
        <v>74</v>
      </c>
      <c r="BI870">
        <v>7</v>
      </c>
      <c r="BJ870" t="s">
        <v>2268</v>
      </c>
      <c r="BK870" t="s">
        <v>203</v>
      </c>
      <c r="BL870" t="s">
        <v>2269</v>
      </c>
      <c r="BM870" t="s">
        <v>17109</v>
      </c>
      <c r="BN870" t="s">
        <v>74</v>
      </c>
      <c r="BO870" t="s">
        <v>74</v>
      </c>
      <c r="BP870" t="s">
        <v>74</v>
      </c>
      <c r="BQ870" t="s">
        <v>74</v>
      </c>
      <c r="BR870" t="s">
        <v>106</v>
      </c>
      <c r="BS870" t="s">
        <v>17110</v>
      </c>
      <c r="BT870" t="str">
        <f>HYPERLINK("https%3A%2F%2Fwww.webofscience.com%2Fwos%2Fwoscc%2Ffull-record%2FWOS:000435235900068","View Full Record in Web of Science")</f>
        <v>View Full Record in Web of Science</v>
      </c>
    </row>
    <row r="871" spans="1:72" x14ac:dyDescent="0.25">
      <c r="A871" t="s">
        <v>108</v>
      </c>
      <c r="B871" t="s">
        <v>17111</v>
      </c>
      <c r="C871" t="s">
        <v>74</v>
      </c>
      <c r="D871" t="s">
        <v>74</v>
      </c>
      <c r="E871" t="s">
        <v>465</v>
      </c>
      <c r="F871" t="s">
        <v>17112</v>
      </c>
      <c r="G871" t="s">
        <v>74</v>
      </c>
      <c r="H871" t="s">
        <v>74</v>
      </c>
      <c r="I871" t="s">
        <v>17113</v>
      </c>
      <c r="J871" t="s">
        <v>17114</v>
      </c>
      <c r="K871" t="s">
        <v>17115</v>
      </c>
      <c r="L871" t="s">
        <v>74</v>
      </c>
      <c r="M871" t="s">
        <v>78</v>
      </c>
      <c r="N871" t="s">
        <v>115</v>
      </c>
      <c r="O871" t="s">
        <v>17116</v>
      </c>
      <c r="P871" t="s">
        <v>17117</v>
      </c>
      <c r="Q871" t="s">
        <v>4669</v>
      </c>
      <c r="R871" t="s">
        <v>17118</v>
      </c>
      <c r="S871" t="s">
        <v>74</v>
      </c>
      <c r="T871" t="s">
        <v>74</v>
      </c>
      <c r="U871" t="s">
        <v>74</v>
      </c>
      <c r="V871" t="s">
        <v>17119</v>
      </c>
      <c r="W871" t="s">
        <v>17120</v>
      </c>
      <c r="X871" t="s">
        <v>17121</v>
      </c>
      <c r="Y871" t="s">
        <v>17122</v>
      </c>
      <c r="Z871" t="s">
        <v>17123</v>
      </c>
      <c r="AA871" t="s">
        <v>17124</v>
      </c>
      <c r="AB871" t="s">
        <v>17125</v>
      </c>
      <c r="AC871" t="s">
        <v>17126</v>
      </c>
      <c r="AD871" t="s">
        <v>17127</v>
      </c>
      <c r="AE871" t="s">
        <v>17128</v>
      </c>
      <c r="AF871" t="s">
        <v>74</v>
      </c>
      <c r="AG871">
        <v>13</v>
      </c>
      <c r="AH871">
        <v>0</v>
      </c>
      <c r="AI871">
        <v>0</v>
      </c>
      <c r="AJ871">
        <v>0</v>
      </c>
      <c r="AK871">
        <v>5</v>
      </c>
      <c r="AL871" t="s">
        <v>465</v>
      </c>
      <c r="AM871" t="s">
        <v>92</v>
      </c>
      <c r="AN871" t="s">
        <v>480</v>
      </c>
      <c r="AO871" t="s">
        <v>17129</v>
      </c>
      <c r="AP871" t="s">
        <v>74</v>
      </c>
      <c r="AQ871" t="s">
        <v>17130</v>
      </c>
      <c r="AR871" t="s">
        <v>17131</v>
      </c>
      <c r="AS871" t="s">
        <v>74</v>
      </c>
      <c r="AT871" t="s">
        <v>74</v>
      </c>
      <c r="AU871">
        <v>2020</v>
      </c>
      <c r="AV871" t="s">
        <v>74</v>
      </c>
      <c r="AW871" t="s">
        <v>74</v>
      </c>
      <c r="AX871" t="s">
        <v>74</v>
      </c>
      <c r="AY871" t="s">
        <v>74</v>
      </c>
      <c r="AZ871" t="s">
        <v>74</v>
      </c>
      <c r="BA871" t="s">
        <v>74</v>
      </c>
      <c r="BB871" t="s">
        <v>74</v>
      </c>
      <c r="BC871" t="s">
        <v>74</v>
      </c>
      <c r="BD871" t="s">
        <v>74</v>
      </c>
      <c r="BE871" t="s">
        <v>17132</v>
      </c>
      <c r="BF871" t="str">
        <f>HYPERLINK("http://dx.doi.org/10.1109/wcnc45663.2020.9120750","http://dx.doi.org/10.1109/wcnc45663.2020.9120750")</f>
        <v>http://dx.doi.org/10.1109/wcnc45663.2020.9120750</v>
      </c>
      <c r="BG871" t="s">
        <v>74</v>
      </c>
      <c r="BH871" t="s">
        <v>74</v>
      </c>
      <c r="BI871">
        <v>6</v>
      </c>
      <c r="BJ871" t="s">
        <v>901</v>
      </c>
      <c r="BK871" t="s">
        <v>203</v>
      </c>
      <c r="BL871" t="s">
        <v>903</v>
      </c>
      <c r="BM871" t="s">
        <v>17133</v>
      </c>
      <c r="BN871" t="s">
        <v>74</v>
      </c>
      <c r="BO871" t="s">
        <v>74</v>
      </c>
      <c r="BP871" t="s">
        <v>74</v>
      </c>
      <c r="BQ871" t="s">
        <v>74</v>
      </c>
      <c r="BR871" t="s">
        <v>106</v>
      </c>
      <c r="BS871" t="s">
        <v>17134</v>
      </c>
      <c r="BT871" t="str">
        <f>HYPERLINK("https%3A%2F%2Fwww.webofscience.com%2Fwos%2Fwoscc%2Ffull-record%2FWOS:000569342900290","View Full Record in Web of Science")</f>
        <v>View Full Record in Web of Science</v>
      </c>
    </row>
    <row r="872" spans="1:72" x14ac:dyDescent="0.25">
      <c r="A872" t="s">
        <v>108</v>
      </c>
      <c r="B872" t="s">
        <v>17135</v>
      </c>
      <c r="C872" t="s">
        <v>74</v>
      </c>
      <c r="D872" t="s">
        <v>17136</v>
      </c>
      <c r="E872" t="s">
        <v>74</v>
      </c>
      <c r="F872" t="s">
        <v>17137</v>
      </c>
      <c r="G872" t="s">
        <v>74</v>
      </c>
      <c r="H872" t="s">
        <v>74</v>
      </c>
      <c r="I872" t="s">
        <v>17138</v>
      </c>
      <c r="J872" t="s">
        <v>17139</v>
      </c>
      <c r="K872" t="s">
        <v>74</v>
      </c>
      <c r="L872" t="s">
        <v>74</v>
      </c>
      <c r="M872" t="s">
        <v>78</v>
      </c>
      <c r="N872" t="s">
        <v>115</v>
      </c>
      <c r="O872" t="s">
        <v>17140</v>
      </c>
      <c r="P872" t="s">
        <v>17141</v>
      </c>
      <c r="Q872" t="s">
        <v>1767</v>
      </c>
      <c r="R872" t="s">
        <v>17142</v>
      </c>
      <c r="S872" t="s">
        <v>74</v>
      </c>
      <c r="T872" t="s">
        <v>17143</v>
      </c>
      <c r="U872" t="s">
        <v>17144</v>
      </c>
      <c r="V872" t="s">
        <v>17145</v>
      </c>
      <c r="W872" t="s">
        <v>17146</v>
      </c>
      <c r="X872" t="s">
        <v>17147</v>
      </c>
      <c r="Y872" t="s">
        <v>17148</v>
      </c>
      <c r="Z872" t="s">
        <v>17149</v>
      </c>
      <c r="AA872" t="s">
        <v>17150</v>
      </c>
      <c r="AB872" t="s">
        <v>17151</v>
      </c>
      <c r="AC872" t="s">
        <v>74</v>
      </c>
      <c r="AD872" t="s">
        <v>74</v>
      </c>
      <c r="AE872" t="s">
        <v>74</v>
      </c>
      <c r="AF872" t="s">
        <v>74</v>
      </c>
      <c r="AG872">
        <v>20</v>
      </c>
      <c r="AH872">
        <v>2</v>
      </c>
      <c r="AI872">
        <v>2</v>
      </c>
      <c r="AJ872">
        <v>0</v>
      </c>
      <c r="AK872">
        <v>4</v>
      </c>
      <c r="AL872" t="s">
        <v>17152</v>
      </c>
      <c r="AM872" t="s">
        <v>17153</v>
      </c>
      <c r="AN872" t="s">
        <v>17154</v>
      </c>
      <c r="AO872" t="s">
        <v>74</v>
      </c>
      <c r="AP872" t="s">
        <v>74</v>
      </c>
      <c r="AQ872" t="s">
        <v>17155</v>
      </c>
      <c r="AR872" t="s">
        <v>74</v>
      </c>
      <c r="AS872" t="s">
        <v>74</v>
      </c>
      <c r="AT872" t="s">
        <v>74</v>
      </c>
      <c r="AU872">
        <v>2019</v>
      </c>
      <c r="AV872" t="s">
        <v>74</v>
      </c>
      <c r="AW872" t="s">
        <v>74</v>
      </c>
      <c r="AX872" t="s">
        <v>74</v>
      </c>
      <c r="AY872" t="s">
        <v>74</v>
      </c>
      <c r="AZ872" t="s">
        <v>74</v>
      </c>
      <c r="BA872" t="s">
        <v>74</v>
      </c>
      <c r="BB872">
        <v>8</v>
      </c>
      <c r="BC872">
        <v>17</v>
      </c>
      <c r="BD872" t="s">
        <v>74</v>
      </c>
      <c r="BE872" t="s">
        <v>74</v>
      </c>
      <c r="BF872" t="s">
        <v>74</v>
      </c>
      <c r="BG872" t="s">
        <v>74</v>
      </c>
      <c r="BH872" t="s">
        <v>74</v>
      </c>
      <c r="BI872">
        <v>10</v>
      </c>
      <c r="BJ872" t="s">
        <v>2397</v>
      </c>
      <c r="BK872" t="s">
        <v>203</v>
      </c>
      <c r="BL872" t="s">
        <v>318</v>
      </c>
      <c r="BM872" t="s">
        <v>17156</v>
      </c>
      <c r="BN872" t="s">
        <v>74</v>
      </c>
      <c r="BO872" t="s">
        <v>74</v>
      </c>
      <c r="BP872" t="s">
        <v>74</v>
      </c>
      <c r="BQ872" t="s">
        <v>74</v>
      </c>
      <c r="BR872" t="s">
        <v>106</v>
      </c>
      <c r="BS872" t="s">
        <v>17157</v>
      </c>
      <c r="BT872" t="str">
        <f>HYPERLINK("https%3A%2F%2Fwww.webofscience.com%2Fwos%2Fwoscc%2Ffull-record%2FWOS:000482135600001","View Full Record in Web of Science")</f>
        <v>View Full Record in Web of Science</v>
      </c>
    </row>
    <row r="873" spans="1:72" x14ac:dyDescent="0.25">
      <c r="A873" t="s">
        <v>72</v>
      </c>
      <c r="B873" t="s">
        <v>17158</v>
      </c>
      <c r="C873" t="s">
        <v>74</v>
      </c>
      <c r="D873" t="s">
        <v>74</v>
      </c>
      <c r="E873" t="s">
        <v>74</v>
      </c>
      <c r="F873" t="s">
        <v>17158</v>
      </c>
      <c r="G873" t="s">
        <v>74</v>
      </c>
      <c r="H873" t="s">
        <v>74</v>
      </c>
      <c r="I873" t="s">
        <v>17159</v>
      </c>
      <c r="J873" t="s">
        <v>17160</v>
      </c>
      <c r="K873" t="s">
        <v>74</v>
      </c>
      <c r="L873" t="s">
        <v>74</v>
      </c>
      <c r="M873" t="s">
        <v>78</v>
      </c>
      <c r="N873" t="s">
        <v>79</v>
      </c>
      <c r="O873" t="s">
        <v>74</v>
      </c>
      <c r="P873" t="s">
        <v>74</v>
      </c>
      <c r="Q873" t="s">
        <v>74</v>
      </c>
      <c r="R873" t="s">
        <v>74</v>
      </c>
      <c r="S873" t="s">
        <v>74</v>
      </c>
      <c r="T873" t="s">
        <v>17161</v>
      </c>
      <c r="U873" t="s">
        <v>74</v>
      </c>
      <c r="V873" t="s">
        <v>17162</v>
      </c>
      <c r="W873" t="s">
        <v>17163</v>
      </c>
      <c r="X873" t="s">
        <v>17164</v>
      </c>
      <c r="Y873" t="s">
        <v>17165</v>
      </c>
      <c r="Z873" t="s">
        <v>74</v>
      </c>
      <c r="AA873" t="s">
        <v>74</v>
      </c>
      <c r="AB873" t="s">
        <v>74</v>
      </c>
      <c r="AC873" t="s">
        <v>74</v>
      </c>
      <c r="AD873" t="s">
        <v>74</v>
      </c>
      <c r="AE873" t="s">
        <v>74</v>
      </c>
      <c r="AF873" t="s">
        <v>74</v>
      </c>
      <c r="AG873">
        <v>49</v>
      </c>
      <c r="AH873">
        <v>22</v>
      </c>
      <c r="AI873">
        <v>38</v>
      </c>
      <c r="AJ873">
        <v>0</v>
      </c>
      <c r="AK873">
        <v>7</v>
      </c>
      <c r="AL873" t="s">
        <v>17166</v>
      </c>
      <c r="AM873" t="s">
        <v>311</v>
      </c>
      <c r="AN873" t="s">
        <v>17167</v>
      </c>
      <c r="AO873" t="s">
        <v>17168</v>
      </c>
      <c r="AP873" t="s">
        <v>74</v>
      </c>
      <c r="AQ873" t="s">
        <v>74</v>
      </c>
      <c r="AR873" t="s">
        <v>17169</v>
      </c>
      <c r="AS873" t="s">
        <v>17170</v>
      </c>
      <c r="AT873" t="s">
        <v>1950</v>
      </c>
      <c r="AU873">
        <v>2001</v>
      </c>
      <c r="AV873">
        <v>29</v>
      </c>
      <c r="AW873">
        <v>1</v>
      </c>
      <c r="AX873" t="s">
        <v>74</v>
      </c>
      <c r="AY873" t="s">
        <v>74</v>
      </c>
      <c r="AZ873" t="s">
        <v>74</v>
      </c>
      <c r="BA873" t="s">
        <v>74</v>
      </c>
      <c r="BB873">
        <v>71</v>
      </c>
      <c r="BC873">
        <v>90</v>
      </c>
      <c r="BD873" t="s">
        <v>74</v>
      </c>
      <c r="BE873" t="s">
        <v>17171</v>
      </c>
      <c r="BF873" t="str">
        <f>HYPERLINK("http://dx.doi.org/10.1080/00909880128101","http://dx.doi.org/10.1080/00909880128101")</f>
        <v>http://dx.doi.org/10.1080/00909880128101</v>
      </c>
      <c r="BG873" t="s">
        <v>74</v>
      </c>
      <c r="BH873" t="s">
        <v>74</v>
      </c>
      <c r="BI873">
        <v>20</v>
      </c>
      <c r="BJ873" t="s">
        <v>11731</v>
      </c>
      <c r="BK873" t="s">
        <v>250</v>
      </c>
      <c r="BL873" t="s">
        <v>11731</v>
      </c>
      <c r="BM873" t="s">
        <v>17172</v>
      </c>
      <c r="BN873" t="s">
        <v>74</v>
      </c>
      <c r="BO873" t="s">
        <v>74</v>
      </c>
      <c r="BP873" t="s">
        <v>74</v>
      </c>
      <c r="BQ873" t="s">
        <v>74</v>
      </c>
      <c r="BR873" t="s">
        <v>106</v>
      </c>
      <c r="BS873" t="s">
        <v>17173</v>
      </c>
      <c r="BT873" t="str">
        <f>HYPERLINK("https%3A%2F%2Fwww.webofscience.com%2Fwos%2Fwoscc%2Ffull-record%2FWOS:000186256800004","View Full Record in Web of Science")</f>
        <v>View Full Record in Web of Science</v>
      </c>
    </row>
    <row r="874" spans="1:72" x14ac:dyDescent="0.25">
      <c r="A874" t="s">
        <v>108</v>
      </c>
      <c r="B874" t="s">
        <v>17174</v>
      </c>
      <c r="C874" t="s">
        <v>74</v>
      </c>
      <c r="D874" t="s">
        <v>17175</v>
      </c>
      <c r="E874" t="s">
        <v>74</v>
      </c>
      <c r="F874" t="s">
        <v>17176</v>
      </c>
      <c r="G874" t="s">
        <v>74</v>
      </c>
      <c r="H874" t="s">
        <v>74</v>
      </c>
      <c r="I874" t="s">
        <v>17177</v>
      </c>
      <c r="J874" t="s">
        <v>17178</v>
      </c>
      <c r="K874" t="s">
        <v>74</v>
      </c>
      <c r="L874" t="s">
        <v>74</v>
      </c>
      <c r="M874" t="s">
        <v>78</v>
      </c>
      <c r="N874" t="s">
        <v>115</v>
      </c>
      <c r="O874" t="s">
        <v>17179</v>
      </c>
      <c r="P874" t="s">
        <v>17180</v>
      </c>
      <c r="Q874" t="s">
        <v>8799</v>
      </c>
      <c r="R874" t="s">
        <v>74</v>
      </c>
      <c r="S874" t="s">
        <v>74</v>
      </c>
      <c r="T874" t="s">
        <v>74</v>
      </c>
      <c r="U874" t="s">
        <v>74</v>
      </c>
      <c r="V874" t="s">
        <v>17181</v>
      </c>
      <c r="W874" t="s">
        <v>17182</v>
      </c>
      <c r="X874" t="s">
        <v>17183</v>
      </c>
      <c r="Y874" t="s">
        <v>17184</v>
      </c>
      <c r="Z874" t="s">
        <v>17185</v>
      </c>
      <c r="AA874" t="s">
        <v>74</v>
      </c>
      <c r="AB874" t="s">
        <v>74</v>
      </c>
      <c r="AC874" t="s">
        <v>74</v>
      </c>
      <c r="AD874" t="s">
        <v>74</v>
      </c>
      <c r="AE874" t="s">
        <v>74</v>
      </c>
      <c r="AF874" t="s">
        <v>74</v>
      </c>
      <c r="AG874">
        <v>27</v>
      </c>
      <c r="AH874">
        <v>1</v>
      </c>
      <c r="AI874">
        <v>1</v>
      </c>
      <c r="AJ874">
        <v>0</v>
      </c>
      <c r="AK874">
        <v>0</v>
      </c>
      <c r="AL874" t="s">
        <v>3891</v>
      </c>
      <c r="AM874" t="s">
        <v>3892</v>
      </c>
      <c r="AN874" t="s">
        <v>3893</v>
      </c>
      <c r="AO874" t="s">
        <v>74</v>
      </c>
      <c r="AP874" t="s">
        <v>74</v>
      </c>
      <c r="AQ874" t="s">
        <v>17186</v>
      </c>
      <c r="AR874" t="s">
        <v>74</v>
      </c>
      <c r="AS874" t="s">
        <v>74</v>
      </c>
      <c r="AT874" t="s">
        <v>74</v>
      </c>
      <c r="AU874">
        <v>2025</v>
      </c>
      <c r="AV874" t="s">
        <v>74</v>
      </c>
      <c r="AW874" t="s">
        <v>74</v>
      </c>
      <c r="AX874" t="s">
        <v>74</v>
      </c>
      <c r="AY874" t="s">
        <v>74</v>
      </c>
      <c r="AZ874" t="s">
        <v>74</v>
      </c>
      <c r="BA874" t="s">
        <v>74</v>
      </c>
      <c r="BB874">
        <v>2883</v>
      </c>
      <c r="BC874">
        <v>2891</v>
      </c>
      <c r="BD874" t="s">
        <v>74</v>
      </c>
      <c r="BE874" t="s">
        <v>74</v>
      </c>
      <c r="BF874" t="s">
        <v>74</v>
      </c>
      <c r="BG874" t="s">
        <v>74</v>
      </c>
      <c r="BH874" t="s">
        <v>74</v>
      </c>
      <c r="BI874">
        <v>9</v>
      </c>
      <c r="BJ874" t="s">
        <v>1399</v>
      </c>
      <c r="BK874" t="s">
        <v>203</v>
      </c>
      <c r="BL874" t="s">
        <v>103</v>
      </c>
      <c r="BM874" t="s">
        <v>17187</v>
      </c>
      <c r="BN874" t="s">
        <v>74</v>
      </c>
      <c r="BO874" t="s">
        <v>74</v>
      </c>
      <c r="BP874" t="s">
        <v>74</v>
      </c>
      <c r="BQ874" t="s">
        <v>74</v>
      </c>
      <c r="BR874" t="s">
        <v>106</v>
      </c>
      <c r="BS874" t="s">
        <v>17188</v>
      </c>
      <c r="BT874" t="str">
        <f>HYPERLINK("https%3A%2F%2Fwww.webofscience.com%2Fwos%2Fwoscc%2Ffull-record%2FWOS:001595146400321","View Full Record in Web of Science")</f>
        <v>View Full Record in Web of Science</v>
      </c>
    </row>
    <row r="875" spans="1:72" x14ac:dyDescent="0.25">
      <c r="A875" t="s">
        <v>72</v>
      </c>
      <c r="B875" t="s">
        <v>17189</v>
      </c>
      <c r="C875" t="s">
        <v>74</v>
      </c>
      <c r="D875" t="s">
        <v>74</v>
      </c>
      <c r="E875" t="s">
        <v>74</v>
      </c>
      <c r="F875" t="s">
        <v>17190</v>
      </c>
      <c r="G875" t="s">
        <v>74</v>
      </c>
      <c r="H875" t="s">
        <v>74</v>
      </c>
      <c r="I875" t="s">
        <v>17191</v>
      </c>
      <c r="J875" t="s">
        <v>17192</v>
      </c>
      <c r="K875" t="s">
        <v>74</v>
      </c>
      <c r="L875" t="s">
        <v>74</v>
      </c>
      <c r="M875" t="s">
        <v>78</v>
      </c>
      <c r="N875" t="s">
        <v>10845</v>
      </c>
      <c r="O875" t="s">
        <v>74</v>
      </c>
      <c r="P875" t="s">
        <v>74</v>
      </c>
      <c r="Q875" t="s">
        <v>74</v>
      </c>
      <c r="R875" t="s">
        <v>74</v>
      </c>
      <c r="S875" t="s">
        <v>74</v>
      </c>
      <c r="T875" t="s">
        <v>17193</v>
      </c>
      <c r="U875" t="s">
        <v>74</v>
      </c>
      <c r="V875" t="s">
        <v>17194</v>
      </c>
      <c r="W875" t="s">
        <v>17195</v>
      </c>
      <c r="X875" t="s">
        <v>17196</v>
      </c>
      <c r="Y875" t="s">
        <v>17197</v>
      </c>
      <c r="Z875" t="s">
        <v>17198</v>
      </c>
      <c r="AA875" t="s">
        <v>74</v>
      </c>
      <c r="AB875" t="s">
        <v>17199</v>
      </c>
      <c r="AC875" t="s">
        <v>17200</v>
      </c>
      <c r="AD875" t="s">
        <v>17201</v>
      </c>
      <c r="AE875" t="s">
        <v>17202</v>
      </c>
      <c r="AF875" t="s">
        <v>74</v>
      </c>
      <c r="AG875">
        <v>41</v>
      </c>
      <c r="AH875">
        <v>0</v>
      </c>
      <c r="AI875">
        <v>0</v>
      </c>
      <c r="AJ875">
        <v>0</v>
      </c>
      <c r="AK875">
        <v>0</v>
      </c>
      <c r="AL875" t="s">
        <v>2579</v>
      </c>
      <c r="AM875" t="s">
        <v>737</v>
      </c>
      <c r="AN875" t="s">
        <v>2580</v>
      </c>
      <c r="AO875" t="s">
        <v>17203</v>
      </c>
      <c r="AP875" t="s">
        <v>17204</v>
      </c>
      <c r="AQ875" t="s">
        <v>74</v>
      </c>
      <c r="AR875" t="s">
        <v>17205</v>
      </c>
      <c r="AS875" t="s">
        <v>17206</v>
      </c>
      <c r="AT875" t="s">
        <v>17207</v>
      </c>
      <c r="AU875">
        <v>2026</v>
      </c>
      <c r="AV875" t="s">
        <v>74</v>
      </c>
      <c r="AW875" t="s">
        <v>74</v>
      </c>
      <c r="AX875" t="s">
        <v>74</v>
      </c>
      <c r="AY875" t="s">
        <v>74</v>
      </c>
      <c r="AZ875" t="s">
        <v>74</v>
      </c>
      <c r="BA875" t="s">
        <v>74</v>
      </c>
      <c r="BB875" t="s">
        <v>74</v>
      </c>
      <c r="BC875" t="s">
        <v>74</v>
      </c>
      <c r="BD875" t="s">
        <v>74</v>
      </c>
      <c r="BE875" t="s">
        <v>17208</v>
      </c>
      <c r="BF875" t="str">
        <f>HYPERLINK("http://dx.doi.org/10.1093/bics/qbaf039","http://dx.doi.org/10.1093/bics/qbaf039")</f>
        <v>http://dx.doi.org/10.1093/bics/qbaf039</v>
      </c>
      <c r="BG875" t="s">
        <v>74</v>
      </c>
      <c r="BH875" t="s">
        <v>17209</v>
      </c>
      <c r="BI875">
        <v>14</v>
      </c>
      <c r="BJ875" t="s">
        <v>17210</v>
      </c>
      <c r="BK875" t="s">
        <v>10733</v>
      </c>
      <c r="BL875" t="s">
        <v>17210</v>
      </c>
      <c r="BM875" t="s">
        <v>17211</v>
      </c>
      <c r="BN875" t="s">
        <v>74</v>
      </c>
      <c r="BO875" t="s">
        <v>74</v>
      </c>
      <c r="BP875" t="s">
        <v>74</v>
      </c>
      <c r="BQ875" t="s">
        <v>74</v>
      </c>
      <c r="BR875" t="s">
        <v>106</v>
      </c>
      <c r="BS875" t="s">
        <v>17212</v>
      </c>
      <c r="BT875" t="str">
        <f>HYPERLINK("https%3A%2F%2Fwww.webofscience.com%2Fwos%2Fwoscc%2Ffull-record%2FWOS:001654742900001","View Full Record in Web of Science")</f>
        <v>View Full Record in Web of Science</v>
      </c>
    </row>
    <row r="876" spans="1:72" x14ac:dyDescent="0.25">
      <c r="A876" t="s">
        <v>108</v>
      </c>
      <c r="B876" t="s">
        <v>17213</v>
      </c>
      <c r="C876" t="s">
        <v>74</v>
      </c>
      <c r="D876" t="s">
        <v>74</v>
      </c>
      <c r="E876" t="s">
        <v>10296</v>
      </c>
      <c r="F876" t="s">
        <v>17214</v>
      </c>
      <c r="G876" t="s">
        <v>74</v>
      </c>
      <c r="H876" t="s">
        <v>74</v>
      </c>
      <c r="I876" t="s">
        <v>17215</v>
      </c>
      <c r="J876" t="s">
        <v>17216</v>
      </c>
      <c r="K876" t="s">
        <v>5509</v>
      </c>
      <c r="L876" t="s">
        <v>74</v>
      </c>
      <c r="M876" t="s">
        <v>78</v>
      </c>
      <c r="N876" t="s">
        <v>115</v>
      </c>
      <c r="O876" t="s">
        <v>17217</v>
      </c>
      <c r="P876" t="s">
        <v>17218</v>
      </c>
      <c r="Q876" t="s">
        <v>17219</v>
      </c>
      <c r="R876" t="s">
        <v>5505</v>
      </c>
      <c r="S876" t="s">
        <v>74</v>
      </c>
      <c r="T876" t="s">
        <v>74</v>
      </c>
      <c r="U876" t="s">
        <v>8854</v>
      </c>
      <c r="V876" t="s">
        <v>17220</v>
      </c>
      <c r="W876" t="s">
        <v>17221</v>
      </c>
      <c r="X876" t="s">
        <v>17222</v>
      </c>
      <c r="Y876" t="s">
        <v>17223</v>
      </c>
      <c r="Z876" t="s">
        <v>17224</v>
      </c>
      <c r="AA876" t="s">
        <v>74</v>
      </c>
      <c r="AB876" t="s">
        <v>74</v>
      </c>
      <c r="AC876" t="s">
        <v>74</v>
      </c>
      <c r="AD876" t="s">
        <v>74</v>
      </c>
      <c r="AE876" t="s">
        <v>74</v>
      </c>
      <c r="AF876" t="s">
        <v>74</v>
      </c>
      <c r="AG876">
        <v>33</v>
      </c>
      <c r="AH876">
        <v>4</v>
      </c>
      <c r="AI876">
        <v>4</v>
      </c>
      <c r="AJ876">
        <v>0</v>
      </c>
      <c r="AK876">
        <v>2</v>
      </c>
      <c r="AL876" t="s">
        <v>5523</v>
      </c>
      <c r="AM876" t="s">
        <v>5524</v>
      </c>
      <c r="AN876" t="s">
        <v>5525</v>
      </c>
      <c r="AO876" t="s">
        <v>5526</v>
      </c>
      <c r="AP876" t="s">
        <v>5527</v>
      </c>
      <c r="AQ876" t="s">
        <v>74</v>
      </c>
      <c r="AR876" t="s">
        <v>5529</v>
      </c>
      <c r="AS876" t="s">
        <v>74</v>
      </c>
      <c r="AT876" t="s">
        <v>74</v>
      </c>
      <c r="AU876">
        <v>2014</v>
      </c>
      <c r="AV876" t="s">
        <v>74</v>
      </c>
      <c r="AW876" t="s">
        <v>74</v>
      </c>
      <c r="AX876" t="s">
        <v>74</v>
      </c>
      <c r="AY876" t="s">
        <v>74</v>
      </c>
      <c r="AZ876" t="s">
        <v>74</v>
      </c>
      <c r="BA876" t="s">
        <v>74</v>
      </c>
      <c r="BB876">
        <v>1788</v>
      </c>
      <c r="BC876">
        <v>1794</v>
      </c>
      <c r="BD876" t="s">
        <v>74</v>
      </c>
      <c r="BE876" t="s">
        <v>74</v>
      </c>
      <c r="BF876" t="s">
        <v>74</v>
      </c>
      <c r="BG876" t="s">
        <v>74</v>
      </c>
      <c r="BH876" t="s">
        <v>74</v>
      </c>
      <c r="BI876">
        <v>7</v>
      </c>
      <c r="BJ876" t="s">
        <v>952</v>
      </c>
      <c r="BK876" t="s">
        <v>203</v>
      </c>
      <c r="BL876" t="s">
        <v>953</v>
      </c>
      <c r="BM876" t="s">
        <v>17225</v>
      </c>
      <c r="BN876" t="s">
        <v>74</v>
      </c>
      <c r="BO876" t="s">
        <v>74</v>
      </c>
      <c r="BP876" t="s">
        <v>74</v>
      </c>
      <c r="BQ876" t="s">
        <v>74</v>
      </c>
      <c r="BR876" t="s">
        <v>106</v>
      </c>
      <c r="BS876" t="s">
        <v>17226</v>
      </c>
      <c r="BT876" t="str">
        <f>HYPERLINK("https%3A%2F%2Fwww.webofscience.com%2Fwos%2Fwoscc%2Ffull-record%2FWOS:000485439701110","View Full Record in Web of Science")</f>
        <v>View Full Record in Web of Science</v>
      </c>
    </row>
    <row r="877" spans="1:72" x14ac:dyDescent="0.25">
      <c r="A877" t="s">
        <v>72</v>
      </c>
      <c r="B877" t="s">
        <v>17227</v>
      </c>
      <c r="C877" t="s">
        <v>74</v>
      </c>
      <c r="D877" t="s">
        <v>74</v>
      </c>
      <c r="E877" t="s">
        <v>74</v>
      </c>
      <c r="F877" t="s">
        <v>17228</v>
      </c>
      <c r="G877" t="s">
        <v>74</v>
      </c>
      <c r="H877" t="s">
        <v>74</v>
      </c>
      <c r="I877" t="s">
        <v>17229</v>
      </c>
      <c r="J877" t="s">
        <v>17230</v>
      </c>
      <c r="K877" t="s">
        <v>74</v>
      </c>
      <c r="L877" t="s">
        <v>74</v>
      </c>
      <c r="M877" t="s">
        <v>78</v>
      </c>
      <c r="N877" t="s">
        <v>79</v>
      </c>
      <c r="O877" t="s">
        <v>74</v>
      </c>
      <c r="P877" t="s">
        <v>74</v>
      </c>
      <c r="Q877" t="s">
        <v>74</v>
      </c>
      <c r="R877" t="s">
        <v>74</v>
      </c>
      <c r="S877" t="s">
        <v>74</v>
      </c>
      <c r="T877" t="s">
        <v>17231</v>
      </c>
      <c r="U877" t="s">
        <v>17232</v>
      </c>
      <c r="V877" t="s">
        <v>17233</v>
      </c>
      <c r="W877" t="s">
        <v>17234</v>
      </c>
      <c r="X877" t="s">
        <v>17235</v>
      </c>
      <c r="Y877" t="s">
        <v>17236</v>
      </c>
      <c r="Z877" t="s">
        <v>17237</v>
      </c>
      <c r="AA877" t="s">
        <v>17238</v>
      </c>
      <c r="AB877" t="s">
        <v>17239</v>
      </c>
      <c r="AC877" t="s">
        <v>17240</v>
      </c>
      <c r="AD877" t="s">
        <v>17241</v>
      </c>
      <c r="AE877" t="s">
        <v>17242</v>
      </c>
      <c r="AF877" t="s">
        <v>74</v>
      </c>
      <c r="AG877">
        <v>53</v>
      </c>
      <c r="AH877">
        <v>34</v>
      </c>
      <c r="AI877">
        <v>36</v>
      </c>
      <c r="AJ877">
        <v>1</v>
      </c>
      <c r="AK877">
        <v>118</v>
      </c>
      <c r="AL877" t="s">
        <v>631</v>
      </c>
      <c r="AM877" t="s">
        <v>632</v>
      </c>
      <c r="AN877" t="s">
        <v>633</v>
      </c>
      <c r="AO877" t="s">
        <v>17243</v>
      </c>
      <c r="AP877" t="s">
        <v>17244</v>
      </c>
      <c r="AQ877" t="s">
        <v>74</v>
      </c>
      <c r="AR877" t="s">
        <v>17245</v>
      </c>
      <c r="AS877" t="s">
        <v>17246</v>
      </c>
      <c r="AT877" t="s">
        <v>4318</v>
      </c>
      <c r="AU877">
        <v>2013</v>
      </c>
      <c r="AV877">
        <v>22</v>
      </c>
      <c r="AW877">
        <v>19</v>
      </c>
      <c r="AX877" t="s">
        <v>74</v>
      </c>
      <c r="AY877" t="s">
        <v>74</v>
      </c>
      <c r="AZ877" t="s">
        <v>74</v>
      </c>
      <c r="BA877" t="s">
        <v>74</v>
      </c>
      <c r="BB877">
        <v>4870</v>
      </c>
      <c r="BC877">
        <v>4883</v>
      </c>
      <c r="BD877" t="s">
        <v>74</v>
      </c>
      <c r="BE877" t="s">
        <v>17247</v>
      </c>
      <c r="BF877" t="str">
        <f>HYPERLINK("http://dx.doi.org/10.1111/mec.12432","http://dx.doi.org/10.1111/mec.12432")</f>
        <v>http://dx.doi.org/10.1111/mec.12432</v>
      </c>
      <c r="BG877" t="s">
        <v>74</v>
      </c>
      <c r="BH877" t="s">
        <v>74</v>
      </c>
      <c r="BI877">
        <v>14</v>
      </c>
      <c r="BJ877" t="s">
        <v>17248</v>
      </c>
      <c r="BK877" t="s">
        <v>902</v>
      </c>
      <c r="BL877" t="s">
        <v>17249</v>
      </c>
      <c r="BM877" t="s">
        <v>17250</v>
      </c>
      <c r="BN877">
        <v>23998659</v>
      </c>
      <c r="BO877" t="s">
        <v>74</v>
      </c>
      <c r="BP877" t="s">
        <v>74</v>
      </c>
      <c r="BQ877" t="s">
        <v>74</v>
      </c>
      <c r="BR877" t="s">
        <v>106</v>
      </c>
      <c r="BS877" t="s">
        <v>17251</v>
      </c>
      <c r="BT877" t="str">
        <f>HYPERLINK("https%3A%2F%2Fwww.webofscience.com%2Fwos%2Fwoscc%2Ffull-record%2FWOS:000324931300004","View Full Record in Web of Science")</f>
        <v>View Full Record in Web of Science</v>
      </c>
    </row>
    <row r="878" spans="1:72" x14ac:dyDescent="0.25">
      <c r="A878" t="s">
        <v>108</v>
      </c>
      <c r="B878" t="s">
        <v>17252</v>
      </c>
      <c r="C878" t="s">
        <v>74</v>
      </c>
      <c r="D878" t="s">
        <v>74</v>
      </c>
      <c r="E878" t="s">
        <v>465</v>
      </c>
      <c r="F878" t="s">
        <v>17253</v>
      </c>
      <c r="G878" t="s">
        <v>74</v>
      </c>
      <c r="H878" t="s">
        <v>74</v>
      </c>
      <c r="I878" t="s">
        <v>17254</v>
      </c>
      <c r="J878" t="s">
        <v>17255</v>
      </c>
      <c r="K878" t="s">
        <v>17256</v>
      </c>
      <c r="L878" t="s">
        <v>74</v>
      </c>
      <c r="M878" t="s">
        <v>78</v>
      </c>
      <c r="N878" t="s">
        <v>115</v>
      </c>
      <c r="O878" t="s">
        <v>17257</v>
      </c>
      <c r="P878" t="s">
        <v>17258</v>
      </c>
      <c r="Q878" t="s">
        <v>17259</v>
      </c>
      <c r="R878" t="s">
        <v>17260</v>
      </c>
      <c r="S878" t="s">
        <v>74</v>
      </c>
      <c r="T878" t="s">
        <v>17261</v>
      </c>
      <c r="U878" t="s">
        <v>74</v>
      </c>
      <c r="V878" t="s">
        <v>17262</v>
      </c>
      <c r="W878" t="s">
        <v>17263</v>
      </c>
      <c r="X878" t="s">
        <v>17264</v>
      </c>
      <c r="Y878" t="s">
        <v>17265</v>
      </c>
      <c r="Z878" t="s">
        <v>17266</v>
      </c>
      <c r="AA878" t="s">
        <v>17267</v>
      </c>
      <c r="AB878" t="s">
        <v>74</v>
      </c>
      <c r="AC878" t="s">
        <v>74</v>
      </c>
      <c r="AD878" t="s">
        <v>74</v>
      </c>
      <c r="AE878" t="s">
        <v>74</v>
      </c>
      <c r="AF878" t="s">
        <v>74</v>
      </c>
      <c r="AG878">
        <v>34</v>
      </c>
      <c r="AH878">
        <v>1</v>
      </c>
      <c r="AI878">
        <v>1</v>
      </c>
      <c r="AJ878">
        <v>1</v>
      </c>
      <c r="AK878">
        <v>7</v>
      </c>
      <c r="AL878" t="s">
        <v>465</v>
      </c>
      <c r="AM878" t="s">
        <v>92</v>
      </c>
      <c r="AN878" t="s">
        <v>480</v>
      </c>
      <c r="AO878" t="s">
        <v>17268</v>
      </c>
      <c r="AP878" t="s">
        <v>74</v>
      </c>
      <c r="AQ878" t="s">
        <v>17269</v>
      </c>
      <c r="AR878" t="s">
        <v>17270</v>
      </c>
      <c r="AS878" t="s">
        <v>74</v>
      </c>
      <c r="AT878" t="s">
        <v>74</v>
      </c>
      <c r="AU878">
        <v>2025</v>
      </c>
      <c r="AV878" t="s">
        <v>74</v>
      </c>
      <c r="AW878" t="s">
        <v>74</v>
      </c>
      <c r="AX878" t="s">
        <v>74</v>
      </c>
      <c r="AY878" t="s">
        <v>74</v>
      </c>
      <c r="AZ878" t="s">
        <v>74</v>
      </c>
      <c r="BA878" t="s">
        <v>74</v>
      </c>
      <c r="BB878">
        <v>461</v>
      </c>
      <c r="BC878">
        <v>466</v>
      </c>
      <c r="BD878" t="s">
        <v>74</v>
      </c>
      <c r="BE878" t="s">
        <v>17271</v>
      </c>
      <c r="BF878" t="str">
        <f>HYPERLINK("http://dx.doi.org/10.1109/IWCMC65282.2025.11059459","http://dx.doi.org/10.1109/IWCMC65282.2025.11059459")</f>
        <v>http://dx.doi.org/10.1109/IWCMC65282.2025.11059459</v>
      </c>
      <c r="BG878" t="s">
        <v>74</v>
      </c>
      <c r="BH878" t="s">
        <v>74</v>
      </c>
      <c r="BI878">
        <v>6</v>
      </c>
      <c r="BJ878" t="s">
        <v>2205</v>
      </c>
      <c r="BK878" t="s">
        <v>203</v>
      </c>
      <c r="BL878" t="s">
        <v>903</v>
      </c>
      <c r="BM878" t="s">
        <v>17272</v>
      </c>
      <c r="BN878" t="s">
        <v>74</v>
      </c>
      <c r="BO878" t="s">
        <v>74</v>
      </c>
      <c r="BP878" t="s">
        <v>74</v>
      </c>
      <c r="BQ878" t="s">
        <v>74</v>
      </c>
      <c r="BR878" t="s">
        <v>106</v>
      </c>
      <c r="BS878" t="s">
        <v>17273</v>
      </c>
      <c r="BT878" t="str">
        <f>HYPERLINK("https%3A%2F%2Fwww.webofscience.com%2Fwos%2Fwoscc%2Ffull-record%2FWOS:001547037100077","View Full Record in Web of Science")</f>
        <v>View Full Record in Web of Science</v>
      </c>
    </row>
    <row r="879" spans="1:72" x14ac:dyDescent="0.25">
      <c r="A879" t="s">
        <v>108</v>
      </c>
      <c r="B879" t="s">
        <v>17274</v>
      </c>
      <c r="C879" t="s">
        <v>74</v>
      </c>
      <c r="D879" t="s">
        <v>74</v>
      </c>
      <c r="E879" t="s">
        <v>465</v>
      </c>
      <c r="F879" t="s">
        <v>17275</v>
      </c>
      <c r="G879" t="s">
        <v>74</v>
      </c>
      <c r="H879" t="s">
        <v>74</v>
      </c>
      <c r="I879" t="s">
        <v>17276</v>
      </c>
      <c r="J879" t="s">
        <v>17277</v>
      </c>
      <c r="K879" t="s">
        <v>74</v>
      </c>
      <c r="L879" t="s">
        <v>74</v>
      </c>
      <c r="M879" t="s">
        <v>78</v>
      </c>
      <c r="N879" t="s">
        <v>115</v>
      </c>
      <c r="O879" t="s">
        <v>17278</v>
      </c>
      <c r="P879" t="s">
        <v>17279</v>
      </c>
      <c r="Q879" t="s">
        <v>17280</v>
      </c>
      <c r="R879" t="s">
        <v>465</v>
      </c>
      <c r="S879" t="s">
        <v>74</v>
      </c>
      <c r="T879" t="s">
        <v>17281</v>
      </c>
      <c r="U879" t="s">
        <v>17282</v>
      </c>
      <c r="V879" t="s">
        <v>17283</v>
      </c>
      <c r="W879" t="s">
        <v>17284</v>
      </c>
      <c r="X879" t="s">
        <v>17285</v>
      </c>
      <c r="Y879" t="s">
        <v>17286</v>
      </c>
      <c r="Z879" t="s">
        <v>17287</v>
      </c>
      <c r="AA879" t="s">
        <v>74</v>
      </c>
      <c r="AB879" t="s">
        <v>74</v>
      </c>
      <c r="AC879" t="s">
        <v>74</v>
      </c>
      <c r="AD879" t="s">
        <v>74</v>
      </c>
      <c r="AE879" t="s">
        <v>74</v>
      </c>
      <c r="AF879" t="s">
        <v>74</v>
      </c>
      <c r="AG879">
        <v>16</v>
      </c>
      <c r="AH879">
        <v>0</v>
      </c>
      <c r="AI879">
        <v>0</v>
      </c>
      <c r="AJ879">
        <v>0</v>
      </c>
      <c r="AK879">
        <v>1</v>
      </c>
      <c r="AL879" t="s">
        <v>465</v>
      </c>
      <c r="AM879" t="s">
        <v>92</v>
      </c>
      <c r="AN879" t="s">
        <v>480</v>
      </c>
      <c r="AO879" t="s">
        <v>74</v>
      </c>
      <c r="AP879" t="s">
        <v>74</v>
      </c>
      <c r="AQ879" t="s">
        <v>17288</v>
      </c>
      <c r="AR879" t="s">
        <v>74</v>
      </c>
      <c r="AS879" t="s">
        <v>74</v>
      </c>
      <c r="AT879" t="s">
        <v>74</v>
      </c>
      <c r="AU879">
        <v>2013</v>
      </c>
      <c r="AV879" t="s">
        <v>74</v>
      </c>
      <c r="AW879" t="s">
        <v>74</v>
      </c>
      <c r="AX879" t="s">
        <v>74</v>
      </c>
      <c r="AY879" t="s">
        <v>74</v>
      </c>
      <c r="AZ879" t="s">
        <v>74</v>
      </c>
      <c r="BA879" t="s">
        <v>74</v>
      </c>
      <c r="BB879" t="s">
        <v>74</v>
      </c>
      <c r="BC879" t="s">
        <v>74</v>
      </c>
      <c r="BD879" t="s">
        <v>74</v>
      </c>
      <c r="BE879" t="s">
        <v>74</v>
      </c>
      <c r="BF879" t="s">
        <v>74</v>
      </c>
      <c r="BG879" t="s">
        <v>74</v>
      </c>
      <c r="BH879" t="s">
        <v>74</v>
      </c>
      <c r="BI879">
        <v>6</v>
      </c>
      <c r="BJ879" t="s">
        <v>972</v>
      </c>
      <c r="BK879" t="s">
        <v>203</v>
      </c>
      <c r="BL879" t="s">
        <v>953</v>
      </c>
      <c r="BM879" t="s">
        <v>17289</v>
      </c>
      <c r="BN879" t="s">
        <v>74</v>
      </c>
      <c r="BO879" t="s">
        <v>74</v>
      </c>
      <c r="BP879" t="s">
        <v>74</v>
      </c>
      <c r="BQ879" t="s">
        <v>74</v>
      </c>
      <c r="BR879" t="s">
        <v>106</v>
      </c>
      <c r="BS879" t="s">
        <v>17290</v>
      </c>
      <c r="BT879" t="str">
        <f>HYPERLINK("https%3A%2F%2Fwww.webofscience.com%2Fwos%2Fwoscc%2Ffull-record%2FWOS:000345769200004","View Full Record in Web of Science")</f>
        <v>View Full Record in Web of Science</v>
      </c>
    </row>
    <row r="880" spans="1:72" x14ac:dyDescent="0.25">
      <c r="A880" t="s">
        <v>72</v>
      </c>
      <c r="B880" t="s">
        <v>17291</v>
      </c>
      <c r="C880" t="s">
        <v>74</v>
      </c>
      <c r="D880" t="s">
        <v>74</v>
      </c>
      <c r="E880" t="s">
        <v>74</v>
      </c>
      <c r="F880" t="s">
        <v>17292</v>
      </c>
      <c r="G880" t="s">
        <v>74</v>
      </c>
      <c r="H880" t="s">
        <v>74</v>
      </c>
      <c r="I880" t="s">
        <v>17293</v>
      </c>
      <c r="J880" t="s">
        <v>3816</v>
      </c>
      <c r="K880" t="s">
        <v>74</v>
      </c>
      <c r="L880" t="s">
        <v>74</v>
      </c>
      <c r="M880" t="s">
        <v>78</v>
      </c>
      <c r="N880" t="s">
        <v>79</v>
      </c>
      <c r="O880" t="s">
        <v>74</v>
      </c>
      <c r="P880" t="s">
        <v>74</v>
      </c>
      <c r="Q880" t="s">
        <v>74</v>
      </c>
      <c r="R880" t="s">
        <v>74</v>
      </c>
      <c r="S880" t="s">
        <v>74</v>
      </c>
      <c r="T880" t="s">
        <v>17294</v>
      </c>
      <c r="U880" t="s">
        <v>17295</v>
      </c>
      <c r="V880" t="s">
        <v>17296</v>
      </c>
      <c r="W880" t="s">
        <v>17297</v>
      </c>
      <c r="X880" t="s">
        <v>17298</v>
      </c>
      <c r="Y880" t="s">
        <v>17299</v>
      </c>
      <c r="Z880" t="s">
        <v>17300</v>
      </c>
      <c r="AA880" t="s">
        <v>17301</v>
      </c>
      <c r="AB880" t="s">
        <v>17302</v>
      </c>
      <c r="AC880" t="s">
        <v>17303</v>
      </c>
      <c r="AD880" t="s">
        <v>17304</v>
      </c>
      <c r="AE880" t="s">
        <v>17305</v>
      </c>
      <c r="AF880" t="s">
        <v>74</v>
      </c>
      <c r="AG880">
        <v>67</v>
      </c>
      <c r="AH880">
        <v>15</v>
      </c>
      <c r="AI880">
        <v>15</v>
      </c>
      <c r="AJ880">
        <v>1</v>
      </c>
      <c r="AK880">
        <v>52</v>
      </c>
      <c r="AL880" t="s">
        <v>362</v>
      </c>
      <c r="AM880" t="s">
        <v>363</v>
      </c>
      <c r="AN880" t="s">
        <v>364</v>
      </c>
      <c r="AO880" t="s">
        <v>3829</v>
      </c>
      <c r="AP880" t="s">
        <v>3830</v>
      </c>
      <c r="AQ880" t="s">
        <v>74</v>
      </c>
      <c r="AR880" t="s">
        <v>3831</v>
      </c>
      <c r="AS880" t="s">
        <v>3832</v>
      </c>
      <c r="AT880" t="s">
        <v>1375</v>
      </c>
      <c r="AU880">
        <v>2021</v>
      </c>
      <c r="AV880">
        <v>70</v>
      </c>
      <c r="AW880" t="s">
        <v>74</v>
      </c>
      <c r="AX880" t="s">
        <v>74</v>
      </c>
      <c r="AY880" t="s">
        <v>74</v>
      </c>
      <c r="AZ880" t="s">
        <v>74</v>
      </c>
      <c r="BA880" t="s">
        <v>74</v>
      </c>
      <c r="BB880">
        <v>27</v>
      </c>
      <c r="BC880">
        <v>42</v>
      </c>
      <c r="BD880" t="s">
        <v>74</v>
      </c>
      <c r="BE880" t="s">
        <v>17306</v>
      </c>
      <c r="BF880" t="str">
        <f>HYPERLINK("http://dx.doi.org/10.1016/j.inffus.2020.12.004","http://dx.doi.org/10.1016/j.inffus.2020.12.004")</f>
        <v>http://dx.doi.org/10.1016/j.inffus.2020.12.004</v>
      </c>
      <c r="BG880" t="s">
        <v>74</v>
      </c>
      <c r="BH880" t="s">
        <v>74</v>
      </c>
      <c r="BI880">
        <v>16</v>
      </c>
      <c r="BJ880" t="s">
        <v>1399</v>
      </c>
      <c r="BK880" t="s">
        <v>745</v>
      </c>
      <c r="BL880" t="s">
        <v>103</v>
      </c>
      <c r="BM880" t="s">
        <v>17307</v>
      </c>
      <c r="BN880" t="s">
        <v>74</v>
      </c>
      <c r="BO880" t="s">
        <v>105</v>
      </c>
      <c r="BP880" t="s">
        <v>74</v>
      </c>
      <c r="BQ880" t="s">
        <v>74</v>
      </c>
      <c r="BR880" t="s">
        <v>106</v>
      </c>
      <c r="BS880" t="s">
        <v>17308</v>
      </c>
      <c r="BT880" t="str">
        <f>HYPERLINK("https%3A%2F%2Fwww.webofscience.com%2Fwos%2Fwoscc%2Ffull-record%2FWOS:000620739900003","View Full Record in Web of Science")</f>
        <v>View Full Record in Web of Science</v>
      </c>
    </row>
    <row r="881" spans="1:72" x14ac:dyDescent="0.25">
      <c r="A881" t="s">
        <v>72</v>
      </c>
      <c r="B881" t="s">
        <v>17309</v>
      </c>
      <c r="C881" t="s">
        <v>74</v>
      </c>
      <c r="D881" t="s">
        <v>74</v>
      </c>
      <c r="E881" t="s">
        <v>74</v>
      </c>
      <c r="F881" t="s">
        <v>17310</v>
      </c>
      <c r="G881" t="s">
        <v>74</v>
      </c>
      <c r="H881" t="s">
        <v>74</v>
      </c>
      <c r="I881" t="s">
        <v>17311</v>
      </c>
      <c r="J881" t="s">
        <v>17312</v>
      </c>
      <c r="K881" t="s">
        <v>74</v>
      </c>
      <c r="L881" t="s">
        <v>74</v>
      </c>
      <c r="M881" t="s">
        <v>78</v>
      </c>
      <c r="N881" t="s">
        <v>79</v>
      </c>
      <c r="O881" t="s">
        <v>74</v>
      </c>
      <c r="P881" t="s">
        <v>74</v>
      </c>
      <c r="Q881" t="s">
        <v>74</v>
      </c>
      <c r="R881" t="s">
        <v>74</v>
      </c>
      <c r="S881" t="s">
        <v>74</v>
      </c>
      <c r="T881" t="s">
        <v>17313</v>
      </c>
      <c r="U881" t="s">
        <v>74</v>
      </c>
      <c r="V881" t="s">
        <v>17314</v>
      </c>
      <c r="W881" t="s">
        <v>17315</v>
      </c>
      <c r="X881" t="s">
        <v>17316</v>
      </c>
      <c r="Y881" t="s">
        <v>17317</v>
      </c>
      <c r="Z881" t="s">
        <v>17318</v>
      </c>
      <c r="AA881" t="s">
        <v>17319</v>
      </c>
      <c r="AB881" t="s">
        <v>17320</v>
      </c>
      <c r="AC881" t="s">
        <v>17321</v>
      </c>
      <c r="AD881" t="s">
        <v>17322</v>
      </c>
      <c r="AE881" t="s">
        <v>17323</v>
      </c>
      <c r="AF881" t="s">
        <v>74</v>
      </c>
      <c r="AG881">
        <v>10</v>
      </c>
      <c r="AH881">
        <v>1</v>
      </c>
      <c r="AI881">
        <v>1</v>
      </c>
      <c r="AJ881">
        <v>1</v>
      </c>
      <c r="AK881">
        <v>64</v>
      </c>
      <c r="AL881" t="s">
        <v>17324</v>
      </c>
      <c r="AM881" t="s">
        <v>17325</v>
      </c>
      <c r="AN881" t="s">
        <v>17326</v>
      </c>
      <c r="AO881" t="s">
        <v>17327</v>
      </c>
      <c r="AP881" t="s">
        <v>17328</v>
      </c>
      <c r="AQ881" t="s">
        <v>74</v>
      </c>
      <c r="AR881" t="s">
        <v>17329</v>
      </c>
      <c r="AS881" t="s">
        <v>17330</v>
      </c>
      <c r="AT881" t="s">
        <v>98</v>
      </c>
      <c r="AU881">
        <v>2020</v>
      </c>
      <c r="AV881">
        <v>11</v>
      </c>
      <c r="AW881">
        <v>4</v>
      </c>
      <c r="AX881" t="s">
        <v>74</v>
      </c>
      <c r="AY881" t="s">
        <v>74</v>
      </c>
      <c r="AZ881" t="s">
        <v>74</v>
      </c>
      <c r="BA881" t="s">
        <v>74</v>
      </c>
      <c r="BB881">
        <v>248</v>
      </c>
      <c r="BC881">
        <v>261</v>
      </c>
      <c r="BD881" t="s">
        <v>74</v>
      </c>
      <c r="BE881" t="s">
        <v>17331</v>
      </c>
      <c r="BF881" t="str">
        <f>HYPERLINK("http://dx.doi.org/10.18662/po/11.4/233","http://dx.doi.org/10.18662/po/11.4/233")</f>
        <v>http://dx.doi.org/10.18662/po/11.4/233</v>
      </c>
      <c r="BG881" t="s">
        <v>74</v>
      </c>
      <c r="BH881" t="s">
        <v>74</v>
      </c>
      <c r="BI881">
        <v>14</v>
      </c>
      <c r="BJ881" t="s">
        <v>2611</v>
      </c>
      <c r="BK881" t="s">
        <v>102</v>
      </c>
      <c r="BL881" t="s">
        <v>2612</v>
      </c>
      <c r="BM881" t="s">
        <v>17332</v>
      </c>
      <c r="BN881" t="s">
        <v>74</v>
      </c>
      <c r="BO881" t="s">
        <v>372</v>
      </c>
      <c r="BP881" t="s">
        <v>74</v>
      </c>
      <c r="BQ881" t="s">
        <v>74</v>
      </c>
      <c r="BR881" t="s">
        <v>106</v>
      </c>
      <c r="BS881" t="s">
        <v>17333</v>
      </c>
      <c r="BT881" t="str">
        <f>HYPERLINK("https%3A%2F%2Fwww.webofscience.com%2Fwos%2Fwoscc%2Ffull-record%2FWOS:000600615200014","View Full Record in Web of Science")</f>
        <v>View Full Record in Web of Science</v>
      </c>
    </row>
    <row r="882" spans="1:72" x14ac:dyDescent="0.25">
      <c r="A882" t="s">
        <v>108</v>
      </c>
      <c r="B882" t="s">
        <v>17334</v>
      </c>
      <c r="C882" t="s">
        <v>74</v>
      </c>
      <c r="D882" t="s">
        <v>74</v>
      </c>
      <c r="E882" t="s">
        <v>17335</v>
      </c>
      <c r="F882" t="s">
        <v>17336</v>
      </c>
      <c r="G882" t="s">
        <v>74</v>
      </c>
      <c r="H882" t="s">
        <v>74</v>
      </c>
      <c r="I882" t="s">
        <v>17337</v>
      </c>
      <c r="J882" t="s">
        <v>17338</v>
      </c>
      <c r="K882" t="s">
        <v>14572</v>
      </c>
      <c r="L882" t="s">
        <v>74</v>
      </c>
      <c r="M882" t="s">
        <v>78</v>
      </c>
      <c r="N882" t="s">
        <v>115</v>
      </c>
      <c r="O882" t="s">
        <v>17339</v>
      </c>
      <c r="P882" t="s">
        <v>17340</v>
      </c>
      <c r="Q882" t="s">
        <v>1847</v>
      </c>
      <c r="R882" t="s">
        <v>17341</v>
      </c>
      <c r="S882" t="s">
        <v>74</v>
      </c>
      <c r="T882" t="s">
        <v>17342</v>
      </c>
      <c r="U882" t="s">
        <v>74</v>
      </c>
      <c r="V882" t="s">
        <v>17343</v>
      </c>
      <c r="W882" t="s">
        <v>17344</v>
      </c>
      <c r="X882" t="s">
        <v>17164</v>
      </c>
      <c r="Y882" t="s">
        <v>17345</v>
      </c>
      <c r="Z882" t="s">
        <v>74</v>
      </c>
      <c r="AA882" t="s">
        <v>74</v>
      </c>
      <c r="AB882" t="s">
        <v>74</v>
      </c>
      <c r="AC882" t="s">
        <v>17346</v>
      </c>
      <c r="AD882" t="s">
        <v>17346</v>
      </c>
      <c r="AE882" t="s">
        <v>17347</v>
      </c>
      <c r="AF882" t="s">
        <v>74</v>
      </c>
      <c r="AG882">
        <v>13</v>
      </c>
      <c r="AH882">
        <v>0</v>
      </c>
      <c r="AI882">
        <v>0</v>
      </c>
      <c r="AJ882">
        <v>0</v>
      </c>
      <c r="AK882">
        <v>2</v>
      </c>
      <c r="AL882" t="s">
        <v>14585</v>
      </c>
      <c r="AM882" t="s">
        <v>14586</v>
      </c>
      <c r="AN882" t="s">
        <v>14587</v>
      </c>
      <c r="AO882" t="s">
        <v>14588</v>
      </c>
      <c r="AP882" t="s">
        <v>74</v>
      </c>
      <c r="AQ882" t="s">
        <v>17348</v>
      </c>
      <c r="AR882" t="s">
        <v>14590</v>
      </c>
      <c r="AS882" t="s">
        <v>74</v>
      </c>
      <c r="AT882" t="s">
        <v>74</v>
      </c>
      <c r="AU882">
        <v>2012</v>
      </c>
      <c r="AV882" t="s">
        <v>74</v>
      </c>
      <c r="AW882" t="s">
        <v>74</v>
      </c>
      <c r="AX882" t="s">
        <v>74</v>
      </c>
      <c r="AY882" t="s">
        <v>74</v>
      </c>
      <c r="AZ882" t="s">
        <v>74</v>
      </c>
      <c r="BA882" t="s">
        <v>74</v>
      </c>
      <c r="BB882">
        <v>398</v>
      </c>
      <c r="BC882">
        <v>403</v>
      </c>
      <c r="BD882" t="s">
        <v>74</v>
      </c>
      <c r="BE882" t="s">
        <v>74</v>
      </c>
      <c r="BF882" t="s">
        <v>74</v>
      </c>
      <c r="BG882" t="s">
        <v>74</v>
      </c>
      <c r="BH882" t="s">
        <v>74</v>
      </c>
      <c r="BI882">
        <v>6</v>
      </c>
      <c r="BJ882" t="s">
        <v>952</v>
      </c>
      <c r="BK882" t="s">
        <v>203</v>
      </c>
      <c r="BL882" t="s">
        <v>953</v>
      </c>
      <c r="BM882" t="s">
        <v>17349</v>
      </c>
      <c r="BN882" t="s">
        <v>74</v>
      </c>
      <c r="BO882" t="s">
        <v>74</v>
      </c>
      <c r="BP882" t="s">
        <v>74</v>
      </c>
      <c r="BQ882" t="s">
        <v>74</v>
      </c>
      <c r="BR882" t="s">
        <v>106</v>
      </c>
      <c r="BS882" t="s">
        <v>17350</v>
      </c>
      <c r="BT882" t="str">
        <f>HYPERLINK("https%3A%2F%2Fwww.webofscience.com%2Fwos%2Fwoscc%2Ffull-record%2FWOS:000398979600070","View Full Record in Web of Science")</f>
        <v>View Full Record in Web of Science</v>
      </c>
    </row>
    <row r="883" spans="1:72" x14ac:dyDescent="0.25">
      <c r="A883" t="s">
        <v>72</v>
      </c>
      <c r="B883" t="s">
        <v>17351</v>
      </c>
      <c r="C883" t="s">
        <v>74</v>
      </c>
      <c r="D883" t="s">
        <v>74</v>
      </c>
      <c r="E883" t="s">
        <v>74</v>
      </c>
      <c r="F883" t="s">
        <v>17352</v>
      </c>
      <c r="G883" t="s">
        <v>74</v>
      </c>
      <c r="H883" t="s">
        <v>74</v>
      </c>
      <c r="I883" t="s">
        <v>17353</v>
      </c>
      <c r="J883" t="s">
        <v>17354</v>
      </c>
      <c r="K883" t="s">
        <v>74</v>
      </c>
      <c r="L883" t="s">
        <v>74</v>
      </c>
      <c r="M883" t="s">
        <v>78</v>
      </c>
      <c r="N883" t="s">
        <v>10845</v>
      </c>
      <c r="O883" t="s">
        <v>74</v>
      </c>
      <c r="P883" t="s">
        <v>74</v>
      </c>
      <c r="Q883" t="s">
        <v>74</v>
      </c>
      <c r="R883" t="s">
        <v>74</v>
      </c>
      <c r="S883" t="s">
        <v>74</v>
      </c>
      <c r="T883" t="s">
        <v>17355</v>
      </c>
      <c r="U883" t="s">
        <v>17356</v>
      </c>
      <c r="V883" t="s">
        <v>17357</v>
      </c>
      <c r="W883" t="s">
        <v>17358</v>
      </c>
      <c r="X883" t="s">
        <v>17359</v>
      </c>
      <c r="Y883" t="s">
        <v>17360</v>
      </c>
      <c r="Z883" t="s">
        <v>17361</v>
      </c>
      <c r="AA883" t="s">
        <v>17362</v>
      </c>
      <c r="AB883" t="s">
        <v>74</v>
      </c>
      <c r="AC883" t="s">
        <v>74</v>
      </c>
      <c r="AD883" t="s">
        <v>74</v>
      </c>
      <c r="AE883" t="s">
        <v>74</v>
      </c>
      <c r="AF883" t="s">
        <v>74</v>
      </c>
      <c r="AG883">
        <v>45</v>
      </c>
      <c r="AH883">
        <v>1</v>
      </c>
      <c r="AI883">
        <v>1</v>
      </c>
      <c r="AJ883">
        <v>12</v>
      </c>
      <c r="AK883">
        <v>12</v>
      </c>
      <c r="AL883" t="s">
        <v>1369</v>
      </c>
      <c r="AM883" t="s">
        <v>1320</v>
      </c>
      <c r="AN883" t="s">
        <v>1370</v>
      </c>
      <c r="AO883" t="s">
        <v>17363</v>
      </c>
      <c r="AP883" t="s">
        <v>17364</v>
      </c>
      <c r="AQ883" t="s">
        <v>74</v>
      </c>
      <c r="AR883" t="s">
        <v>17365</v>
      </c>
      <c r="AS883" t="s">
        <v>17366</v>
      </c>
      <c r="AT883" t="s">
        <v>17367</v>
      </c>
      <c r="AU883">
        <v>2026</v>
      </c>
      <c r="AV883" t="s">
        <v>74</v>
      </c>
      <c r="AW883" t="s">
        <v>74</v>
      </c>
      <c r="AX883" t="s">
        <v>74</v>
      </c>
      <c r="AY883" t="s">
        <v>74</v>
      </c>
      <c r="AZ883" t="s">
        <v>74</v>
      </c>
      <c r="BA883" t="s">
        <v>74</v>
      </c>
      <c r="BB883" t="s">
        <v>74</v>
      </c>
      <c r="BC883" t="s">
        <v>74</v>
      </c>
      <c r="BD883" t="s">
        <v>74</v>
      </c>
      <c r="BE883" t="s">
        <v>17368</v>
      </c>
      <c r="BF883" t="str">
        <f>HYPERLINK("http://dx.doi.org/10.1177/00986283261425238","http://dx.doi.org/10.1177/00986283261425238")</f>
        <v>http://dx.doi.org/10.1177/00986283261425238</v>
      </c>
      <c r="BG883" t="s">
        <v>74</v>
      </c>
      <c r="BH883" t="s">
        <v>17369</v>
      </c>
      <c r="BI883">
        <v>6</v>
      </c>
      <c r="BJ883" t="s">
        <v>17370</v>
      </c>
      <c r="BK883" t="s">
        <v>250</v>
      </c>
      <c r="BL883" t="s">
        <v>665</v>
      </c>
      <c r="BM883" t="s">
        <v>17371</v>
      </c>
      <c r="BN883" t="s">
        <v>74</v>
      </c>
      <c r="BO883" t="s">
        <v>74</v>
      </c>
      <c r="BP883" t="s">
        <v>74</v>
      </c>
      <c r="BQ883" t="s">
        <v>74</v>
      </c>
      <c r="BR883" t="s">
        <v>106</v>
      </c>
      <c r="BS883" t="s">
        <v>17372</v>
      </c>
      <c r="BT883" t="str">
        <f>HYPERLINK("https%3A%2F%2Fwww.webofscience.com%2Fwos%2Fwoscc%2Ffull-record%2FWOS:001700552700001","View Full Record in Web of Science")</f>
        <v>View Full Record in Web of Science</v>
      </c>
    </row>
    <row r="884" spans="1:72" x14ac:dyDescent="0.25">
      <c r="A884" t="s">
        <v>108</v>
      </c>
      <c r="B884" t="s">
        <v>17373</v>
      </c>
      <c r="C884" t="s">
        <v>74</v>
      </c>
      <c r="D884" t="s">
        <v>74</v>
      </c>
      <c r="E884" t="s">
        <v>465</v>
      </c>
      <c r="F884" t="s">
        <v>17374</v>
      </c>
      <c r="G884" t="s">
        <v>74</v>
      </c>
      <c r="H884" t="s">
        <v>74</v>
      </c>
      <c r="I884" t="s">
        <v>17375</v>
      </c>
      <c r="J884" t="s">
        <v>17376</v>
      </c>
      <c r="K884" t="s">
        <v>74</v>
      </c>
      <c r="L884" t="s">
        <v>74</v>
      </c>
      <c r="M884" t="s">
        <v>78</v>
      </c>
      <c r="N884" t="s">
        <v>115</v>
      </c>
      <c r="O884" t="s">
        <v>17377</v>
      </c>
      <c r="P884" t="s">
        <v>17378</v>
      </c>
      <c r="Q884" t="s">
        <v>17379</v>
      </c>
      <c r="R884" t="s">
        <v>17380</v>
      </c>
      <c r="S884" t="s">
        <v>74</v>
      </c>
      <c r="T884" t="s">
        <v>17381</v>
      </c>
      <c r="U884" t="s">
        <v>74</v>
      </c>
      <c r="V884" t="s">
        <v>17382</v>
      </c>
      <c r="W884" t="s">
        <v>17383</v>
      </c>
      <c r="X884" t="s">
        <v>456</v>
      </c>
      <c r="Y884" t="s">
        <v>17384</v>
      </c>
      <c r="Z884" t="s">
        <v>74</v>
      </c>
      <c r="AA884" t="s">
        <v>74</v>
      </c>
      <c r="AB884" t="s">
        <v>74</v>
      </c>
      <c r="AC884" t="s">
        <v>74</v>
      </c>
      <c r="AD884" t="s">
        <v>74</v>
      </c>
      <c r="AE884" t="s">
        <v>74</v>
      </c>
      <c r="AF884" t="s">
        <v>74</v>
      </c>
      <c r="AG884">
        <v>17</v>
      </c>
      <c r="AH884">
        <v>4</v>
      </c>
      <c r="AI884">
        <v>12</v>
      </c>
      <c r="AJ884">
        <v>0</v>
      </c>
      <c r="AK884">
        <v>4</v>
      </c>
      <c r="AL884" t="s">
        <v>465</v>
      </c>
      <c r="AM884" t="s">
        <v>92</v>
      </c>
      <c r="AN884" t="s">
        <v>480</v>
      </c>
      <c r="AO884" t="s">
        <v>74</v>
      </c>
      <c r="AP884" t="s">
        <v>74</v>
      </c>
      <c r="AQ884" t="s">
        <v>17385</v>
      </c>
      <c r="AR884" t="s">
        <v>74</v>
      </c>
      <c r="AS884" t="s">
        <v>74</v>
      </c>
      <c r="AT884" t="s">
        <v>74</v>
      </c>
      <c r="AU884">
        <v>2015</v>
      </c>
      <c r="AV884" t="s">
        <v>74</v>
      </c>
      <c r="AW884" t="s">
        <v>74</v>
      </c>
      <c r="AX884" t="s">
        <v>74</v>
      </c>
      <c r="AY884" t="s">
        <v>74</v>
      </c>
      <c r="AZ884" t="s">
        <v>74</v>
      </c>
      <c r="BA884" t="s">
        <v>74</v>
      </c>
      <c r="BB884">
        <v>771</v>
      </c>
      <c r="BC884">
        <v>776</v>
      </c>
      <c r="BD884" t="s">
        <v>74</v>
      </c>
      <c r="BE884" t="s">
        <v>74</v>
      </c>
      <c r="BF884" t="s">
        <v>74</v>
      </c>
      <c r="BG884" t="s">
        <v>74</v>
      </c>
      <c r="BH884" t="s">
        <v>74</v>
      </c>
      <c r="BI884">
        <v>6</v>
      </c>
      <c r="BJ884" t="s">
        <v>1796</v>
      </c>
      <c r="BK884" t="s">
        <v>203</v>
      </c>
      <c r="BL884" t="s">
        <v>953</v>
      </c>
      <c r="BM884" t="s">
        <v>17386</v>
      </c>
      <c r="BN884" t="s">
        <v>74</v>
      </c>
      <c r="BO884" t="s">
        <v>74</v>
      </c>
      <c r="BP884" t="s">
        <v>74</v>
      </c>
      <c r="BQ884" t="s">
        <v>74</v>
      </c>
      <c r="BR884" t="s">
        <v>106</v>
      </c>
      <c r="BS884" t="s">
        <v>17387</v>
      </c>
      <c r="BT884" t="str">
        <f>HYPERLINK("https%3A%2F%2Fwww.webofscience.com%2Fwos%2Fwoscc%2Ffull-record%2FWOS:000380604800101","View Full Record in Web of Science")</f>
        <v>View Full Record in Web of Science</v>
      </c>
    </row>
    <row r="885" spans="1:72" x14ac:dyDescent="0.25">
      <c r="A885" t="s">
        <v>108</v>
      </c>
      <c r="B885" t="s">
        <v>17388</v>
      </c>
      <c r="C885" t="s">
        <v>74</v>
      </c>
      <c r="D885" t="s">
        <v>74</v>
      </c>
      <c r="E885" t="s">
        <v>322</v>
      </c>
      <c r="F885" t="s">
        <v>17389</v>
      </c>
      <c r="G885" t="s">
        <v>74</v>
      </c>
      <c r="H885" t="s">
        <v>74</v>
      </c>
      <c r="I885" t="s">
        <v>17390</v>
      </c>
      <c r="J885" t="s">
        <v>17391</v>
      </c>
      <c r="K885" t="s">
        <v>74</v>
      </c>
      <c r="L885" t="s">
        <v>74</v>
      </c>
      <c r="M885" t="s">
        <v>78</v>
      </c>
      <c r="N885" t="s">
        <v>115</v>
      </c>
      <c r="O885" t="s">
        <v>17392</v>
      </c>
      <c r="P885" t="s">
        <v>17393</v>
      </c>
      <c r="Q885" t="s">
        <v>17394</v>
      </c>
      <c r="R885" t="s">
        <v>17395</v>
      </c>
      <c r="S885" t="s">
        <v>74</v>
      </c>
      <c r="T885" t="s">
        <v>17396</v>
      </c>
      <c r="U885" t="s">
        <v>74</v>
      </c>
      <c r="V885" t="s">
        <v>17397</v>
      </c>
      <c r="W885" t="s">
        <v>17398</v>
      </c>
      <c r="X885" t="s">
        <v>8857</v>
      </c>
      <c r="Y885" t="s">
        <v>17399</v>
      </c>
      <c r="Z885" t="s">
        <v>17400</v>
      </c>
      <c r="AA885" t="s">
        <v>17401</v>
      </c>
      <c r="AB885" t="s">
        <v>17402</v>
      </c>
      <c r="AC885" t="s">
        <v>74</v>
      </c>
      <c r="AD885" t="s">
        <v>74</v>
      </c>
      <c r="AE885" t="s">
        <v>74</v>
      </c>
      <c r="AF885" t="s">
        <v>74</v>
      </c>
      <c r="AG885">
        <v>23</v>
      </c>
      <c r="AH885">
        <v>64</v>
      </c>
      <c r="AI885">
        <v>74</v>
      </c>
      <c r="AJ885">
        <v>0</v>
      </c>
      <c r="AK885">
        <v>7</v>
      </c>
      <c r="AL885" t="s">
        <v>291</v>
      </c>
      <c r="AM885" t="s">
        <v>92</v>
      </c>
      <c r="AN885" t="s">
        <v>292</v>
      </c>
      <c r="AO885" t="s">
        <v>74</v>
      </c>
      <c r="AP885" t="s">
        <v>74</v>
      </c>
      <c r="AQ885" t="s">
        <v>17403</v>
      </c>
      <c r="AR885" t="s">
        <v>74</v>
      </c>
      <c r="AS885" t="s">
        <v>74</v>
      </c>
      <c r="AT885" t="s">
        <v>74</v>
      </c>
      <c r="AU885">
        <v>2008</v>
      </c>
      <c r="AV885" t="s">
        <v>74</v>
      </c>
      <c r="AW885" t="s">
        <v>74</v>
      </c>
      <c r="AX885" t="s">
        <v>74</v>
      </c>
      <c r="AY885" t="s">
        <v>74</v>
      </c>
      <c r="AZ885" t="s">
        <v>74</v>
      </c>
      <c r="BA885" t="s">
        <v>74</v>
      </c>
      <c r="BB885">
        <v>163</v>
      </c>
      <c r="BC885">
        <v>170</v>
      </c>
      <c r="BD885" t="s">
        <v>74</v>
      </c>
      <c r="BE885" t="s">
        <v>74</v>
      </c>
      <c r="BF885" t="s">
        <v>74</v>
      </c>
      <c r="BG885" t="s">
        <v>74</v>
      </c>
      <c r="BH885" t="s">
        <v>74</v>
      </c>
      <c r="BI885">
        <v>8</v>
      </c>
      <c r="BJ885" t="s">
        <v>2837</v>
      </c>
      <c r="BK885" t="s">
        <v>203</v>
      </c>
      <c r="BL885" t="s">
        <v>103</v>
      </c>
      <c r="BM885" t="s">
        <v>17404</v>
      </c>
      <c r="BN885" t="s">
        <v>74</v>
      </c>
      <c r="BO885" t="s">
        <v>74</v>
      </c>
      <c r="BP885" t="s">
        <v>74</v>
      </c>
      <c r="BQ885" t="s">
        <v>74</v>
      </c>
      <c r="BR885" t="s">
        <v>106</v>
      </c>
      <c r="BS885" t="s">
        <v>17405</v>
      </c>
      <c r="BT885" t="str">
        <f>HYPERLINK("https%3A%2F%2Fwww.webofscience.com%2Fwos%2Fwoscc%2Ffull-record%2FWOS:000267113700021","View Full Record in Web of Science")</f>
        <v>View Full Record in Web of Science</v>
      </c>
    </row>
    <row r="886" spans="1:72" x14ac:dyDescent="0.25">
      <c r="A886" t="s">
        <v>108</v>
      </c>
      <c r="B886" t="s">
        <v>17406</v>
      </c>
      <c r="C886" t="s">
        <v>74</v>
      </c>
      <c r="D886" t="s">
        <v>17407</v>
      </c>
      <c r="E886" t="s">
        <v>74</v>
      </c>
      <c r="F886" t="s">
        <v>17408</v>
      </c>
      <c r="G886" t="s">
        <v>74</v>
      </c>
      <c r="H886" t="s">
        <v>74</v>
      </c>
      <c r="I886" t="s">
        <v>17409</v>
      </c>
      <c r="J886" t="s">
        <v>17410</v>
      </c>
      <c r="K886" t="s">
        <v>3328</v>
      </c>
      <c r="L886" t="s">
        <v>74</v>
      </c>
      <c r="M886" t="s">
        <v>78</v>
      </c>
      <c r="N886" t="s">
        <v>115</v>
      </c>
      <c r="O886" t="s">
        <v>17411</v>
      </c>
      <c r="P886" t="s">
        <v>17412</v>
      </c>
      <c r="Q886" t="s">
        <v>4669</v>
      </c>
      <c r="R886" t="s">
        <v>17413</v>
      </c>
      <c r="S886" t="s">
        <v>74</v>
      </c>
      <c r="T886" t="s">
        <v>17414</v>
      </c>
      <c r="U886" t="s">
        <v>74</v>
      </c>
      <c r="V886" t="s">
        <v>17415</v>
      </c>
      <c r="W886" t="s">
        <v>17416</v>
      </c>
      <c r="X886" t="s">
        <v>17417</v>
      </c>
      <c r="Y886" t="s">
        <v>17418</v>
      </c>
      <c r="Z886" t="s">
        <v>17419</v>
      </c>
      <c r="AA886" t="s">
        <v>17420</v>
      </c>
      <c r="AB886" t="s">
        <v>17421</v>
      </c>
      <c r="AC886" t="s">
        <v>74</v>
      </c>
      <c r="AD886" t="s">
        <v>74</v>
      </c>
      <c r="AE886" t="s">
        <v>74</v>
      </c>
      <c r="AF886" t="s">
        <v>74</v>
      </c>
      <c r="AG886">
        <v>18</v>
      </c>
      <c r="AH886">
        <v>4</v>
      </c>
      <c r="AI886">
        <v>4</v>
      </c>
      <c r="AJ886">
        <v>0</v>
      </c>
      <c r="AK886">
        <v>10</v>
      </c>
      <c r="AL886" t="s">
        <v>947</v>
      </c>
      <c r="AM886" t="s">
        <v>948</v>
      </c>
      <c r="AN886" t="s">
        <v>949</v>
      </c>
      <c r="AO886" t="s">
        <v>3341</v>
      </c>
      <c r="AP886" t="s">
        <v>74</v>
      </c>
      <c r="AQ886" t="s">
        <v>17422</v>
      </c>
      <c r="AR886" t="s">
        <v>3343</v>
      </c>
      <c r="AS886" t="s">
        <v>74</v>
      </c>
      <c r="AT886" t="s">
        <v>74</v>
      </c>
      <c r="AU886">
        <v>2020</v>
      </c>
      <c r="AV886" t="s">
        <v>74</v>
      </c>
      <c r="AW886" t="s">
        <v>74</v>
      </c>
      <c r="AX886" t="s">
        <v>74</v>
      </c>
      <c r="AY886" t="s">
        <v>74</v>
      </c>
      <c r="AZ886" t="s">
        <v>74</v>
      </c>
      <c r="BA886" t="s">
        <v>74</v>
      </c>
      <c r="BB886">
        <v>400</v>
      </c>
      <c r="BC886">
        <v>407</v>
      </c>
      <c r="BD886" t="s">
        <v>74</v>
      </c>
      <c r="BE886" t="s">
        <v>17423</v>
      </c>
      <c r="BF886" t="str">
        <f>HYPERLINK("http://dx.doi.org/10.1109/ICDMW51313.2020.00062","http://dx.doi.org/10.1109/ICDMW51313.2020.00062")</f>
        <v>http://dx.doi.org/10.1109/ICDMW51313.2020.00062</v>
      </c>
      <c r="BG886" t="s">
        <v>74</v>
      </c>
      <c r="BH886" t="s">
        <v>74</v>
      </c>
      <c r="BI886">
        <v>8</v>
      </c>
      <c r="BJ886" t="s">
        <v>925</v>
      </c>
      <c r="BK886" t="s">
        <v>203</v>
      </c>
      <c r="BL886" t="s">
        <v>103</v>
      </c>
      <c r="BM886" t="s">
        <v>17424</v>
      </c>
      <c r="BN886" t="s">
        <v>74</v>
      </c>
      <c r="BO886" t="s">
        <v>346</v>
      </c>
      <c r="BP886" t="s">
        <v>74</v>
      </c>
      <c r="BQ886" t="s">
        <v>74</v>
      </c>
      <c r="BR886" t="s">
        <v>106</v>
      </c>
      <c r="BS886" t="s">
        <v>17425</v>
      </c>
      <c r="BT886" t="str">
        <f>HYPERLINK("https%3A%2F%2Fwww.webofscience.com%2Fwos%2Fwoscc%2Ffull-record%2FWOS:000657112800054","View Full Record in Web of Science")</f>
        <v>View Full Record in Web of Science</v>
      </c>
    </row>
    <row r="887" spans="1:72" x14ac:dyDescent="0.25">
      <c r="A887" t="s">
        <v>72</v>
      </c>
      <c r="B887" t="s">
        <v>17426</v>
      </c>
      <c r="C887" t="s">
        <v>74</v>
      </c>
      <c r="D887" t="s">
        <v>74</v>
      </c>
      <c r="E887" t="s">
        <v>74</v>
      </c>
      <c r="F887" t="s">
        <v>17427</v>
      </c>
      <c r="G887" t="s">
        <v>74</v>
      </c>
      <c r="H887" t="s">
        <v>74</v>
      </c>
      <c r="I887" t="s">
        <v>17428</v>
      </c>
      <c r="J887" t="s">
        <v>17429</v>
      </c>
      <c r="K887" t="s">
        <v>74</v>
      </c>
      <c r="L887" t="s">
        <v>74</v>
      </c>
      <c r="M887" t="s">
        <v>78</v>
      </c>
      <c r="N887" t="s">
        <v>79</v>
      </c>
      <c r="O887" t="s">
        <v>74</v>
      </c>
      <c r="P887" t="s">
        <v>74</v>
      </c>
      <c r="Q887" t="s">
        <v>74</v>
      </c>
      <c r="R887" t="s">
        <v>74</v>
      </c>
      <c r="S887" t="s">
        <v>74</v>
      </c>
      <c r="T887" t="s">
        <v>17430</v>
      </c>
      <c r="U887" t="s">
        <v>17431</v>
      </c>
      <c r="V887" t="s">
        <v>17432</v>
      </c>
      <c r="W887" t="s">
        <v>17433</v>
      </c>
      <c r="X887" t="s">
        <v>17434</v>
      </c>
      <c r="Y887" t="s">
        <v>17435</v>
      </c>
      <c r="Z887" t="s">
        <v>17436</v>
      </c>
      <c r="AA887" t="s">
        <v>17437</v>
      </c>
      <c r="AB887" t="s">
        <v>74</v>
      </c>
      <c r="AC887" t="s">
        <v>17438</v>
      </c>
      <c r="AD887" t="s">
        <v>17439</v>
      </c>
      <c r="AE887" t="s">
        <v>17440</v>
      </c>
      <c r="AF887" t="s">
        <v>74</v>
      </c>
      <c r="AG887">
        <v>45</v>
      </c>
      <c r="AH887">
        <v>0</v>
      </c>
      <c r="AI887">
        <v>0</v>
      </c>
      <c r="AJ887">
        <v>6</v>
      </c>
      <c r="AK887">
        <v>10</v>
      </c>
      <c r="AL887" t="s">
        <v>178</v>
      </c>
      <c r="AM887" t="s">
        <v>92</v>
      </c>
      <c r="AN887" t="s">
        <v>179</v>
      </c>
      <c r="AO887" t="s">
        <v>17441</v>
      </c>
      <c r="AP887" t="s">
        <v>17442</v>
      </c>
      <c r="AQ887" t="s">
        <v>74</v>
      </c>
      <c r="AR887" t="s">
        <v>17443</v>
      </c>
      <c r="AS887" t="s">
        <v>17444</v>
      </c>
      <c r="AT887" t="s">
        <v>509</v>
      </c>
      <c r="AU887">
        <v>2025</v>
      </c>
      <c r="AV887">
        <v>19</v>
      </c>
      <c r="AW887">
        <v>3</v>
      </c>
      <c r="AX887" t="s">
        <v>74</v>
      </c>
      <c r="AY887" t="s">
        <v>74</v>
      </c>
      <c r="AZ887" t="s">
        <v>74</v>
      </c>
      <c r="BA887" t="s">
        <v>74</v>
      </c>
      <c r="BB887">
        <v>439</v>
      </c>
      <c r="BC887">
        <v>451</v>
      </c>
      <c r="BD887" t="s">
        <v>74</v>
      </c>
      <c r="BE887" t="s">
        <v>17445</v>
      </c>
      <c r="BF887" t="str">
        <f>HYPERLINK("http://dx.doi.org/10.1007/s11707-024-1150-5","http://dx.doi.org/10.1007/s11707-024-1150-5")</f>
        <v>http://dx.doi.org/10.1007/s11707-024-1150-5</v>
      </c>
      <c r="BG887" t="s">
        <v>74</v>
      </c>
      <c r="BH887" t="s">
        <v>100</v>
      </c>
      <c r="BI887">
        <v>13</v>
      </c>
      <c r="BJ887" t="s">
        <v>17446</v>
      </c>
      <c r="BK887" t="s">
        <v>902</v>
      </c>
      <c r="BL887" t="s">
        <v>17447</v>
      </c>
      <c r="BM887" t="s">
        <v>17448</v>
      </c>
      <c r="BN887" t="s">
        <v>74</v>
      </c>
      <c r="BO887" t="s">
        <v>74</v>
      </c>
      <c r="BP887" t="s">
        <v>74</v>
      </c>
      <c r="BQ887" t="s">
        <v>74</v>
      </c>
      <c r="BR887" t="s">
        <v>106</v>
      </c>
      <c r="BS887" t="s">
        <v>17449</v>
      </c>
      <c r="BT887" t="str">
        <f>HYPERLINK("https%3A%2F%2Fwww.webofscience.com%2Fwos%2Fwoscc%2Ffull-record%2FWOS:001527690900001","View Full Record in Web of Science")</f>
        <v>View Full Record in Web of Science</v>
      </c>
    </row>
    <row r="888" spans="1:72" x14ac:dyDescent="0.25">
      <c r="A888" t="s">
        <v>72</v>
      </c>
      <c r="B888" t="s">
        <v>17450</v>
      </c>
      <c r="C888" t="s">
        <v>74</v>
      </c>
      <c r="D888" t="s">
        <v>74</v>
      </c>
      <c r="E888" t="s">
        <v>74</v>
      </c>
      <c r="F888" t="s">
        <v>17451</v>
      </c>
      <c r="G888" t="s">
        <v>74</v>
      </c>
      <c r="H888" t="s">
        <v>74</v>
      </c>
      <c r="I888" t="s">
        <v>17452</v>
      </c>
      <c r="J888" t="s">
        <v>17453</v>
      </c>
      <c r="K888" t="s">
        <v>74</v>
      </c>
      <c r="L888" t="s">
        <v>74</v>
      </c>
      <c r="M888" t="s">
        <v>78</v>
      </c>
      <c r="N888" t="s">
        <v>79</v>
      </c>
      <c r="O888" t="s">
        <v>74</v>
      </c>
      <c r="P888" t="s">
        <v>74</v>
      </c>
      <c r="Q888" t="s">
        <v>74</v>
      </c>
      <c r="R888" t="s">
        <v>74</v>
      </c>
      <c r="S888" t="s">
        <v>74</v>
      </c>
      <c r="T888" t="s">
        <v>17454</v>
      </c>
      <c r="U888" t="s">
        <v>74</v>
      </c>
      <c r="V888" t="s">
        <v>17455</v>
      </c>
      <c r="W888" t="s">
        <v>17456</v>
      </c>
      <c r="X888" t="s">
        <v>17457</v>
      </c>
      <c r="Y888" t="s">
        <v>17458</v>
      </c>
      <c r="Z888" t="s">
        <v>17459</v>
      </c>
      <c r="AA888" t="s">
        <v>17460</v>
      </c>
      <c r="AB888" t="s">
        <v>74</v>
      </c>
      <c r="AC888" t="s">
        <v>17461</v>
      </c>
      <c r="AD888" t="s">
        <v>17462</v>
      </c>
      <c r="AE888" t="s">
        <v>17463</v>
      </c>
      <c r="AF888" t="s">
        <v>74</v>
      </c>
      <c r="AG888">
        <v>21</v>
      </c>
      <c r="AH888">
        <v>0</v>
      </c>
      <c r="AI888">
        <v>0</v>
      </c>
      <c r="AJ888">
        <v>0</v>
      </c>
      <c r="AK888">
        <v>1</v>
      </c>
      <c r="AL888" t="s">
        <v>17464</v>
      </c>
      <c r="AM888" t="s">
        <v>17465</v>
      </c>
      <c r="AN888" t="s">
        <v>17466</v>
      </c>
      <c r="AO888" t="s">
        <v>17467</v>
      </c>
      <c r="AP888" t="s">
        <v>74</v>
      </c>
      <c r="AQ888" t="s">
        <v>74</v>
      </c>
      <c r="AR888" t="s">
        <v>17468</v>
      </c>
      <c r="AS888" t="s">
        <v>17469</v>
      </c>
      <c r="AT888" t="s">
        <v>74</v>
      </c>
      <c r="AU888">
        <v>2012</v>
      </c>
      <c r="AV888">
        <v>7</v>
      </c>
      <c r="AW888" t="s">
        <v>74</v>
      </c>
      <c r="AX888" t="s">
        <v>74</v>
      </c>
      <c r="AY888" t="s">
        <v>74</v>
      </c>
      <c r="AZ888" t="s">
        <v>74</v>
      </c>
      <c r="BA888" t="s">
        <v>74</v>
      </c>
      <c r="BB888">
        <v>411</v>
      </c>
      <c r="BC888">
        <v>440</v>
      </c>
      <c r="BD888" t="s">
        <v>74</v>
      </c>
      <c r="BE888" t="s">
        <v>17470</v>
      </c>
      <c r="BF888" t="str">
        <f>HYPERLINK("http://dx.doi.org/10.2902/1725-0463.2012.07.art19","http://dx.doi.org/10.2902/1725-0463.2012.07.art19")</f>
        <v>http://dx.doi.org/10.2902/1725-0463.2012.07.art19</v>
      </c>
      <c r="BG888" t="s">
        <v>74</v>
      </c>
      <c r="BH888" t="s">
        <v>74</v>
      </c>
      <c r="BI888">
        <v>30</v>
      </c>
      <c r="BJ888" t="s">
        <v>17471</v>
      </c>
      <c r="BK888" t="s">
        <v>102</v>
      </c>
      <c r="BL888" t="s">
        <v>17471</v>
      </c>
      <c r="BM888" t="s">
        <v>17472</v>
      </c>
      <c r="BN888" t="s">
        <v>74</v>
      </c>
      <c r="BO888" t="s">
        <v>74</v>
      </c>
      <c r="BP888" t="s">
        <v>74</v>
      </c>
      <c r="BQ888" t="s">
        <v>74</v>
      </c>
      <c r="BR888" t="s">
        <v>106</v>
      </c>
      <c r="BS888" t="s">
        <v>17473</v>
      </c>
      <c r="BT888" t="str">
        <f>HYPERLINK("https%3A%2F%2Fwww.webofscience.com%2Fwos%2Fwoscc%2Ffull-record%2FWOS:000219721900019","View Full Record in Web of Science")</f>
        <v>View Full Record in Web of Science</v>
      </c>
    </row>
    <row r="889" spans="1:72" x14ac:dyDescent="0.25">
      <c r="A889" t="s">
        <v>72</v>
      </c>
      <c r="B889" t="s">
        <v>17474</v>
      </c>
      <c r="C889" t="s">
        <v>74</v>
      </c>
      <c r="D889" t="s">
        <v>74</v>
      </c>
      <c r="E889" t="s">
        <v>74</v>
      </c>
      <c r="F889" t="s">
        <v>17475</v>
      </c>
      <c r="G889" t="s">
        <v>74</v>
      </c>
      <c r="H889" t="s">
        <v>74</v>
      </c>
      <c r="I889" t="s">
        <v>17476</v>
      </c>
      <c r="J889" t="s">
        <v>17477</v>
      </c>
      <c r="K889" t="s">
        <v>74</v>
      </c>
      <c r="L889" t="s">
        <v>74</v>
      </c>
      <c r="M889" t="s">
        <v>4034</v>
      </c>
      <c r="N889" t="s">
        <v>79</v>
      </c>
      <c r="O889" t="s">
        <v>74</v>
      </c>
      <c r="P889" t="s">
        <v>74</v>
      </c>
      <c r="Q889" t="s">
        <v>74</v>
      </c>
      <c r="R889" t="s">
        <v>74</v>
      </c>
      <c r="S889" t="s">
        <v>74</v>
      </c>
      <c r="T889" t="s">
        <v>17478</v>
      </c>
      <c r="U889" t="s">
        <v>17479</v>
      </c>
      <c r="V889" t="s">
        <v>17480</v>
      </c>
      <c r="W889" t="s">
        <v>17481</v>
      </c>
      <c r="X889" t="s">
        <v>17482</v>
      </c>
      <c r="Y889" t="s">
        <v>17483</v>
      </c>
      <c r="Z889" t="s">
        <v>17484</v>
      </c>
      <c r="AA889" t="s">
        <v>74</v>
      </c>
      <c r="AB889" t="s">
        <v>74</v>
      </c>
      <c r="AC889" t="s">
        <v>74</v>
      </c>
      <c r="AD889" t="s">
        <v>74</v>
      </c>
      <c r="AE889" t="s">
        <v>74</v>
      </c>
      <c r="AF889" t="s">
        <v>74</v>
      </c>
      <c r="AG889">
        <v>39</v>
      </c>
      <c r="AH889">
        <v>3</v>
      </c>
      <c r="AI889">
        <v>3</v>
      </c>
      <c r="AJ889">
        <v>0</v>
      </c>
      <c r="AK889">
        <v>7</v>
      </c>
      <c r="AL889" t="s">
        <v>17485</v>
      </c>
      <c r="AM889" t="s">
        <v>17486</v>
      </c>
      <c r="AN889" t="s">
        <v>17487</v>
      </c>
      <c r="AO889" t="s">
        <v>17488</v>
      </c>
      <c r="AP889" t="s">
        <v>74</v>
      </c>
      <c r="AQ889" t="s">
        <v>74</v>
      </c>
      <c r="AR889" t="s">
        <v>17489</v>
      </c>
      <c r="AS889" t="s">
        <v>17490</v>
      </c>
      <c r="AT889" t="s">
        <v>14736</v>
      </c>
      <c r="AU889">
        <v>2018</v>
      </c>
      <c r="AV889">
        <v>10</v>
      </c>
      <c r="AW889">
        <v>1</v>
      </c>
      <c r="AX889" t="s">
        <v>74</v>
      </c>
      <c r="AY889" t="s">
        <v>74</v>
      </c>
      <c r="AZ889" t="s">
        <v>74</v>
      </c>
      <c r="BA889" t="s">
        <v>74</v>
      </c>
      <c r="BB889">
        <v>293</v>
      </c>
      <c r="BC889">
        <v>307</v>
      </c>
      <c r="BD889" t="s">
        <v>74</v>
      </c>
      <c r="BE889" t="s">
        <v>17491</v>
      </c>
      <c r="BF889" t="str">
        <f>HYPERLINK("http://dx.doi.org/10.21680/2176-9036.2018v10n1ID11663","http://dx.doi.org/10.21680/2176-9036.2018v10n1ID11663")</f>
        <v>http://dx.doi.org/10.21680/2176-9036.2018v10n1ID11663</v>
      </c>
      <c r="BG889" t="s">
        <v>74</v>
      </c>
      <c r="BH889" t="s">
        <v>74</v>
      </c>
      <c r="BI889">
        <v>15</v>
      </c>
      <c r="BJ889" t="s">
        <v>17492</v>
      </c>
      <c r="BK889" t="s">
        <v>102</v>
      </c>
      <c r="BL889" t="s">
        <v>2588</v>
      </c>
      <c r="BM889" t="s">
        <v>17493</v>
      </c>
      <c r="BN889" t="s">
        <v>74</v>
      </c>
      <c r="BO889" t="s">
        <v>398</v>
      </c>
      <c r="BP889" t="s">
        <v>74</v>
      </c>
      <c r="BQ889" t="s">
        <v>74</v>
      </c>
      <c r="BR889" t="s">
        <v>106</v>
      </c>
      <c r="BS889" t="s">
        <v>17494</v>
      </c>
      <c r="BT889" t="str">
        <f>HYPERLINK("https%3A%2F%2Fwww.webofscience.com%2Fwos%2Fwoscc%2Ffull-record%2FWOS:000435512400018","View Full Record in Web of Science")</f>
        <v>View Full Record in Web of Science</v>
      </c>
    </row>
    <row r="890" spans="1:72" x14ac:dyDescent="0.25">
      <c r="A890" t="s">
        <v>72</v>
      </c>
      <c r="B890" t="s">
        <v>17495</v>
      </c>
      <c r="C890" t="s">
        <v>74</v>
      </c>
      <c r="D890" t="s">
        <v>74</v>
      </c>
      <c r="E890" t="s">
        <v>74</v>
      </c>
      <c r="F890" t="s">
        <v>17496</v>
      </c>
      <c r="G890" t="s">
        <v>74</v>
      </c>
      <c r="H890" t="s">
        <v>74</v>
      </c>
      <c r="I890" t="s">
        <v>17497</v>
      </c>
      <c r="J890" t="s">
        <v>17498</v>
      </c>
      <c r="K890" t="s">
        <v>74</v>
      </c>
      <c r="L890" t="s">
        <v>74</v>
      </c>
      <c r="M890" t="s">
        <v>78</v>
      </c>
      <c r="N890" t="s">
        <v>79</v>
      </c>
      <c r="O890" t="s">
        <v>74</v>
      </c>
      <c r="P890" t="s">
        <v>74</v>
      </c>
      <c r="Q890" t="s">
        <v>74</v>
      </c>
      <c r="R890" t="s">
        <v>74</v>
      </c>
      <c r="S890" t="s">
        <v>74</v>
      </c>
      <c r="T890" t="s">
        <v>17499</v>
      </c>
      <c r="U890" t="s">
        <v>17500</v>
      </c>
      <c r="V890" t="s">
        <v>17501</v>
      </c>
      <c r="W890" t="s">
        <v>17502</v>
      </c>
      <c r="X890" t="s">
        <v>17503</v>
      </c>
      <c r="Y890" t="s">
        <v>17504</v>
      </c>
      <c r="Z890" t="s">
        <v>17505</v>
      </c>
      <c r="AA890" t="s">
        <v>74</v>
      </c>
      <c r="AB890" t="s">
        <v>74</v>
      </c>
      <c r="AC890" t="s">
        <v>74</v>
      </c>
      <c r="AD890" t="s">
        <v>74</v>
      </c>
      <c r="AE890" t="s">
        <v>74</v>
      </c>
      <c r="AF890" t="s">
        <v>74</v>
      </c>
      <c r="AG890">
        <v>48</v>
      </c>
      <c r="AH890">
        <v>0</v>
      </c>
      <c r="AI890">
        <v>8</v>
      </c>
      <c r="AJ890">
        <v>0</v>
      </c>
      <c r="AK890">
        <v>0</v>
      </c>
      <c r="AL890" t="s">
        <v>17506</v>
      </c>
      <c r="AM890" t="s">
        <v>17507</v>
      </c>
      <c r="AN890" t="s">
        <v>17508</v>
      </c>
      <c r="AO890" t="s">
        <v>17509</v>
      </c>
      <c r="AP890" t="s">
        <v>17510</v>
      </c>
      <c r="AQ890" t="s">
        <v>74</v>
      </c>
      <c r="AR890" t="s">
        <v>17511</v>
      </c>
      <c r="AS890" t="s">
        <v>17512</v>
      </c>
      <c r="AT890" t="s">
        <v>74</v>
      </c>
      <c r="AU890">
        <v>2011</v>
      </c>
      <c r="AV890">
        <v>29</v>
      </c>
      <c r="AW890">
        <v>1</v>
      </c>
      <c r="AX890" t="s">
        <v>74</v>
      </c>
      <c r="AY890" t="s">
        <v>74</v>
      </c>
      <c r="AZ890" t="s">
        <v>74</v>
      </c>
      <c r="BA890" t="s">
        <v>74</v>
      </c>
      <c r="BB890">
        <v>131</v>
      </c>
      <c r="BC890">
        <v>151</v>
      </c>
      <c r="BD890" t="s">
        <v>74</v>
      </c>
      <c r="BE890" t="s">
        <v>74</v>
      </c>
      <c r="BF890" t="s">
        <v>74</v>
      </c>
      <c r="BG890" t="s">
        <v>74</v>
      </c>
      <c r="BH890" t="s">
        <v>74</v>
      </c>
      <c r="BI890">
        <v>21</v>
      </c>
      <c r="BJ890" t="s">
        <v>2446</v>
      </c>
      <c r="BK890" t="s">
        <v>102</v>
      </c>
      <c r="BL890" t="s">
        <v>251</v>
      </c>
      <c r="BM890" t="s">
        <v>17513</v>
      </c>
      <c r="BN890" t="s">
        <v>74</v>
      </c>
      <c r="BO890" t="s">
        <v>74</v>
      </c>
      <c r="BP890" t="s">
        <v>74</v>
      </c>
      <c r="BQ890" t="s">
        <v>74</v>
      </c>
      <c r="BR890" t="s">
        <v>106</v>
      </c>
      <c r="BS890" t="s">
        <v>17514</v>
      </c>
      <c r="BT890" t="str">
        <f>HYPERLINK("https%3A%2F%2Fwww.webofscience.com%2Fwos%2Fwoscc%2Ffull-record%2FWOS:000457873400005","View Full Record in Web of Science")</f>
        <v>View Full Record in Web of Science</v>
      </c>
    </row>
    <row r="891" spans="1:72" x14ac:dyDescent="0.25">
      <c r="A891" t="s">
        <v>72</v>
      </c>
      <c r="B891" t="s">
        <v>17515</v>
      </c>
      <c r="C891" t="s">
        <v>74</v>
      </c>
      <c r="D891" t="s">
        <v>74</v>
      </c>
      <c r="E891" t="s">
        <v>74</v>
      </c>
      <c r="F891" t="s">
        <v>17516</v>
      </c>
      <c r="G891" t="s">
        <v>74</v>
      </c>
      <c r="H891" t="s">
        <v>74</v>
      </c>
      <c r="I891" t="s">
        <v>17517</v>
      </c>
      <c r="J891" t="s">
        <v>17518</v>
      </c>
      <c r="K891" t="s">
        <v>74</v>
      </c>
      <c r="L891" t="s">
        <v>74</v>
      </c>
      <c r="M891" t="s">
        <v>78</v>
      </c>
      <c r="N891" t="s">
        <v>79</v>
      </c>
      <c r="O891" t="s">
        <v>74</v>
      </c>
      <c r="P891" t="s">
        <v>74</v>
      </c>
      <c r="Q891" t="s">
        <v>74</v>
      </c>
      <c r="R891" t="s">
        <v>74</v>
      </c>
      <c r="S891" t="s">
        <v>74</v>
      </c>
      <c r="T891" t="s">
        <v>17519</v>
      </c>
      <c r="U891" t="s">
        <v>17520</v>
      </c>
      <c r="V891" t="s">
        <v>17521</v>
      </c>
      <c r="W891" t="s">
        <v>17522</v>
      </c>
      <c r="X891" t="s">
        <v>17523</v>
      </c>
      <c r="Y891" t="s">
        <v>17524</v>
      </c>
      <c r="Z891" t="s">
        <v>17525</v>
      </c>
      <c r="AA891" t="s">
        <v>17526</v>
      </c>
      <c r="AB891" t="s">
        <v>17527</v>
      </c>
      <c r="AC891" t="s">
        <v>17528</v>
      </c>
      <c r="AD891" t="s">
        <v>17528</v>
      </c>
      <c r="AE891" t="s">
        <v>17528</v>
      </c>
      <c r="AF891" t="s">
        <v>74</v>
      </c>
      <c r="AG891">
        <v>28</v>
      </c>
      <c r="AH891">
        <v>2</v>
      </c>
      <c r="AI891">
        <v>4</v>
      </c>
      <c r="AJ891">
        <v>0</v>
      </c>
      <c r="AK891">
        <v>7</v>
      </c>
      <c r="AL891" t="s">
        <v>631</v>
      </c>
      <c r="AM891" t="s">
        <v>632</v>
      </c>
      <c r="AN891" t="s">
        <v>633</v>
      </c>
      <c r="AO891" t="s">
        <v>17529</v>
      </c>
      <c r="AP891" t="s">
        <v>17530</v>
      </c>
      <c r="AQ891" t="s">
        <v>74</v>
      </c>
      <c r="AR891" t="s">
        <v>17531</v>
      </c>
      <c r="AS891" t="s">
        <v>17532</v>
      </c>
      <c r="AT891" t="s">
        <v>509</v>
      </c>
      <c r="AU891">
        <v>2020</v>
      </c>
      <c r="AV891">
        <v>53</v>
      </c>
      <c r="AW891">
        <v>3</v>
      </c>
      <c r="AX891" t="s">
        <v>74</v>
      </c>
      <c r="AY891" t="s">
        <v>74</v>
      </c>
      <c r="AZ891" t="s">
        <v>74</v>
      </c>
      <c r="BA891" t="s">
        <v>74</v>
      </c>
      <c r="BB891">
        <v>613</v>
      </c>
      <c r="BC891">
        <v>633</v>
      </c>
      <c r="BD891" t="s">
        <v>74</v>
      </c>
      <c r="BE891" t="s">
        <v>17533</v>
      </c>
      <c r="BF891" t="str">
        <f>HYPERLINK("http://dx.doi.org/10.1111/flan.12482","http://dx.doi.org/10.1111/flan.12482")</f>
        <v>http://dx.doi.org/10.1111/flan.12482</v>
      </c>
      <c r="BG891" t="s">
        <v>74</v>
      </c>
      <c r="BH891" t="s">
        <v>17534</v>
      </c>
      <c r="BI891">
        <v>21</v>
      </c>
      <c r="BJ891" t="s">
        <v>17535</v>
      </c>
      <c r="BK891" t="s">
        <v>250</v>
      </c>
      <c r="BL891" t="s">
        <v>17535</v>
      </c>
      <c r="BM891" t="s">
        <v>17536</v>
      </c>
      <c r="BN891" t="s">
        <v>74</v>
      </c>
      <c r="BO891" t="s">
        <v>74</v>
      </c>
      <c r="BP891" t="s">
        <v>74</v>
      </c>
      <c r="BQ891" t="s">
        <v>74</v>
      </c>
      <c r="BR891" t="s">
        <v>106</v>
      </c>
      <c r="BS891" t="s">
        <v>17537</v>
      </c>
      <c r="BT891" t="str">
        <f>HYPERLINK("https%3A%2F%2Fwww.webofscience.com%2Fwos%2Fwoscc%2Ffull-record%2FWOS:000564366900001","View Full Record in Web of Science")</f>
        <v>View Full Record in Web of Science</v>
      </c>
    </row>
    <row r="892" spans="1:72" x14ac:dyDescent="0.25">
      <c r="A892" t="s">
        <v>72</v>
      </c>
      <c r="B892" t="s">
        <v>17538</v>
      </c>
      <c r="C892" t="s">
        <v>74</v>
      </c>
      <c r="D892" t="s">
        <v>74</v>
      </c>
      <c r="E892" t="s">
        <v>74</v>
      </c>
      <c r="F892" t="s">
        <v>17539</v>
      </c>
      <c r="G892" t="s">
        <v>74</v>
      </c>
      <c r="H892" t="s">
        <v>74</v>
      </c>
      <c r="I892" t="s">
        <v>17540</v>
      </c>
      <c r="J892" t="s">
        <v>17541</v>
      </c>
      <c r="K892" t="s">
        <v>74</v>
      </c>
      <c r="L892" t="s">
        <v>74</v>
      </c>
      <c r="M892" t="s">
        <v>78</v>
      </c>
      <c r="N892" t="s">
        <v>79</v>
      </c>
      <c r="O892" t="s">
        <v>74</v>
      </c>
      <c r="P892" t="s">
        <v>74</v>
      </c>
      <c r="Q892" t="s">
        <v>74</v>
      </c>
      <c r="R892" t="s">
        <v>74</v>
      </c>
      <c r="S892" t="s">
        <v>74</v>
      </c>
      <c r="T892" t="s">
        <v>17542</v>
      </c>
      <c r="U892" t="s">
        <v>74</v>
      </c>
      <c r="V892" t="s">
        <v>17543</v>
      </c>
      <c r="W892" t="s">
        <v>17544</v>
      </c>
      <c r="X892" t="s">
        <v>74</v>
      </c>
      <c r="Y892" t="s">
        <v>17545</v>
      </c>
      <c r="Z892" t="s">
        <v>17546</v>
      </c>
      <c r="AA892" t="s">
        <v>74</v>
      </c>
      <c r="AB892" t="s">
        <v>74</v>
      </c>
      <c r="AC892" t="s">
        <v>74</v>
      </c>
      <c r="AD892" t="s">
        <v>74</v>
      </c>
      <c r="AE892" t="s">
        <v>74</v>
      </c>
      <c r="AF892" t="s">
        <v>74</v>
      </c>
      <c r="AG892">
        <v>34</v>
      </c>
      <c r="AH892">
        <v>13</v>
      </c>
      <c r="AI892">
        <v>14</v>
      </c>
      <c r="AJ892">
        <v>0</v>
      </c>
      <c r="AK892">
        <v>12</v>
      </c>
      <c r="AL892" t="s">
        <v>5214</v>
      </c>
      <c r="AM892" t="s">
        <v>1320</v>
      </c>
      <c r="AN892" t="s">
        <v>5215</v>
      </c>
      <c r="AO892" t="s">
        <v>17547</v>
      </c>
      <c r="AP892" t="s">
        <v>17548</v>
      </c>
      <c r="AQ892" t="s">
        <v>74</v>
      </c>
      <c r="AR892" t="s">
        <v>17549</v>
      </c>
      <c r="AS892" t="s">
        <v>17550</v>
      </c>
      <c r="AT892" t="s">
        <v>17551</v>
      </c>
      <c r="AU892">
        <v>2024</v>
      </c>
      <c r="AV892">
        <v>17</v>
      </c>
      <c r="AW892">
        <v>1</v>
      </c>
      <c r="AX892" t="s">
        <v>74</v>
      </c>
      <c r="AY892" t="s">
        <v>74</v>
      </c>
      <c r="AZ892" t="s">
        <v>74</v>
      </c>
      <c r="BA892" t="s">
        <v>74</v>
      </c>
      <c r="BB892" t="s">
        <v>74</v>
      </c>
      <c r="BC892" t="s">
        <v>74</v>
      </c>
      <c r="BD892">
        <v>215</v>
      </c>
      <c r="BE892" t="s">
        <v>17552</v>
      </c>
      <c r="BF892" t="str">
        <f>HYPERLINK("http://dx.doi.org/10.1007/s44196-024-00623-4","http://dx.doi.org/10.1007/s44196-024-00623-4")</f>
        <v>http://dx.doi.org/10.1007/s44196-024-00623-4</v>
      </c>
      <c r="BG892" t="s">
        <v>74</v>
      </c>
      <c r="BH892" t="s">
        <v>74</v>
      </c>
      <c r="BI892">
        <v>16</v>
      </c>
      <c r="BJ892" t="s">
        <v>2837</v>
      </c>
      <c r="BK892" t="s">
        <v>902</v>
      </c>
      <c r="BL892" t="s">
        <v>103</v>
      </c>
      <c r="BM892" t="s">
        <v>17553</v>
      </c>
      <c r="BN892" t="s">
        <v>74</v>
      </c>
      <c r="BO892" t="s">
        <v>398</v>
      </c>
      <c r="BP892" t="s">
        <v>74</v>
      </c>
      <c r="BQ892" t="s">
        <v>74</v>
      </c>
      <c r="BR892" t="s">
        <v>106</v>
      </c>
      <c r="BS892" t="s">
        <v>17554</v>
      </c>
      <c r="BT892" t="str">
        <f>HYPERLINK("https%3A%2F%2Fwww.webofscience.com%2Fwos%2Fwoscc%2Ffull-record%2FWOS:001290718200004","View Full Record in Web of Science")</f>
        <v>View Full Record in Web of Science</v>
      </c>
    </row>
    <row r="893" spans="1:72" x14ac:dyDescent="0.25">
      <c r="A893" t="s">
        <v>108</v>
      </c>
      <c r="B893" t="s">
        <v>17555</v>
      </c>
      <c r="C893" t="s">
        <v>74</v>
      </c>
      <c r="D893" t="s">
        <v>74</v>
      </c>
      <c r="E893" t="s">
        <v>322</v>
      </c>
      <c r="F893" t="s">
        <v>17556</v>
      </c>
      <c r="G893" t="s">
        <v>74</v>
      </c>
      <c r="H893" t="s">
        <v>74</v>
      </c>
      <c r="I893" t="s">
        <v>17557</v>
      </c>
      <c r="J893" t="s">
        <v>17558</v>
      </c>
      <c r="K893" t="s">
        <v>74</v>
      </c>
      <c r="L893" t="s">
        <v>74</v>
      </c>
      <c r="M893" t="s">
        <v>78</v>
      </c>
      <c r="N893" t="s">
        <v>115</v>
      </c>
      <c r="O893" t="s">
        <v>17559</v>
      </c>
      <c r="P893" t="s">
        <v>17560</v>
      </c>
      <c r="Q893" t="s">
        <v>17561</v>
      </c>
      <c r="R893" t="s">
        <v>17562</v>
      </c>
      <c r="S893" t="s">
        <v>74</v>
      </c>
      <c r="T893" t="s">
        <v>17563</v>
      </c>
      <c r="U893" t="s">
        <v>74</v>
      </c>
      <c r="V893" t="s">
        <v>17564</v>
      </c>
      <c r="W893" t="s">
        <v>17565</v>
      </c>
      <c r="X893" t="s">
        <v>17566</v>
      </c>
      <c r="Y893" t="s">
        <v>17567</v>
      </c>
      <c r="Z893" t="s">
        <v>17568</v>
      </c>
      <c r="AA893" t="s">
        <v>74</v>
      </c>
      <c r="AB893" t="s">
        <v>74</v>
      </c>
      <c r="AC893" t="s">
        <v>74</v>
      </c>
      <c r="AD893" t="s">
        <v>74</v>
      </c>
      <c r="AE893" t="s">
        <v>74</v>
      </c>
      <c r="AF893" t="s">
        <v>74</v>
      </c>
      <c r="AG893">
        <v>26</v>
      </c>
      <c r="AH893">
        <v>1</v>
      </c>
      <c r="AI893">
        <v>1</v>
      </c>
      <c r="AJ893">
        <v>0</v>
      </c>
      <c r="AK893">
        <v>3</v>
      </c>
      <c r="AL893" t="s">
        <v>291</v>
      </c>
      <c r="AM893" t="s">
        <v>92</v>
      </c>
      <c r="AN893" t="s">
        <v>341</v>
      </c>
      <c r="AO893" t="s">
        <v>74</v>
      </c>
      <c r="AP893" t="s">
        <v>74</v>
      </c>
      <c r="AQ893" t="s">
        <v>17569</v>
      </c>
      <c r="AR893" t="s">
        <v>74</v>
      </c>
      <c r="AS893" t="s">
        <v>74</v>
      </c>
      <c r="AT893" t="s">
        <v>74</v>
      </c>
      <c r="AU893">
        <v>2018</v>
      </c>
      <c r="AV893" t="s">
        <v>74</v>
      </c>
      <c r="AW893" t="s">
        <v>74</v>
      </c>
      <c r="AX893" t="s">
        <v>74</v>
      </c>
      <c r="AY893" t="s">
        <v>74</v>
      </c>
      <c r="AZ893" t="s">
        <v>74</v>
      </c>
      <c r="BA893" t="s">
        <v>74</v>
      </c>
      <c r="BB893" t="s">
        <v>74</v>
      </c>
      <c r="BC893" t="s">
        <v>74</v>
      </c>
      <c r="BD893" t="s">
        <v>74</v>
      </c>
      <c r="BE893" t="s">
        <v>17570</v>
      </c>
      <c r="BF893" t="str">
        <f>HYPERLINK("http://dx.doi.org/10.1145/3286606.3286802","http://dx.doi.org/10.1145/3286606.3286802")</f>
        <v>http://dx.doi.org/10.1145/3286606.3286802</v>
      </c>
      <c r="BG893" t="s">
        <v>74</v>
      </c>
      <c r="BH893" t="s">
        <v>74</v>
      </c>
      <c r="BI893">
        <v>12</v>
      </c>
      <c r="BJ893" t="s">
        <v>2268</v>
      </c>
      <c r="BK893" t="s">
        <v>203</v>
      </c>
      <c r="BL893" t="s">
        <v>2269</v>
      </c>
      <c r="BM893" t="s">
        <v>17571</v>
      </c>
      <c r="BN893" t="s">
        <v>74</v>
      </c>
      <c r="BO893" t="s">
        <v>74</v>
      </c>
      <c r="BP893" t="s">
        <v>74</v>
      </c>
      <c r="BQ893" t="s">
        <v>74</v>
      </c>
      <c r="BR893" t="s">
        <v>106</v>
      </c>
      <c r="BS893" t="s">
        <v>17572</v>
      </c>
      <c r="BT893" t="str">
        <f>HYPERLINK("https%3A%2F%2Fwww.webofscience.com%2Fwos%2Fwoscc%2Ffull-record%2FWOS:000461320600025","View Full Record in Web of Science")</f>
        <v>View Full Record in Web of Science</v>
      </c>
    </row>
    <row r="894" spans="1:72" x14ac:dyDescent="0.25">
      <c r="A894" t="s">
        <v>72</v>
      </c>
      <c r="B894" t="s">
        <v>17573</v>
      </c>
      <c r="C894" t="s">
        <v>74</v>
      </c>
      <c r="D894" t="s">
        <v>74</v>
      </c>
      <c r="E894" t="s">
        <v>74</v>
      </c>
      <c r="F894" t="s">
        <v>17574</v>
      </c>
      <c r="G894" t="s">
        <v>74</v>
      </c>
      <c r="H894" t="s">
        <v>74</v>
      </c>
      <c r="I894" t="s">
        <v>17575</v>
      </c>
      <c r="J894" t="s">
        <v>5225</v>
      </c>
      <c r="K894" t="s">
        <v>74</v>
      </c>
      <c r="L894" t="s">
        <v>74</v>
      </c>
      <c r="M894" t="s">
        <v>78</v>
      </c>
      <c r="N894" t="s">
        <v>79</v>
      </c>
      <c r="O894" t="s">
        <v>74</v>
      </c>
      <c r="P894" t="s">
        <v>74</v>
      </c>
      <c r="Q894" t="s">
        <v>74</v>
      </c>
      <c r="R894" t="s">
        <v>74</v>
      </c>
      <c r="S894" t="s">
        <v>74</v>
      </c>
      <c r="T894" t="s">
        <v>17576</v>
      </c>
      <c r="U894" t="s">
        <v>17577</v>
      </c>
      <c r="V894" t="s">
        <v>17578</v>
      </c>
      <c r="W894" t="s">
        <v>17579</v>
      </c>
      <c r="X894" t="s">
        <v>17580</v>
      </c>
      <c r="Y894" t="s">
        <v>17581</v>
      </c>
      <c r="Z894" t="s">
        <v>17582</v>
      </c>
      <c r="AA894" t="s">
        <v>17583</v>
      </c>
      <c r="AB894" t="s">
        <v>17584</v>
      </c>
      <c r="AC894" t="s">
        <v>17585</v>
      </c>
      <c r="AD894" t="s">
        <v>17586</v>
      </c>
      <c r="AE894" t="s">
        <v>17587</v>
      </c>
      <c r="AF894" t="s">
        <v>74</v>
      </c>
      <c r="AG894">
        <v>43</v>
      </c>
      <c r="AH894">
        <v>62</v>
      </c>
      <c r="AI894">
        <v>67</v>
      </c>
      <c r="AJ894">
        <v>4</v>
      </c>
      <c r="AK894">
        <v>64</v>
      </c>
      <c r="AL894" t="s">
        <v>736</v>
      </c>
      <c r="AM894" t="s">
        <v>737</v>
      </c>
      <c r="AN894" t="s">
        <v>738</v>
      </c>
      <c r="AO894" t="s">
        <v>5232</v>
      </c>
      <c r="AP894" t="s">
        <v>5233</v>
      </c>
      <c r="AQ894" t="s">
        <v>74</v>
      </c>
      <c r="AR894" t="s">
        <v>5234</v>
      </c>
      <c r="AS894" t="s">
        <v>5235</v>
      </c>
      <c r="AT894" t="s">
        <v>17588</v>
      </c>
      <c r="AU894">
        <v>2020</v>
      </c>
      <c r="AV894">
        <v>144</v>
      </c>
      <c r="AW894" t="s">
        <v>74</v>
      </c>
      <c r="AX894" t="s">
        <v>74</v>
      </c>
      <c r="AY894" t="s">
        <v>74</v>
      </c>
      <c r="AZ894" t="s">
        <v>74</v>
      </c>
      <c r="BA894" t="s">
        <v>74</v>
      </c>
      <c r="BB894" t="s">
        <v>74</v>
      </c>
      <c r="BC894" t="s">
        <v>74</v>
      </c>
      <c r="BD894">
        <v>113070</v>
      </c>
      <c r="BE894" t="s">
        <v>17589</v>
      </c>
      <c r="BF894" t="str">
        <f>HYPERLINK("http://dx.doi.org/10.1016/j.eswa.2019.113070","http://dx.doi.org/10.1016/j.eswa.2019.113070")</f>
        <v>http://dx.doi.org/10.1016/j.eswa.2019.113070</v>
      </c>
      <c r="BG894" t="s">
        <v>74</v>
      </c>
      <c r="BH894" t="s">
        <v>74</v>
      </c>
      <c r="BI894">
        <v>11</v>
      </c>
      <c r="BJ894" t="s">
        <v>5237</v>
      </c>
      <c r="BK894" t="s">
        <v>745</v>
      </c>
      <c r="BL894" t="s">
        <v>5238</v>
      </c>
      <c r="BM894" t="s">
        <v>17590</v>
      </c>
      <c r="BN894" t="s">
        <v>74</v>
      </c>
      <c r="BO894" t="s">
        <v>74</v>
      </c>
      <c r="BP894" t="s">
        <v>74</v>
      </c>
      <c r="BQ894" t="s">
        <v>74</v>
      </c>
      <c r="BR894" t="s">
        <v>106</v>
      </c>
      <c r="BS894" t="s">
        <v>17591</v>
      </c>
      <c r="BT894" t="str">
        <f>HYPERLINK("https%3A%2F%2Fwww.webofscience.com%2Fwos%2Fwoscc%2Ffull-record%2FWOS:000514218700006","View Full Record in Web of Science")</f>
        <v>View Full Record in Web of Science</v>
      </c>
    </row>
    <row r="895" spans="1:72" x14ac:dyDescent="0.25">
      <c r="A895" t="s">
        <v>108</v>
      </c>
      <c r="B895" t="s">
        <v>17592</v>
      </c>
      <c r="C895" t="s">
        <v>74</v>
      </c>
      <c r="D895" t="s">
        <v>17593</v>
      </c>
      <c r="E895" t="s">
        <v>74</v>
      </c>
      <c r="F895" t="s">
        <v>17594</v>
      </c>
      <c r="G895" t="s">
        <v>74</v>
      </c>
      <c r="H895" t="s">
        <v>74</v>
      </c>
      <c r="I895" t="s">
        <v>17595</v>
      </c>
      <c r="J895" t="s">
        <v>17596</v>
      </c>
      <c r="K895" t="s">
        <v>17597</v>
      </c>
      <c r="L895" t="s">
        <v>74</v>
      </c>
      <c r="M895" t="s">
        <v>78</v>
      </c>
      <c r="N895" t="s">
        <v>115</v>
      </c>
      <c r="O895" t="s">
        <v>17598</v>
      </c>
      <c r="P895" t="s">
        <v>17599</v>
      </c>
      <c r="Q895" t="s">
        <v>17600</v>
      </c>
      <c r="R895" t="s">
        <v>17601</v>
      </c>
      <c r="S895" t="s">
        <v>17602</v>
      </c>
      <c r="T895" t="s">
        <v>17603</v>
      </c>
      <c r="U895" t="s">
        <v>74</v>
      </c>
      <c r="V895" t="s">
        <v>17604</v>
      </c>
      <c r="W895" t="s">
        <v>17605</v>
      </c>
      <c r="X895" t="s">
        <v>14055</v>
      </c>
      <c r="Y895" t="s">
        <v>17606</v>
      </c>
      <c r="Z895" t="s">
        <v>74</v>
      </c>
      <c r="AA895" t="s">
        <v>17607</v>
      </c>
      <c r="AB895" t="s">
        <v>17608</v>
      </c>
      <c r="AC895" t="s">
        <v>74</v>
      </c>
      <c r="AD895" t="s">
        <v>74</v>
      </c>
      <c r="AE895" t="s">
        <v>74</v>
      </c>
      <c r="AF895" t="s">
        <v>74</v>
      </c>
      <c r="AG895">
        <v>12</v>
      </c>
      <c r="AH895">
        <v>0</v>
      </c>
      <c r="AI895">
        <v>0</v>
      </c>
      <c r="AJ895">
        <v>0</v>
      </c>
      <c r="AK895">
        <v>0</v>
      </c>
      <c r="AL895" t="s">
        <v>465</v>
      </c>
      <c r="AM895" t="s">
        <v>92</v>
      </c>
      <c r="AN895" t="s">
        <v>480</v>
      </c>
      <c r="AO895" t="s">
        <v>17609</v>
      </c>
      <c r="AP895" t="s">
        <v>74</v>
      </c>
      <c r="AQ895" t="s">
        <v>17610</v>
      </c>
      <c r="AR895" t="s">
        <v>17611</v>
      </c>
      <c r="AS895" t="s">
        <v>74</v>
      </c>
      <c r="AT895" t="s">
        <v>74</v>
      </c>
      <c r="AU895">
        <v>2014</v>
      </c>
      <c r="AV895" t="s">
        <v>74</v>
      </c>
      <c r="AW895" t="s">
        <v>74</v>
      </c>
      <c r="AX895" t="s">
        <v>74</v>
      </c>
      <c r="AY895" t="s">
        <v>74</v>
      </c>
      <c r="AZ895" t="s">
        <v>74</v>
      </c>
      <c r="BA895" t="s">
        <v>74</v>
      </c>
      <c r="BB895">
        <v>555</v>
      </c>
      <c r="BC895">
        <v>560</v>
      </c>
      <c r="BD895" t="s">
        <v>74</v>
      </c>
      <c r="BE895" t="s">
        <v>74</v>
      </c>
      <c r="BF895" t="s">
        <v>74</v>
      </c>
      <c r="BG895" t="s">
        <v>74</v>
      </c>
      <c r="BH895" t="s">
        <v>74</v>
      </c>
      <c r="BI895">
        <v>6</v>
      </c>
      <c r="BJ895" t="s">
        <v>972</v>
      </c>
      <c r="BK895" t="s">
        <v>203</v>
      </c>
      <c r="BL895" t="s">
        <v>953</v>
      </c>
      <c r="BM895" t="s">
        <v>17612</v>
      </c>
      <c r="BN895" t="s">
        <v>74</v>
      </c>
      <c r="BO895" t="s">
        <v>74</v>
      </c>
      <c r="BP895" t="s">
        <v>74</v>
      </c>
      <c r="BQ895" t="s">
        <v>74</v>
      </c>
      <c r="BR895" t="s">
        <v>106</v>
      </c>
      <c r="BS895" t="s">
        <v>17613</v>
      </c>
      <c r="BT895" t="str">
        <f>HYPERLINK("https%3A%2F%2Fwww.webofscience.com%2Fwos%2Fwoscc%2Ffull-record%2FWOS:000349866100101","View Full Record in Web of Science")</f>
        <v>View Full Record in Web of Science</v>
      </c>
    </row>
    <row r="896" spans="1:72" x14ac:dyDescent="0.25">
      <c r="A896" t="s">
        <v>2400</v>
      </c>
      <c r="B896" t="s">
        <v>17614</v>
      </c>
      <c r="C896" t="s">
        <v>74</v>
      </c>
      <c r="D896" t="s">
        <v>17615</v>
      </c>
      <c r="E896" t="s">
        <v>74</v>
      </c>
      <c r="F896" t="s">
        <v>17614</v>
      </c>
      <c r="G896" t="s">
        <v>74</v>
      </c>
      <c r="H896" t="s">
        <v>74</v>
      </c>
      <c r="I896" t="s">
        <v>17616</v>
      </c>
      <c r="J896" t="s">
        <v>17617</v>
      </c>
      <c r="K896" t="s">
        <v>147</v>
      </c>
      <c r="L896" t="s">
        <v>74</v>
      </c>
      <c r="M896" t="s">
        <v>78</v>
      </c>
      <c r="N896" t="s">
        <v>7584</v>
      </c>
      <c r="O896" t="s">
        <v>17618</v>
      </c>
      <c r="P896" t="s">
        <v>17619</v>
      </c>
      <c r="Q896" t="s">
        <v>10055</v>
      </c>
      <c r="R896" t="s">
        <v>17620</v>
      </c>
      <c r="S896" t="s">
        <v>74</v>
      </c>
      <c r="T896" t="s">
        <v>74</v>
      </c>
      <c r="U896" t="s">
        <v>74</v>
      </c>
      <c r="V896" t="s">
        <v>17621</v>
      </c>
      <c r="W896" t="s">
        <v>17622</v>
      </c>
      <c r="X896" t="s">
        <v>10288</v>
      </c>
      <c r="Y896" t="s">
        <v>17623</v>
      </c>
      <c r="Z896" t="s">
        <v>17624</v>
      </c>
      <c r="AA896" t="s">
        <v>17625</v>
      </c>
      <c r="AB896" t="s">
        <v>17626</v>
      </c>
      <c r="AC896" t="s">
        <v>74</v>
      </c>
      <c r="AD896" t="s">
        <v>74</v>
      </c>
      <c r="AE896" t="s">
        <v>74</v>
      </c>
      <c r="AF896" t="s">
        <v>74</v>
      </c>
      <c r="AG896">
        <v>11</v>
      </c>
      <c r="AH896">
        <v>2</v>
      </c>
      <c r="AI896">
        <v>2</v>
      </c>
      <c r="AJ896">
        <v>0</v>
      </c>
      <c r="AK896">
        <v>0</v>
      </c>
      <c r="AL896" t="s">
        <v>197</v>
      </c>
      <c r="AM896" t="s">
        <v>198</v>
      </c>
      <c r="AN896" t="s">
        <v>199</v>
      </c>
      <c r="AO896" t="s">
        <v>159</v>
      </c>
      <c r="AP896" t="s">
        <v>133</v>
      </c>
      <c r="AQ896" t="s">
        <v>17627</v>
      </c>
      <c r="AR896" t="s">
        <v>161</v>
      </c>
      <c r="AS896" t="s">
        <v>74</v>
      </c>
      <c r="AT896" t="s">
        <v>74</v>
      </c>
      <c r="AU896">
        <v>2004</v>
      </c>
      <c r="AV896">
        <v>3038</v>
      </c>
      <c r="AW896" t="s">
        <v>74</v>
      </c>
      <c r="AX896" t="s">
        <v>74</v>
      </c>
      <c r="AY896" t="s">
        <v>74</v>
      </c>
      <c r="AZ896" t="s">
        <v>74</v>
      </c>
      <c r="BA896" t="s">
        <v>74</v>
      </c>
      <c r="BB896">
        <v>513</v>
      </c>
      <c r="BC896">
        <v>520</v>
      </c>
      <c r="BD896" t="s">
        <v>74</v>
      </c>
      <c r="BE896" t="s">
        <v>74</v>
      </c>
      <c r="BF896" t="s">
        <v>74</v>
      </c>
      <c r="BG896" t="s">
        <v>74</v>
      </c>
      <c r="BH896" t="s">
        <v>74</v>
      </c>
      <c r="BI896">
        <v>8</v>
      </c>
      <c r="BJ896" t="s">
        <v>17628</v>
      </c>
      <c r="BK896" t="s">
        <v>12228</v>
      </c>
      <c r="BL896" t="s">
        <v>2422</v>
      </c>
      <c r="BM896" t="s">
        <v>17629</v>
      </c>
      <c r="BN896" t="s">
        <v>74</v>
      </c>
      <c r="BO896" t="s">
        <v>74</v>
      </c>
      <c r="BP896" t="s">
        <v>74</v>
      </c>
      <c r="BQ896" t="s">
        <v>74</v>
      </c>
      <c r="BR896" t="s">
        <v>106</v>
      </c>
      <c r="BS896" t="s">
        <v>17630</v>
      </c>
      <c r="BT896" t="str">
        <f>HYPERLINK("https%3A%2F%2Fwww.webofscience.com%2Fwos%2Fwoscc%2Ffull-record%2FWOS:000222048900067","View Full Record in Web of Science")</f>
        <v>View Full Record in Web of Science</v>
      </c>
    </row>
    <row r="897" spans="1:72" x14ac:dyDescent="0.25">
      <c r="A897" t="s">
        <v>108</v>
      </c>
      <c r="B897" t="s">
        <v>17631</v>
      </c>
      <c r="C897" t="s">
        <v>74</v>
      </c>
      <c r="D897" t="s">
        <v>74</v>
      </c>
      <c r="E897" t="s">
        <v>322</v>
      </c>
      <c r="F897" t="s">
        <v>17632</v>
      </c>
      <c r="G897" t="s">
        <v>74</v>
      </c>
      <c r="H897" t="s">
        <v>74</v>
      </c>
      <c r="I897" t="s">
        <v>17633</v>
      </c>
      <c r="J897" t="s">
        <v>17634</v>
      </c>
      <c r="K897" t="s">
        <v>74</v>
      </c>
      <c r="L897" t="s">
        <v>74</v>
      </c>
      <c r="M897" t="s">
        <v>78</v>
      </c>
      <c r="N897" t="s">
        <v>115</v>
      </c>
      <c r="O897" t="s">
        <v>7236</v>
      </c>
      <c r="P897" t="s">
        <v>7237</v>
      </c>
      <c r="Q897" t="s">
        <v>4669</v>
      </c>
      <c r="R897" t="s">
        <v>7238</v>
      </c>
      <c r="S897" t="s">
        <v>74</v>
      </c>
      <c r="T897" t="s">
        <v>17635</v>
      </c>
      <c r="U897" t="s">
        <v>74</v>
      </c>
      <c r="V897" t="s">
        <v>17636</v>
      </c>
      <c r="W897" t="s">
        <v>17637</v>
      </c>
      <c r="X897" t="s">
        <v>17638</v>
      </c>
      <c r="Y897" t="s">
        <v>17639</v>
      </c>
      <c r="Z897" t="s">
        <v>17640</v>
      </c>
      <c r="AA897" t="s">
        <v>17641</v>
      </c>
      <c r="AB897" t="s">
        <v>17642</v>
      </c>
      <c r="AC897" t="s">
        <v>74</v>
      </c>
      <c r="AD897" t="s">
        <v>74</v>
      </c>
      <c r="AE897" t="s">
        <v>74</v>
      </c>
      <c r="AF897" t="s">
        <v>74</v>
      </c>
      <c r="AG897">
        <v>40</v>
      </c>
      <c r="AH897">
        <v>100</v>
      </c>
      <c r="AI897">
        <v>108</v>
      </c>
      <c r="AJ897">
        <v>2</v>
      </c>
      <c r="AK897">
        <v>57</v>
      </c>
      <c r="AL897" t="s">
        <v>291</v>
      </c>
      <c r="AM897" t="s">
        <v>92</v>
      </c>
      <c r="AN897" t="s">
        <v>341</v>
      </c>
      <c r="AO897" t="s">
        <v>74</v>
      </c>
      <c r="AP897" t="s">
        <v>74</v>
      </c>
      <c r="AQ897" t="s">
        <v>17643</v>
      </c>
      <c r="AR897" t="s">
        <v>74</v>
      </c>
      <c r="AS897" t="s">
        <v>74</v>
      </c>
      <c r="AT897" t="s">
        <v>74</v>
      </c>
      <c r="AU897">
        <v>2022</v>
      </c>
      <c r="AV897" t="s">
        <v>74</v>
      </c>
      <c r="AW897" t="s">
        <v>74</v>
      </c>
      <c r="AX897" t="s">
        <v>74</v>
      </c>
      <c r="AY897" t="s">
        <v>74</v>
      </c>
      <c r="AZ897" t="s">
        <v>74</v>
      </c>
      <c r="BA897" t="s">
        <v>74</v>
      </c>
      <c r="BB897">
        <v>2098</v>
      </c>
      <c r="BC897">
        <v>2108</v>
      </c>
      <c r="BD897" t="s">
        <v>74</v>
      </c>
      <c r="BE897" t="s">
        <v>17644</v>
      </c>
      <c r="BF897" t="str">
        <f>HYPERLINK("http://dx.doi.org/10.1145/3485447.3512083","http://dx.doi.org/10.1145/3485447.3512083")</f>
        <v>http://dx.doi.org/10.1145/3485447.3512083</v>
      </c>
      <c r="BG897" t="s">
        <v>74</v>
      </c>
      <c r="BH897" t="s">
        <v>74</v>
      </c>
      <c r="BI897">
        <v>11</v>
      </c>
      <c r="BJ897" t="s">
        <v>5588</v>
      </c>
      <c r="BK897" t="s">
        <v>203</v>
      </c>
      <c r="BL897" t="s">
        <v>103</v>
      </c>
      <c r="BM897" t="s">
        <v>17645</v>
      </c>
      <c r="BN897" t="s">
        <v>74</v>
      </c>
      <c r="BO897" t="s">
        <v>74</v>
      </c>
      <c r="BP897" t="s">
        <v>74</v>
      </c>
      <c r="BQ897" t="s">
        <v>74</v>
      </c>
      <c r="BR897" t="s">
        <v>106</v>
      </c>
      <c r="BS897" t="s">
        <v>17646</v>
      </c>
      <c r="BT897" t="str">
        <f>HYPERLINK("https%3A%2F%2Fwww.webofscience.com%2Fwos%2Fwoscc%2Ffull-record%2FWOS:000852713002017","View Full Record in Web of Science")</f>
        <v>View Full Record in Web of Science</v>
      </c>
    </row>
    <row r="898" spans="1:72" x14ac:dyDescent="0.25">
      <c r="A898" t="s">
        <v>72</v>
      </c>
      <c r="B898" t="s">
        <v>17647</v>
      </c>
      <c r="C898" t="s">
        <v>74</v>
      </c>
      <c r="D898" t="s">
        <v>74</v>
      </c>
      <c r="E898" t="s">
        <v>74</v>
      </c>
      <c r="F898" t="s">
        <v>17648</v>
      </c>
      <c r="G898" t="s">
        <v>74</v>
      </c>
      <c r="H898" t="s">
        <v>74</v>
      </c>
      <c r="I898" t="s">
        <v>17649</v>
      </c>
      <c r="J898" t="s">
        <v>882</v>
      </c>
      <c r="K898" t="s">
        <v>74</v>
      </c>
      <c r="L898" t="s">
        <v>74</v>
      </c>
      <c r="M898" t="s">
        <v>78</v>
      </c>
      <c r="N898" t="s">
        <v>79</v>
      </c>
      <c r="O898" t="s">
        <v>74</v>
      </c>
      <c r="P898" t="s">
        <v>74</v>
      </c>
      <c r="Q898" t="s">
        <v>74</v>
      </c>
      <c r="R898" t="s">
        <v>74</v>
      </c>
      <c r="S898" t="s">
        <v>74</v>
      </c>
      <c r="T898" t="s">
        <v>17650</v>
      </c>
      <c r="U898" t="s">
        <v>74</v>
      </c>
      <c r="V898" t="s">
        <v>17651</v>
      </c>
      <c r="W898" t="s">
        <v>17652</v>
      </c>
      <c r="X898" t="s">
        <v>11098</v>
      </c>
      <c r="Y898" t="s">
        <v>17653</v>
      </c>
      <c r="Z898" t="s">
        <v>17654</v>
      </c>
      <c r="AA898" t="s">
        <v>74</v>
      </c>
      <c r="AB898" t="s">
        <v>17655</v>
      </c>
      <c r="AC898" t="s">
        <v>74</v>
      </c>
      <c r="AD898" t="s">
        <v>74</v>
      </c>
      <c r="AE898" t="s">
        <v>74</v>
      </c>
      <c r="AF898" t="s">
        <v>74</v>
      </c>
      <c r="AG898">
        <v>28</v>
      </c>
      <c r="AH898">
        <v>3</v>
      </c>
      <c r="AI898">
        <v>6</v>
      </c>
      <c r="AJ898">
        <v>7</v>
      </c>
      <c r="AK898">
        <v>61</v>
      </c>
      <c r="AL898" t="s">
        <v>895</v>
      </c>
      <c r="AM898" t="s">
        <v>896</v>
      </c>
      <c r="AN898" t="s">
        <v>897</v>
      </c>
      <c r="AO898" t="s">
        <v>898</v>
      </c>
      <c r="AP898" t="s">
        <v>74</v>
      </c>
      <c r="AQ898" t="s">
        <v>74</v>
      </c>
      <c r="AR898" t="s">
        <v>882</v>
      </c>
      <c r="AS898" t="s">
        <v>899</v>
      </c>
      <c r="AT898" t="s">
        <v>74</v>
      </c>
      <c r="AU898">
        <v>2023</v>
      </c>
      <c r="AV898">
        <v>11</v>
      </c>
      <c r="AW898" t="s">
        <v>74</v>
      </c>
      <c r="AX898" t="s">
        <v>74</v>
      </c>
      <c r="AY898" t="s">
        <v>74</v>
      </c>
      <c r="AZ898" t="s">
        <v>74</v>
      </c>
      <c r="BA898" t="s">
        <v>74</v>
      </c>
      <c r="BB898">
        <v>134118</v>
      </c>
      <c r="BC898">
        <v>134125</v>
      </c>
      <c r="BD898" t="s">
        <v>74</v>
      </c>
      <c r="BE898" t="s">
        <v>17656</v>
      </c>
      <c r="BF898" t="str">
        <f>HYPERLINK("http://dx.doi.org/10.1109/ACCESS.2023.3336419","http://dx.doi.org/10.1109/ACCESS.2023.3336419")</f>
        <v>http://dx.doi.org/10.1109/ACCESS.2023.3336419</v>
      </c>
      <c r="BG898" t="s">
        <v>74</v>
      </c>
      <c r="BH898" t="s">
        <v>74</v>
      </c>
      <c r="BI898">
        <v>8</v>
      </c>
      <c r="BJ898" t="s">
        <v>901</v>
      </c>
      <c r="BK898" t="s">
        <v>902</v>
      </c>
      <c r="BL898" t="s">
        <v>903</v>
      </c>
      <c r="BM898" t="s">
        <v>17657</v>
      </c>
      <c r="BN898" t="s">
        <v>74</v>
      </c>
      <c r="BO898" t="s">
        <v>398</v>
      </c>
      <c r="BP898" t="s">
        <v>74</v>
      </c>
      <c r="BQ898" t="s">
        <v>74</v>
      </c>
      <c r="BR898" t="s">
        <v>106</v>
      </c>
      <c r="BS898" t="s">
        <v>17658</v>
      </c>
      <c r="BT898" t="str">
        <f>HYPERLINK("https%3A%2F%2Fwww.webofscience.com%2Fwos%2Fwoscc%2Ffull-record%2FWOS:001112743700001","View Full Record in Web of Science")</f>
        <v>View Full Record in Web of Science</v>
      </c>
    </row>
    <row r="899" spans="1:72" x14ac:dyDescent="0.25">
      <c r="A899" t="s">
        <v>72</v>
      </c>
      <c r="B899" t="s">
        <v>17659</v>
      </c>
      <c r="C899" t="s">
        <v>74</v>
      </c>
      <c r="D899" t="s">
        <v>74</v>
      </c>
      <c r="E899" t="s">
        <v>74</v>
      </c>
      <c r="F899" t="s">
        <v>17660</v>
      </c>
      <c r="G899" t="s">
        <v>74</v>
      </c>
      <c r="H899" t="s">
        <v>74</v>
      </c>
      <c r="I899" t="s">
        <v>17661</v>
      </c>
      <c r="J899" t="s">
        <v>17662</v>
      </c>
      <c r="K899" t="s">
        <v>74</v>
      </c>
      <c r="L899" t="s">
        <v>74</v>
      </c>
      <c r="M899" t="s">
        <v>78</v>
      </c>
      <c r="N899" t="s">
        <v>79</v>
      </c>
      <c r="O899" t="s">
        <v>74</v>
      </c>
      <c r="P899" t="s">
        <v>74</v>
      </c>
      <c r="Q899" t="s">
        <v>74</v>
      </c>
      <c r="R899" t="s">
        <v>74</v>
      </c>
      <c r="S899" t="s">
        <v>74</v>
      </c>
      <c r="T899" t="s">
        <v>17663</v>
      </c>
      <c r="U899" t="s">
        <v>17664</v>
      </c>
      <c r="V899" t="s">
        <v>17665</v>
      </c>
      <c r="W899" t="s">
        <v>17666</v>
      </c>
      <c r="X899" t="s">
        <v>17667</v>
      </c>
      <c r="Y899" t="s">
        <v>17668</v>
      </c>
      <c r="Z899" t="s">
        <v>17669</v>
      </c>
      <c r="AA899" t="s">
        <v>17670</v>
      </c>
      <c r="AB899" t="s">
        <v>17671</v>
      </c>
      <c r="AC899" t="s">
        <v>17672</v>
      </c>
      <c r="AD899" t="s">
        <v>17673</v>
      </c>
      <c r="AE899" t="s">
        <v>17674</v>
      </c>
      <c r="AF899" t="s">
        <v>74</v>
      </c>
      <c r="AG899">
        <v>23</v>
      </c>
      <c r="AH899">
        <v>33</v>
      </c>
      <c r="AI899">
        <v>35</v>
      </c>
      <c r="AJ899">
        <v>4</v>
      </c>
      <c r="AK899">
        <v>70</v>
      </c>
      <c r="AL899" t="s">
        <v>1272</v>
      </c>
      <c r="AM899" t="s">
        <v>1273</v>
      </c>
      <c r="AN899" t="s">
        <v>1274</v>
      </c>
      <c r="AO899" t="s">
        <v>74</v>
      </c>
      <c r="AP899" t="s">
        <v>17675</v>
      </c>
      <c r="AQ899" t="s">
        <v>74</v>
      </c>
      <c r="AR899" t="s">
        <v>17676</v>
      </c>
      <c r="AS899" t="s">
        <v>17677</v>
      </c>
      <c r="AT899" t="s">
        <v>1950</v>
      </c>
      <c r="AU899">
        <v>2020</v>
      </c>
      <c r="AV899">
        <v>9</v>
      </c>
      <c r="AW899">
        <v>2</v>
      </c>
      <c r="AX899" t="s">
        <v>74</v>
      </c>
      <c r="AY899" t="s">
        <v>74</v>
      </c>
      <c r="AZ899" t="s">
        <v>74</v>
      </c>
      <c r="BA899" t="s">
        <v>74</v>
      </c>
      <c r="BB899" t="s">
        <v>74</v>
      </c>
      <c r="BC899" t="s">
        <v>74</v>
      </c>
      <c r="BD899">
        <v>124</v>
      </c>
      <c r="BE899" t="s">
        <v>17678</v>
      </c>
      <c r="BF899" t="str">
        <f>HYPERLINK("http://dx.doi.org/10.3390/ijgi9020124","http://dx.doi.org/10.3390/ijgi9020124")</f>
        <v>http://dx.doi.org/10.3390/ijgi9020124</v>
      </c>
      <c r="BG899" t="s">
        <v>74</v>
      </c>
      <c r="BH899" t="s">
        <v>74</v>
      </c>
      <c r="BI899">
        <v>19</v>
      </c>
      <c r="BJ899" t="s">
        <v>17679</v>
      </c>
      <c r="BK899" t="s">
        <v>745</v>
      </c>
      <c r="BL899" t="s">
        <v>17680</v>
      </c>
      <c r="BM899" t="s">
        <v>17681</v>
      </c>
      <c r="BN899" t="s">
        <v>74</v>
      </c>
      <c r="BO899" t="s">
        <v>372</v>
      </c>
      <c r="BP899" t="s">
        <v>74</v>
      </c>
      <c r="BQ899" t="s">
        <v>74</v>
      </c>
      <c r="BR899" t="s">
        <v>106</v>
      </c>
      <c r="BS899" t="s">
        <v>17682</v>
      </c>
      <c r="BT899" t="str">
        <f>HYPERLINK("https%3A%2F%2Fwww.webofscience.com%2Fwos%2Fwoscc%2Ffull-record%2FWOS:000522449700064","View Full Record in Web of Science")</f>
        <v>View Full Record in Web of Science</v>
      </c>
    </row>
    <row r="900" spans="1:72" x14ac:dyDescent="0.25">
      <c r="A900" t="s">
        <v>72</v>
      </c>
      <c r="B900" t="s">
        <v>17683</v>
      </c>
      <c r="C900" t="s">
        <v>74</v>
      </c>
      <c r="D900" t="s">
        <v>74</v>
      </c>
      <c r="E900" t="s">
        <v>74</v>
      </c>
      <c r="F900" t="s">
        <v>17684</v>
      </c>
      <c r="G900" t="s">
        <v>74</v>
      </c>
      <c r="H900" t="s">
        <v>74</v>
      </c>
      <c r="I900" t="s">
        <v>17685</v>
      </c>
      <c r="J900" t="s">
        <v>17686</v>
      </c>
      <c r="K900" t="s">
        <v>74</v>
      </c>
      <c r="L900" t="s">
        <v>74</v>
      </c>
      <c r="M900" t="s">
        <v>78</v>
      </c>
      <c r="N900" t="s">
        <v>79</v>
      </c>
      <c r="O900" t="s">
        <v>74</v>
      </c>
      <c r="P900" t="s">
        <v>74</v>
      </c>
      <c r="Q900" t="s">
        <v>74</v>
      </c>
      <c r="R900" t="s">
        <v>74</v>
      </c>
      <c r="S900" t="s">
        <v>74</v>
      </c>
      <c r="T900" t="s">
        <v>17687</v>
      </c>
      <c r="U900" t="s">
        <v>17688</v>
      </c>
      <c r="V900" t="s">
        <v>17689</v>
      </c>
      <c r="W900" t="s">
        <v>17690</v>
      </c>
      <c r="X900" t="s">
        <v>17691</v>
      </c>
      <c r="Y900" t="s">
        <v>17692</v>
      </c>
      <c r="Z900" t="s">
        <v>17693</v>
      </c>
      <c r="AA900" t="s">
        <v>17694</v>
      </c>
      <c r="AB900" t="s">
        <v>17695</v>
      </c>
      <c r="AC900" t="s">
        <v>74</v>
      </c>
      <c r="AD900" t="s">
        <v>74</v>
      </c>
      <c r="AE900" t="s">
        <v>74</v>
      </c>
      <c r="AF900" t="s">
        <v>74</v>
      </c>
      <c r="AG900">
        <v>17</v>
      </c>
      <c r="AH900">
        <v>0</v>
      </c>
      <c r="AI900">
        <v>0</v>
      </c>
      <c r="AJ900">
        <v>0</v>
      </c>
      <c r="AK900">
        <v>23</v>
      </c>
      <c r="AL900" t="s">
        <v>310</v>
      </c>
      <c r="AM900" t="s">
        <v>311</v>
      </c>
      <c r="AN900" t="s">
        <v>312</v>
      </c>
      <c r="AO900" t="s">
        <v>17696</v>
      </c>
      <c r="AP900" t="s">
        <v>17697</v>
      </c>
      <c r="AQ900" t="s">
        <v>74</v>
      </c>
      <c r="AR900" t="s">
        <v>17698</v>
      </c>
      <c r="AS900" t="s">
        <v>17699</v>
      </c>
      <c r="AT900" t="s">
        <v>610</v>
      </c>
      <c r="AU900">
        <v>2022</v>
      </c>
      <c r="AV900">
        <v>41</v>
      </c>
      <c r="AW900">
        <v>3</v>
      </c>
      <c r="AX900" t="s">
        <v>74</v>
      </c>
      <c r="AY900" t="s">
        <v>74</v>
      </c>
      <c r="AZ900" t="s">
        <v>74</v>
      </c>
      <c r="BA900" t="s">
        <v>74</v>
      </c>
      <c r="BB900">
        <v>272</v>
      </c>
      <c r="BC900">
        <v>285</v>
      </c>
      <c r="BD900" t="s">
        <v>74</v>
      </c>
      <c r="BE900" t="s">
        <v>17700</v>
      </c>
      <c r="BF900" t="str">
        <f>HYPERLINK("http://dx.doi.org/10.1080/02615479.2020.1826920","http://dx.doi.org/10.1080/02615479.2020.1826920")</f>
        <v>http://dx.doi.org/10.1080/02615479.2020.1826920</v>
      </c>
      <c r="BG900" t="s">
        <v>74</v>
      </c>
      <c r="BH900" t="s">
        <v>3234</v>
      </c>
      <c r="BI900">
        <v>14</v>
      </c>
      <c r="BJ900" t="s">
        <v>17701</v>
      </c>
      <c r="BK900" t="s">
        <v>102</v>
      </c>
      <c r="BL900" t="s">
        <v>17701</v>
      </c>
      <c r="BM900" t="s">
        <v>17702</v>
      </c>
      <c r="BN900" t="s">
        <v>74</v>
      </c>
      <c r="BO900" t="s">
        <v>74</v>
      </c>
      <c r="BP900" t="s">
        <v>74</v>
      </c>
      <c r="BQ900" t="s">
        <v>74</v>
      </c>
      <c r="BR900" t="s">
        <v>106</v>
      </c>
      <c r="BS900" t="s">
        <v>17703</v>
      </c>
      <c r="BT900" t="str">
        <f>HYPERLINK("https%3A%2F%2Fwww.webofscience.com%2Fwos%2Fwoscc%2Ffull-record%2FWOS:000574681500001","View Full Record in Web of Science")</f>
        <v>View Full Record in Web of Science</v>
      </c>
    </row>
    <row r="901" spans="1:72" x14ac:dyDescent="0.25">
      <c r="A901" t="s">
        <v>72</v>
      </c>
      <c r="B901" t="s">
        <v>17704</v>
      </c>
      <c r="C901" t="s">
        <v>74</v>
      </c>
      <c r="D901" t="s">
        <v>74</v>
      </c>
      <c r="E901" t="s">
        <v>74</v>
      </c>
      <c r="F901" t="s">
        <v>17705</v>
      </c>
      <c r="G901" t="s">
        <v>74</v>
      </c>
      <c r="H901" t="s">
        <v>74</v>
      </c>
      <c r="I901" t="s">
        <v>17706</v>
      </c>
      <c r="J901" t="s">
        <v>17707</v>
      </c>
      <c r="K901" t="s">
        <v>74</v>
      </c>
      <c r="L901" t="s">
        <v>74</v>
      </c>
      <c r="M901" t="s">
        <v>4034</v>
      </c>
      <c r="N901" t="s">
        <v>79</v>
      </c>
      <c r="O901" t="s">
        <v>74</v>
      </c>
      <c r="P901" t="s">
        <v>74</v>
      </c>
      <c r="Q901" t="s">
        <v>74</v>
      </c>
      <c r="R901" t="s">
        <v>74</v>
      </c>
      <c r="S901" t="s">
        <v>74</v>
      </c>
      <c r="T901" t="s">
        <v>17708</v>
      </c>
      <c r="U901" t="s">
        <v>74</v>
      </c>
      <c r="V901" t="s">
        <v>17709</v>
      </c>
      <c r="W901" t="s">
        <v>17710</v>
      </c>
      <c r="X901" t="s">
        <v>74</v>
      </c>
      <c r="Y901" t="s">
        <v>17711</v>
      </c>
      <c r="Z901" t="s">
        <v>74</v>
      </c>
      <c r="AA901" t="s">
        <v>74</v>
      </c>
      <c r="AB901" t="s">
        <v>74</v>
      </c>
      <c r="AC901" t="s">
        <v>74</v>
      </c>
      <c r="AD901" t="s">
        <v>74</v>
      </c>
      <c r="AE901" t="s">
        <v>74</v>
      </c>
      <c r="AF901" t="s">
        <v>74</v>
      </c>
      <c r="AG901">
        <v>23</v>
      </c>
      <c r="AH901">
        <v>0</v>
      </c>
      <c r="AI901">
        <v>3</v>
      </c>
      <c r="AJ901">
        <v>0</v>
      </c>
      <c r="AK901">
        <v>0</v>
      </c>
      <c r="AL901" t="s">
        <v>17712</v>
      </c>
      <c r="AM901" t="s">
        <v>17713</v>
      </c>
      <c r="AN901" t="s">
        <v>17714</v>
      </c>
      <c r="AO901" t="s">
        <v>17715</v>
      </c>
      <c r="AP901" t="s">
        <v>74</v>
      </c>
      <c r="AQ901" t="s">
        <v>74</v>
      </c>
      <c r="AR901" t="s">
        <v>17716</v>
      </c>
      <c r="AS901" t="s">
        <v>17717</v>
      </c>
      <c r="AT901" t="s">
        <v>12926</v>
      </c>
      <c r="AU901">
        <v>2014</v>
      </c>
      <c r="AV901">
        <v>5</v>
      </c>
      <c r="AW901">
        <v>2</v>
      </c>
      <c r="AX901" t="s">
        <v>74</v>
      </c>
      <c r="AY901" t="s">
        <v>74</v>
      </c>
      <c r="AZ901" t="s">
        <v>74</v>
      </c>
      <c r="BA901" t="s">
        <v>74</v>
      </c>
      <c r="BB901">
        <v>98</v>
      </c>
      <c r="BC901">
        <v>114</v>
      </c>
      <c r="BD901" t="s">
        <v>74</v>
      </c>
      <c r="BE901" t="s">
        <v>74</v>
      </c>
      <c r="BF901" t="s">
        <v>74</v>
      </c>
      <c r="BG901" t="s">
        <v>74</v>
      </c>
      <c r="BH901" t="s">
        <v>74</v>
      </c>
      <c r="BI901">
        <v>17</v>
      </c>
      <c r="BJ901" t="s">
        <v>2611</v>
      </c>
      <c r="BK901" t="s">
        <v>102</v>
      </c>
      <c r="BL901" t="s">
        <v>2612</v>
      </c>
      <c r="BM901" t="s">
        <v>17718</v>
      </c>
      <c r="BN901" t="s">
        <v>74</v>
      </c>
      <c r="BO901" t="s">
        <v>74</v>
      </c>
      <c r="BP901" t="s">
        <v>74</v>
      </c>
      <c r="BQ901" t="s">
        <v>74</v>
      </c>
      <c r="BR901" t="s">
        <v>106</v>
      </c>
      <c r="BS901" t="s">
        <v>17719</v>
      </c>
      <c r="BT901" t="str">
        <f>HYPERLINK("https%3A%2F%2Fwww.webofscience.com%2Fwos%2Fwoscc%2Ffull-record%2FWOS:000216181500007","View Full Record in Web of Science")</f>
        <v>View Full Record in Web of Science</v>
      </c>
    </row>
    <row r="902" spans="1:72" x14ac:dyDescent="0.25">
      <c r="A902" t="s">
        <v>2400</v>
      </c>
      <c r="B902" t="s">
        <v>17720</v>
      </c>
      <c r="C902" t="s">
        <v>74</v>
      </c>
      <c r="D902" t="s">
        <v>17721</v>
      </c>
      <c r="E902" t="s">
        <v>74</v>
      </c>
      <c r="F902" t="s">
        <v>17720</v>
      </c>
      <c r="G902" t="s">
        <v>74</v>
      </c>
      <c r="H902" t="s">
        <v>74</v>
      </c>
      <c r="I902" t="s">
        <v>17722</v>
      </c>
      <c r="J902" t="s">
        <v>17723</v>
      </c>
      <c r="K902" t="s">
        <v>17724</v>
      </c>
      <c r="L902" t="s">
        <v>74</v>
      </c>
      <c r="M902" t="s">
        <v>78</v>
      </c>
      <c r="N902" t="s">
        <v>7584</v>
      </c>
      <c r="O902" t="s">
        <v>17725</v>
      </c>
      <c r="P902" t="s">
        <v>17726</v>
      </c>
      <c r="Q902" t="s">
        <v>17727</v>
      </c>
      <c r="R902" t="s">
        <v>17728</v>
      </c>
      <c r="S902" t="s">
        <v>74</v>
      </c>
      <c r="T902" t="s">
        <v>74</v>
      </c>
      <c r="U902" t="s">
        <v>74</v>
      </c>
      <c r="V902" t="s">
        <v>17729</v>
      </c>
      <c r="W902" t="s">
        <v>17730</v>
      </c>
      <c r="X902" t="s">
        <v>17731</v>
      </c>
      <c r="Y902" t="s">
        <v>17732</v>
      </c>
      <c r="Z902" t="s">
        <v>17733</v>
      </c>
      <c r="AA902" t="s">
        <v>74</v>
      </c>
      <c r="AB902" t="s">
        <v>74</v>
      </c>
      <c r="AC902" t="s">
        <v>74</v>
      </c>
      <c r="AD902" t="s">
        <v>74</v>
      </c>
      <c r="AE902" t="s">
        <v>74</v>
      </c>
      <c r="AF902" t="s">
        <v>74</v>
      </c>
      <c r="AG902">
        <v>12</v>
      </c>
      <c r="AH902">
        <v>2</v>
      </c>
      <c r="AI902">
        <v>2</v>
      </c>
      <c r="AJ902">
        <v>0</v>
      </c>
      <c r="AK902">
        <v>1</v>
      </c>
      <c r="AL902" t="s">
        <v>197</v>
      </c>
      <c r="AM902" t="s">
        <v>198</v>
      </c>
      <c r="AN902" t="s">
        <v>199</v>
      </c>
      <c r="AO902" t="s">
        <v>159</v>
      </c>
      <c r="AP902" t="s">
        <v>74</v>
      </c>
      <c r="AQ902" t="s">
        <v>17734</v>
      </c>
      <c r="AR902" t="s">
        <v>161</v>
      </c>
      <c r="AS902" t="s">
        <v>74</v>
      </c>
      <c r="AT902" t="s">
        <v>74</v>
      </c>
      <c r="AU902">
        <v>2005</v>
      </c>
      <c r="AV902">
        <v>3488</v>
      </c>
      <c r="AW902" t="s">
        <v>74</v>
      </c>
      <c r="AX902" t="s">
        <v>74</v>
      </c>
      <c r="AY902" t="s">
        <v>74</v>
      </c>
      <c r="AZ902" t="s">
        <v>74</v>
      </c>
      <c r="BA902" t="s">
        <v>74</v>
      </c>
      <c r="BB902">
        <v>573</v>
      </c>
      <c r="BC902">
        <v>582</v>
      </c>
      <c r="BD902" t="s">
        <v>74</v>
      </c>
      <c r="BE902" t="s">
        <v>74</v>
      </c>
      <c r="BF902" t="s">
        <v>74</v>
      </c>
      <c r="BG902" t="s">
        <v>74</v>
      </c>
      <c r="BH902" t="s">
        <v>74</v>
      </c>
      <c r="BI902">
        <v>10</v>
      </c>
      <c r="BJ902" t="s">
        <v>202</v>
      </c>
      <c r="BK902" t="s">
        <v>12228</v>
      </c>
      <c r="BL902" t="s">
        <v>103</v>
      </c>
      <c r="BM902" t="s">
        <v>17735</v>
      </c>
      <c r="BN902" t="s">
        <v>74</v>
      </c>
      <c r="BO902" t="s">
        <v>74</v>
      </c>
      <c r="BP902" t="s">
        <v>74</v>
      </c>
      <c r="BQ902" t="s">
        <v>74</v>
      </c>
      <c r="BR902" t="s">
        <v>106</v>
      </c>
      <c r="BS902" t="s">
        <v>17736</v>
      </c>
      <c r="BT902" t="str">
        <f>HYPERLINK("https%3A%2F%2Fwww.webofscience.com%2Fwos%2Fwoscc%2Ffull-record%2FWOS:000229964000059","View Full Record in Web of Science")</f>
        <v>View Full Record in Web of Science</v>
      </c>
    </row>
    <row r="903" spans="1:72" x14ac:dyDescent="0.25">
      <c r="A903" t="s">
        <v>72</v>
      </c>
      <c r="B903" t="s">
        <v>17737</v>
      </c>
      <c r="C903" t="s">
        <v>74</v>
      </c>
      <c r="D903" t="s">
        <v>74</v>
      </c>
      <c r="E903" t="s">
        <v>74</v>
      </c>
      <c r="F903" t="s">
        <v>17738</v>
      </c>
      <c r="G903" t="s">
        <v>74</v>
      </c>
      <c r="H903" t="s">
        <v>74</v>
      </c>
      <c r="I903" t="s">
        <v>17739</v>
      </c>
      <c r="J903" t="s">
        <v>17740</v>
      </c>
      <c r="K903" t="s">
        <v>74</v>
      </c>
      <c r="L903" t="s">
        <v>74</v>
      </c>
      <c r="M903" t="s">
        <v>17741</v>
      </c>
      <c r="N903" t="s">
        <v>79</v>
      </c>
      <c r="O903" t="s">
        <v>74</v>
      </c>
      <c r="P903" t="s">
        <v>74</v>
      </c>
      <c r="Q903" t="s">
        <v>74</v>
      </c>
      <c r="R903" t="s">
        <v>74</v>
      </c>
      <c r="S903" t="s">
        <v>74</v>
      </c>
      <c r="T903" t="s">
        <v>17742</v>
      </c>
      <c r="U903" t="s">
        <v>74</v>
      </c>
      <c r="V903" t="s">
        <v>17743</v>
      </c>
      <c r="W903" t="s">
        <v>17744</v>
      </c>
      <c r="X903" t="s">
        <v>17745</v>
      </c>
      <c r="Y903" t="s">
        <v>17746</v>
      </c>
      <c r="Z903" t="s">
        <v>17747</v>
      </c>
      <c r="AA903" t="s">
        <v>74</v>
      </c>
      <c r="AB903" t="s">
        <v>74</v>
      </c>
      <c r="AC903" t="s">
        <v>17748</v>
      </c>
      <c r="AD903" t="s">
        <v>17749</v>
      </c>
      <c r="AE903" t="s">
        <v>17750</v>
      </c>
      <c r="AF903" t="s">
        <v>74</v>
      </c>
      <c r="AG903">
        <v>22</v>
      </c>
      <c r="AH903">
        <v>1</v>
      </c>
      <c r="AI903">
        <v>2</v>
      </c>
      <c r="AJ903">
        <v>2</v>
      </c>
      <c r="AK903">
        <v>21</v>
      </c>
      <c r="AL903" t="s">
        <v>17751</v>
      </c>
      <c r="AM903" t="s">
        <v>8028</v>
      </c>
      <c r="AN903" t="s">
        <v>17752</v>
      </c>
      <c r="AO903" t="s">
        <v>17753</v>
      </c>
      <c r="AP903" t="s">
        <v>74</v>
      </c>
      <c r="AQ903" t="s">
        <v>74</v>
      </c>
      <c r="AR903" t="s">
        <v>17754</v>
      </c>
      <c r="AS903" t="s">
        <v>17755</v>
      </c>
      <c r="AT903" t="s">
        <v>368</v>
      </c>
      <c r="AU903">
        <v>2011</v>
      </c>
      <c r="AV903">
        <v>60</v>
      </c>
      <c r="AW903">
        <v>5</v>
      </c>
      <c r="AX903" t="s">
        <v>74</v>
      </c>
      <c r="AY903" t="s">
        <v>74</v>
      </c>
      <c r="AZ903" t="s">
        <v>74</v>
      </c>
      <c r="BA903" t="s">
        <v>74</v>
      </c>
      <c r="BB903" t="s">
        <v>74</v>
      </c>
      <c r="BC903" t="s">
        <v>74</v>
      </c>
      <c r="BD903">
        <v>58901</v>
      </c>
      <c r="BE903" t="s">
        <v>17756</v>
      </c>
      <c r="BF903" t="str">
        <f>HYPERLINK("http://dx.doi.org/10.7498/aps.60.058901","http://dx.doi.org/10.7498/aps.60.058901")</f>
        <v>http://dx.doi.org/10.7498/aps.60.058901</v>
      </c>
      <c r="BG903" t="s">
        <v>74</v>
      </c>
      <c r="BH903" t="s">
        <v>74</v>
      </c>
      <c r="BI903">
        <v>6</v>
      </c>
      <c r="BJ903" t="s">
        <v>3103</v>
      </c>
      <c r="BK903" t="s">
        <v>902</v>
      </c>
      <c r="BL903" t="s">
        <v>3104</v>
      </c>
      <c r="BM903" t="s">
        <v>17757</v>
      </c>
      <c r="BN903" t="s">
        <v>74</v>
      </c>
      <c r="BO903" t="s">
        <v>105</v>
      </c>
      <c r="BP903" t="s">
        <v>74</v>
      </c>
      <c r="BQ903" t="s">
        <v>74</v>
      </c>
      <c r="BR903" t="s">
        <v>106</v>
      </c>
      <c r="BS903" t="s">
        <v>17758</v>
      </c>
      <c r="BT903" t="str">
        <f>HYPERLINK("https%3A%2F%2Fwww.webofscience.com%2Fwos%2Fwoscc%2Ffull-record%2FWOS:000291239700122","View Full Record in Web of Science")</f>
        <v>View Full Record in Web of Science</v>
      </c>
    </row>
    <row r="904" spans="1:72" x14ac:dyDescent="0.25">
      <c r="A904" t="s">
        <v>108</v>
      </c>
      <c r="B904" t="s">
        <v>17759</v>
      </c>
      <c r="C904" t="s">
        <v>74</v>
      </c>
      <c r="D904" t="s">
        <v>74</v>
      </c>
      <c r="E904" t="s">
        <v>322</v>
      </c>
      <c r="F904" t="s">
        <v>17760</v>
      </c>
      <c r="G904" t="s">
        <v>74</v>
      </c>
      <c r="H904" t="s">
        <v>74</v>
      </c>
      <c r="I904" t="s">
        <v>17761</v>
      </c>
      <c r="J904" t="s">
        <v>17762</v>
      </c>
      <c r="K904" t="s">
        <v>74</v>
      </c>
      <c r="L904" t="s">
        <v>74</v>
      </c>
      <c r="M904" t="s">
        <v>78</v>
      </c>
      <c r="N904" t="s">
        <v>115</v>
      </c>
      <c r="O904" t="s">
        <v>14067</v>
      </c>
      <c r="P904" t="s">
        <v>14068</v>
      </c>
      <c r="Q904" t="s">
        <v>12123</v>
      </c>
      <c r="R904" t="s">
        <v>14069</v>
      </c>
      <c r="S904" t="s">
        <v>74</v>
      </c>
      <c r="T904" t="s">
        <v>17763</v>
      </c>
      <c r="U904" t="s">
        <v>74</v>
      </c>
      <c r="V904" t="s">
        <v>17764</v>
      </c>
      <c r="W904" t="s">
        <v>17765</v>
      </c>
      <c r="X904" t="s">
        <v>17766</v>
      </c>
      <c r="Y904" t="s">
        <v>17767</v>
      </c>
      <c r="Z904" t="s">
        <v>17768</v>
      </c>
      <c r="AA904" t="s">
        <v>17769</v>
      </c>
      <c r="AB904" t="s">
        <v>74</v>
      </c>
      <c r="AC904" t="s">
        <v>17770</v>
      </c>
      <c r="AD904" t="s">
        <v>17771</v>
      </c>
      <c r="AE904" t="s">
        <v>17772</v>
      </c>
      <c r="AF904" t="s">
        <v>74</v>
      </c>
      <c r="AG904">
        <v>32</v>
      </c>
      <c r="AH904">
        <v>0</v>
      </c>
      <c r="AI904">
        <v>0</v>
      </c>
      <c r="AJ904">
        <v>0</v>
      </c>
      <c r="AK904">
        <v>0</v>
      </c>
      <c r="AL904" t="s">
        <v>291</v>
      </c>
      <c r="AM904" t="s">
        <v>92</v>
      </c>
      <c r="AN904" t="s">
        <v>341</v>
      </c>
      <c r="AO904" t="s">
        <v>74</v>
      </c>
      <c r="AP904" t="s">
        <v>74</v>
      </c>
      <c r="AQ904" t="s">
        <v>17773</v>
      </c>
      <c r="AR904" t="s">
        <v>74</v>
      </c>
      <c r="AS904" t="s">
        <v>74</v>
      </c>
      <c r="AT904" t="s">
        <v>74</v>
      </c>
      <c r="AU904">
        <v>2025</v>
      </c>
      <c r="AV904" t="s">
        <v>74</v>
      </c>
      <c r="AW904" t="s">
        <v>74</v>
      </c>
      <c r="AX904" t="s">
        <v>74</v>
      </c>
      <c r="AY904" t="s">
        <v>74</v>
      </c>
      <c r="AZ904" t="s">
        <v>74</v>
      </c>
      <c r="BA904" t="s">
        <v>74</v>
      </c>
      <c r="BB904">
        <v>601</v>
      </c>
      <c r="BC904">
        <v>612</v>
      </c>
      <c r="BD904" t="s">
        <v>74</v>
      </c>
      <c r="BE904" t="s">
        <v>17774</v>
      </c>
      <c r="BF904" t="str">
        <f>HYPERLINK("http://dx.doi.org/10.1145/3690624.3709261","http://dx.doi.org/10.1145/3690624.3709261")</f>
        <v>http://dx.doi.org/10.1145/3690624.3709261</v>
      </c>
      <c r="BG904" t="s">
        <v>74</v>
      </c>
      <c r="BH904" t="s">
        <v>74</v>
      </c>
      <c r="BI904">
        <v>12</v>
      </c>
      <c r="BJ904" t="s">
        <v>461</v>
      </c>
      <c r="BK904" t="s">
        <v>203</v>
      </c>
      <c r="BL904" t="s">
        <v>103</v>
      </c>
      <c r="BM904" t="s">
        <v>17775</v>
      </c>
      <c r="BN904" t="s">
        <v>74</v>
      </c>
      <c r="BO904" t="s">
        <v>74</v>
      </c>
      <c r="BP904" t="s">
        <v>74</v>
      </c>
      <c r="BQ904" t="s">
        <v>74</v>
      </c>
      <c r="BR904" t="s">
        <v>106</v>
      </c>
      <c r="BS904" t="s">
        <v>17776</v>
      </c>
      <c r="BT904" t="str">
        <f>HYPERLINK("https%3A%2F%2Fwww.webofscience.com%2Fwos%2Fwoscc%2Ffull-record%2FWOS:001592410600052","View Full Record in Web of Science")</f>
        <v>View Full Record in Web of Science</v>
      </c>
    </row>
    <row r="905" spans="1:72" x14ac:dyDescent="0.25">
      <c r="A905" t="s">
        <v>72</v>
      </c>
      <c r="B905" t="s">
        <v>17777</v>
      </c>
      <c r="C905" t="s">
        <v>74</v>
      </c>
      <c r="D905" t="s">
        <v>74</v>
      </c>
      <c r="E905" t="s">
        <v>74</v>
      </c>
      <c r="F905" t="s">
        <v>17778</v>
      </c>
      <c r="G905" t="s">
        <v>74</v>
      </c>
      <c r="H905" t="s">
        <v>74</v>
      </c>
      <c r="I905" t="s">
        <v>17779</v>
      </c>
      <c r="J905" t="s">
        <v>8499</v>
      </c>
      <c r="K905" t="s">
        <v>74</v>
      </c>
      <c r="L905" t="s">
        <v>74</v>
      </c>
      <c r="M905" t="s">
        <v>78</v>
      </c>
      <c r="N905" t="s">
        <v>79</v>
      </c>
      <c r="O905" t="s">
        <v>74</v>
      </c>
      <c r="P905" t="s">
        <v>74</v>
      </c>
      <c r="Q905" t="s">
        <v>74</v>
      </c>
      <c r="R905" t="s">
        <v>74</v>
      </c>
      <c r="S905" t="s">
        <v>74</v>
      </c>
      <c r="T905" t="s">
        <v>74</v>
      </c>
      <c r="U905" t="s">
        <v>17780</v>
      </c>
      <c r="V905" t="s">
        <v>17781</v>
      </c>
      <c r="W905" t="s">
        <v>17782</v>
      </c>
      <c r="X905" t="s">
        <v>17783</v>
      </c>
      <c r="Y905" t="s">
        <v>17784</v>
      </c>
      <c r="Z905" t="s">
        <v>17785</v>
      </c>
      <c r="AA905" t="s">
        <v>17786</v>
      </c>
      <c r="AB905" t="s">
        <v>17787</v>
      </c>
      <c r="AC905" t="s">
        <v>17788</v>
      </c>
      <c r="AD905" t="s">
        <v>17789</v>
      </c>
      <c r="AE905" t="s">
        <v>17790</v>
      </c>
      <c r="AF905" t="s">
        <v>74</v>
      </c>
      <c r="AG905">
        <v>47</v>
      </c>
      <c r="AH905">
        <v>6</v>
      </c>
      <c r="AI905">
        <v>6</v>
      </c>
      <c r="AJ905">
        <v>0</v>
      </c>
      <c r="AK905">
        <v>12</v>
      </c>
      <c r="AL905" t="s">
        <v>8510</v>
      </c>
      <c r="AM905" t="s">
        <v>8511</v>
      </c>
      <c r="AN905" t="s">
        <v>8512</v>
      </c>
      <c r="AO905" t="s">
        <v>8513</v>
      </c>
      <c r="AP905" t="s">
        <v>74</v>
      </c>
      <c r="AQ905" t="s">
        <v>74</v>
      </c>
      <c r="AR905" t="s">
        <v>8499</v>
      </c>
      <c r="AS905" t="s">
        <v>8514</v>
      </c>
      <c r="AT905" t="s">
        <v>5278</v>
      </c>
      <c r="AU905">
        <v>2016</v>
      </c>
      <c r="AV905">
        <v>11</v>
      </c>
      <c r="AW905">
        <v>11</v>
      </c>
      <c r="AX905" t="s">
        <v>74</v>
      </c>
      <c r="AY905" t="s">
        <v>74</v>
      </c>
      <c r="AZ905" t="s">
        <v>74</v>
      </c>
      <c r="BA905" t="s">
        <v>74</v>
      </c>
      <c r="BB905" t="s">
        <v>74</v>
      </c>
      <c r="BC905" t="s">
        <v>74</v>
      </c>
      <c r="BD905" t="s">
        <v>17791</v>
      </c>
      <c r="BE905" t="s">
        <v>17792</v>
      </c>
      <c r="BF905" t="str">
        <f>HYPERLINK("http://dx.doi.org/10.1371/journal.pone.0165728","http://dx.doi.org/10.1371/journal.pone.0165728")</f>
        <v>http://dx.doi.org/10.1371/journal.pone.0165728</v>
      </c>
      <c r="BG905" t="s">
        <v>74</v>
      </c>
      <c r="BH905" t="s">
        <v>74</v>
      </c>
      <c r="BI905">
        <v>15</v>
      </c>
      <c r="BJ905" t="s">
        <v>5861</v>
      </c>
      <c r="BK905" t="s">
        <v>902</v>
      </c>
      <c r="BL905" t="s">
        <v>5862</v>
      </c>
      <c r="BM905" t="s">
        <v>17793</v>
      </c>
      <c r="BN905">
        <v>27802319</v>
      </c>
      <c r="BO905" t="s">
        <v>398</v>
      </c>
      <c r="BP905" t="s">
        <v>74</v>
      </c>
      <c r="BQ905" t="s">
        <v>74</v>
      </c>
      <c r="BR905" t="s">
        <v>106</v>
      </c>
      <c r="BS905" t="s">
        <v>17794</v>
      </c>
      <c r="BT905" t="str">
        <f>HYPERLINK("https%3A%2F%2Fwww.webofscience.com%2Fwos%2Fwoscc%2Ffull-record%2FWOS:000386714200046","View Full Record in Web of Science")</f>
        <v>View Full Record in Web of Science</v>
      </c>
    </row>
    <row r="906" spans="1:72" x14ac:dyDescent="0.25">
      <c r="A906" t="s">
        <v>72</v>
      </c>
      <c r="B906" t="s">
        <v>17795</v>
      </c>
      <c r="C906" t="s">
        <v>74</v>
      </c>
      <c r="D906" t="s">
        <v>74</v>
      </c>
      <c r="E906" t="s">
        <v>74</v>
      </c>
      <c r="F906" t="s">
        <v>17796</v>
      </c>
      <c r="G906" t="s">
        <v>74</v>
      </c>
      <c r="H906" t="s">
        <v>74</v>
      </c>
      <c r="I906" t="s">
        <v>17797</v>
      </c>
      <c r="J906" t="s">
        <v>13761</v>
      </c>
      <c r="K906" t="s">
        <v>74</v>
      </c>
      <c r="L906" t="s">
        <v>74</v>
      </c>
      <c r="M906" t="s">
        <v>78</v>
      </c>
      <c r="N906" t="s">
        <v>79</v>
      </c>
      <c r="O906" t="s">
        <v>74</v>
      </c>
      <c r="P906" t="s">
        <v>74</v>
      </c>
      <c r="Q906" t="s">
        <v>74</v>
      </c>
      <c r="R906" t="s">
        <v>74</v>
      </c>
      <c r="S906" t="s">
        <v>74</v>
      </c>
      <c r="T906" t="s">
        <v>17798</v>
      </c>
      <c r="U906" t="s">
        <v>17799</v>
      </c>
      <c r="V906" t="s">
        <v>17800</v>
      </c>
      <c r="W906" t="s">
        <v>17801</v>
      </c>
      <c r="X906" t="s">
        <v>74</v>
      </c>
      <c r="Y906" t="s">
        <v>17802</v>
      </c>
      <c r="Z906" t="s">
        <v>17803</v>
      </c>
      <c r="AA906" t="s">
        <v>74</v>
      </c>
      <c r="AB906" t="s">
        <v>74</v>
      </c>
      <c r="AC906" t="s">
        <v>74</v>
      </c>
      <c r="AD906" t="s">
        <v>74</v>
      </c>
      <c r="AE906" t="s">
        <v>74</v>
      </c>
      <c r="AF906" t="s">
        <v>74</v>
      </c>
      <c r="AG906">
        <v>32</v>
      </c>
      <c r="AH906">
        <v>0</v>
      </c>
      <c r="AI906">
        <v>3</v>
      </c>
      <c r="AJ906">
        <v>0</v>
      </c>
      <c r="AK906">
        <v>6</v>
      </c>
      <c r="AL906" t="s">
        <v>1136</v>
      </c>
      <c r="AM906" t="s">
        <v>1137</v>
      </c>
      <c r="AN906" t="s">
        <v>1138</v>
      </c>
      <c r="AO906" t="s">
        <v>13773</v>
      </c>
      <c r="AP906" t="s">
        <v>74</v>
      </c>
      <c r="AQ906" t="s">
        <v>74</v>
      </c>
      <c r="AR906" t="s">
        <v>13761</v>
      </c>
      <c r="AS906" t="s">
        <v>13774</v>
      </c>
      <c r="AT906" t="s">
        <v>17804</v>
      </c>
      <c r="AU906">
        <v>2019</v>
      </c>
      <c r="AV906">
        <v>9</v>
      </c>
      <c r="AW906">
        <v>2</v>
      </c>
      <c r="AX906" t="s">
        <v>74</v>
      </c>
      <c r="AY906" t="s">
        <v>74</v>
      </c>
      <c r="AZ906" t="s">
        <v>74</v>
      </c>
      <c r="BA906" t="s">
        <v>74</v>
      </c>
      <c r="BB906" t="s">
        <v>74</v>
      </c>
      <c r="BC906" t="s">
        <v>74</v>
      </c>
      <c r="BD906">
        <v>2158244019844086</v>
      </c>
      <c r="BE906" t="s">
        <v>17805</v>
      </c>
      <c r="BF906" t="str">
        <f>HYPERLINK("http://dx.doi.org/10.1177/2158244019844086","http://dx.doi.org/10.1177/2158244019844086")</f>
        <v>http://dx.doi.org/10.1177/2158244019844086</v>
      </c>
      <c r="BG906" t="s">
        <v>74</v>
      </c>
      <c r="BH906" t="s">
        <v>74</v>
      </c>
      <c r="BI906">
        <v>11</v>
      </c>
      <c r="BJ906" t="s">
        <v>2611</v>
      </c>
      <c r="BK906" t="s">
        <v>250</v>
      </c>
      <c r="BL906" t="s">
        <v>2612</v>
      </c>
      <c r="BM906" t="s">
        <v>17806</v>
      </c>
      <c r="BN906" t="s">
        <v>74</v>
      </c>
      <c r="BO906" t="s">
        <v>398</v>
      </c>
      <c r="BP906" t="s">
        <v>74</v>
      </c>
      <c r="BQ906" t="s">
        <v>74</v>
      </c>
      <c r="BR906" t="s">
        <v>106</v>
      </c>
      <c r="BS906" t="s">
        <v>17807</v>
      </c>
      <c r="BT906" t="str">
        <f>HYPERLINK("https%3A%2F%2Fwww.webofscience.com%2Fwos%2Fwoscc%2Ffull-record%2FWOS:000465399900001","View Full Record in Web of Science")</f>
        <v>View Full Record in Web of Science</v>
      </c>
    </row>
    <row r="907" spans="1:72" x14ac:dyDescent="0.25">
      <c r="A907" t="s">
        <v>72</v>
      </c>
      <c r="B907" t="s">
        <v>17808</v>
      </c>
      <c r="C907" t="s">
        <v>74</v>
      </c>
      <c r="D907" t="s">
        <v>74</v>
      </c>
      <c r="E907" t="s">
        <v>74</v>
      </c>
      <c r="F907" t="s">
        <v>17809</v>
      </c>
      <c r="G907" t="s">
        <v>74</v>
      </c>
      <c r="H907" t="s">
        <v>74</v>
      </c>
      <c r="I907" t="s">
        <v>17810</v>
      </c>
      <c r="J907" t="s">
        <v>17811</v>
      </c>
      <c r="K907" t="s">
        <v>74</v>
      </c>
      <c r="L907" t="s">
        <v>74</v>
      </c>
      <c r="M907" t="s">
        <v>78</v>
      </c>
      <c r="N907" t="s">
        <v>79</v>
      </c>
      <c r="O907" t="s">
        <v>74</v>
      </c>
      <c r="P907" t="s">
        <v>74</v>
      </c>
      <c r="Q907" t="s">
        <v>74</v>
      </c>
      <c r="R907" t="s">
        <v>74</v>
      </c>
      <c r="S907" t="s">
        <v>74</v>
      </c>
      <c r="T907" t="s">
        <v>74</v>
      </c>
      <c r="U907" t="s">
        <v>74</v>
      </c>
      <c r="V907" t="s">
        <v>17812</v>
      </c>
      <c r="W907" t="s">
        <v>17813</v>
      </c>
      <c r="X907" t="s">
        <v>17814</v>
      </c>
      <c r="Y907" t="s">
        <v>17815</v>
      </c>
      <c r="Z907" t="s">
        <v>17816</v>
      </c>
      <c r="AA907" t="s">
        <v>74</v>
      </c>
      <c r="AB907" t="s">
        <v>74</v>
      </c>
      <c r="AC907" t="s">
        <v>74</v>
      </c>
      <c r="AD907" t="s">
        <v>74</v>
      </c>
      <c r="AE907" t="s">
        <v>74</v>
      </c>
      <c r="AF907" t="s">
        <v>74</v>
      </c>
      <c r="AG907">
        <v>27</v>
      </c>
      <c r="AH907">
        <v>46</v>
      </c>
      <c r="AI907">
        <v>56</v>
      </c>
      <c r="AJ907">
        <v>0</v>
      </c>
      <c r="AK907">
        <v>1</v>
      </c>
      <c r="AL907" t="s">
        <v>291</v>
      </c>
      <c r="AM907" t="s">
        <v>92</v>
      </c>
      <c r="AN907" t="s">
        <v>2534</v>
      </c>
      <c r="AO907" t="s">
        <v>17817</v>
      </c>
      <c r="AP907" t="s">
        <v>74</v>
      </c>
      <c r="AQ907" t="s">
        <v>74</v>
      </c>
      <c r="AR907" t="s">
        <v>17818</v>
      </c>
      <c r="AS907" t="s">
        <v>17819</v>
      </c>
      <c r="AT907" t="s">
        <v>1375</v>
      </c>
      <c r="AU907">
        <v>2012</v>
      </c>
      <c r="AV907">
        <v>5</v>
      </c>
      <c r="AW907">
        <v>10</v>
      </c>
      <c r="AX907" t="s">
        <v>74</v>
      </c>
      <c r="AY907" t="s">
        <v>74</v>
      </c>
      <c r="AZ907" t="s">
        <v>74</v>
      </c>
      <c r="BA907" t="s">
        <v>74</v>
      </c>
      <c r="BB907">
        <v>956</v>
      </c>
      <c r="BC907">
        <v>967</v>
      </c>
      <c r="BD907" t="s">
        <v>74</v>
      </c>
      <c r="BE907" t="s">
        <v>17820</v>
      </c>
      <c r="BF907" t="str">
        <f>HYPERLINK("http://dx.doi.org/10.14778/2336664.2336669","http://dx.doi.org/10.14778/2336664.2336669")</f>
        <v>http://dx.doi.org/10.14778/2336664.2336669</v>
      </c>
      <c r="BG907" t="s">
        <v>74</v>
      </c>
      <c r="BH907" t="s">
        <v>74</v>
      </c>
      <c r="BI907">
        <v>12</v>
      </c>
      <c r="BJ907" t="s">
        <v>696</v>
      </c>
      <c r="BK907" t="s">
        <v>102</v>
      </c>
      <c r="BL907" t="s">
        <v>103</v>
      </c>
      <c r="BM907" t="s">
        <v>17821</v>
      </c>
      <c r="BN907" t="s">
        <v>74</v>
      </c>
      <c r="BO907" t="s">
        <v>74</v>
      </c>
      <c r="BP907" t="s">
        <v>74</v>
      </c>
      <c r="BQ907" t="s">
        <v>74</v>
      </c>
      <c r="BR907" t="s">
        <v>106</v>
      </c>
      <c r="BS907" t="s">
        <v>17822</v>
      </c>
      <c r="BT907" t="str">
        <f>HYPERLINK("https%3A%2F%2Fwww.webofscience.com%2Fwos%2Fwoscc%2Ffull-record%2FWOS:000219725200006","View Full Record in Web of Science")</f>
        <v>View Full Record in Web of Science</v>
      </c>
    </row>
    <row r="908" spans="1:72" x14ac:dyDescent="0.25">
      <c r="A908" t="s">
        <v>72</v>
      </c>
      <c r="B908" t="s">
        <v>17823</v>
      </c>
      <c r="C908" t="s">
        <v>74</v>
      </c>
      <c r="D908" t="s">
        <v>74</v>
      </c>
      <c r="E908" t="s">
        <v>74</v>
      </c>
      <c r="F908" t="s">
        <v>17824</v>
      </c>
      <c r="G908" t="s">
        <v>74</v>
      </c>
      <c r="H908" t="s">
        <v>74</v>
      </c>
      <c r="I908" t="s">
        <v>17825</v>
      </c>
      <c r="J908" t="s">
        <v>8989</v>
      </c>
      <c r="K908" t="s">
        <v>74</v>
      </c>
      <c r="L908" t="s">
        <v>74</v>
      </c>
      <c r="M908" t="s">
        <v>78</v>
      </c>
      <c r="N908" t="s">
        <v>79</v>
      </c>
      <c r="O908" t="s">
        <v>74</v>
      </c>
      <c r="P908" t="s">
        <v>74</v>
      </c>
      <c r="Q908" t="s">
        <v>74</v>
      </c>
      <c r="R908" t="s">
        <v>74</v>
      </c>
      <c r="S908" t="s">
        <v>74</v>
      </c>
      <c r="T908" t="s">
        <v>17826</v>
      </c>
      <c r="U908" t="s">
        <v>74</v>
      </c>
      <c r="V908" t="s">
        <v>17827</v>
      </c>
      <c r="W908" t="s">
        <v>17828</v>
      </c>
      <c r="X908" t="s">
        <v>6904</v>
      </c>
      <c r="Y908" t="s">
        <v>17829</v>
      </c>
      <c r="Z908" t="s">
        <v>17830</v>
      </c>
      <c r="AA908" t="s">
        <v>17831</v>
      </c>
      <c r="AB908" t="s">
        <v>17832</v>
      </c>
      <c r="AC908" t="s">
        <v>17833</v>
      </c>
      <c r="AD908" t="s">
        <v>17834</v>
      </c>
      <c r="AE908" t="s">
        <v>17835</v>
      </c>
      <c r="AF908" t="s">
        <v>74</v>
      </c>
      <c r="AG908">
        <v>27</v>
      </c>
      <c r="AH908">
        <v>4</v>
      </c>
      <c r="AI908">
        <v>6</v>
      </c>
      <c r="AJ908">
        <v>0</v>
      </c>
      <c r="AK908">
        <v>7</v>
      </c>
      <c r="AL908" t="s">
        <v>362</v>
      </c>
      <c r="AM908" t="s">
        <v>363</v>
      </c>
      <c r="AN908" t="s">
        <v>364</v>
      </c>
      <c r="AO908" t="s">
        <v>9001</v>
      </c>
      <c r="AP908" t="s">
        <v>9002</v>
      </c>
      <c r="AQ908" t="s">
        <v>74</v>
      </c>
      <c r="AR908" t="s">
        <v>9003</v>
      </c>
      <c r="AS908" t="s">
        <v>9004</v>
      </c>
      <c r="AT908" t="s">
        <v>565</v>
      </c>
      <c r="AU908">
        <v>2012</v>
      </c>
      <c r="AV908">
        <v>10</v>
      </c>
      <c r="AW908">
        <v>6</v>
      </c>
      <c r="AX908" t="s">
        <v>74</v>
      </c>
      <c r="AY908" t="s">
        <v>74</v>
      </c>
      <c r="AZ908" t="s">
        <v>74</v>
      </c>
      <c r="BA908" t="s">
        <v>74</v>
      </c>
      <c r="BB908">
        <v>1115</v>
      </c>
      <c r="BC908">
        <v>1133</v>
      </c>
      <c r="BD908" t="s">
        <v>74</v>
      </c>
      <c r="BE908" t="s">
        <v>17836</v>
      </c>
      <c r="BF908" t="str">
        <f>HYPERLINK("http://dx.doi.org/10.1016/j.adhoc.2012.02.011","http://dx.doi.org/10.1016/j.adhoc.2012.02.011")</f>
        <v>http://dx.doi.org/10.1016/j.adhoc.2012.02.011</v>
      </c>
      <c r="BG908" t="s">
        <v>74</v>
      </c>
      <c r="BH908" t="s">
        <v>74</v>
      </c>
      <c r="BI908">
        <v>19</v>
      </c>
      <c r="BJ908" t="s">
        <v>2674</v>
      </c>
      <c r="BK908" t="s">
        <v>902</v>
      </c>
      <c r="BL908" t="s">
        <v>2422</v>
      </c>
      <c r="BM908" t="s">
        <v>17837</v>
      </c>
      <c r="BN908" t="s">
        <v>74</v>
      </c>
      <c r="BO908" t="s">
        <v>74</v>
      </c>
      <c r="BP908" t="s">
        <v>74</v>
      </c>
      <c r="BQ908" t="s">
        <v>74</v>
      </c>
      <c r="BR908" t="s">
        <v>106</v>
      </c>
      <c r="BS908" t="s">
        <v>17838</v>
      </c>
      <c r="BT908" t="str">
        <f>HYPERLINK("https%3A%2F%2Fwww.webofscience.com%2Fwos%2Fwoscc%2Ffull-record%2FWOS:000304218500018","View Full Record in Web of Science")</f>
        <v>View Full Record in Web of Science</v>
      </c>
    </row>
    <row r="909" spans="1:72" x14ac:dyDescent="0.25">
      <c r="A909" t="s">
        <v>72</v>
      </c>
      <c r="B909" t="s">
        <v>17839</v>
      </c>
      <c r="C909" t="s">
        <v>74</v>
      </c>
      <c r="D909" t="s">
        <v>74</v>
      </c>
      <c r="E909" t="s">
        <v>74</v>
      </c>
      <c r="F909" t="s">
        <v>17840</v>
      </c>
      <c r="G909" t="s">
        <v>74</v>
      </c>
      <c r="H909" t="s">
        <v>74</v>
      </c>
      <c r="I909" t="s">
        <v>17841</v>
      </c>
      <c r="J909" t="s">
        <v>3418</v>
      </c>
      <c r="K909" t="s">
        <v>74</v>
      </c>
      <c r="L909" t="s">
        <v>74</v>
      </c>
      <c r="M909" t="s">
        <v>78</v>
      </c>
      <c r="N909" t="s">
        <v>79</v>
      </c>
      <c r="O909" t="s">
        <v>74</v>
      </c>
      <c r="P909" t="s">
        <v>74</v>
      </c>
      <c r="Q909" t="s">
        <v>74</v>
      </c>
      <c r="R909" t="s">
        <v>74</v>
      </c>
      <c r="S909" t="s">
        <v>74</v>
      </c>
      <c r="T909" t="s">
        <v>74</v>
      </c>
      <c r="U909" t="s">
        <v>17842</v>
      </c>
      <c r="V909" t="s">
        <v>17843</v>
      </c>
      <c r="W909" t="s">
        <v>17844</v>
      </c>
      <c r="X909" t="s">
        <v>17845</v>
      </c>
      <c r="Y909" t="s">
        <v>17846</v>
      </c>
      <c r="Z909" t="s">
        <v>17847</v>
      </c>
      <c r="AA909" t="s">
        <v>17848</v>
      </c>
      <c r="AB909" t="s">
        <v>17849</v>
      </c>
      <c r="AC909" t="s">
        <v>17850</v>
      </c>
      <c r="AD909" t="s">
        <v>266</v>
      </c>
      <c r="AE909" t="s">
        <v>17851</v>
      </c>
      <c r="AF909" t="s">
        <v>74</v>
      </c>
      <c r="AG909">
        <v>90</v>
      </c>
      <c r="AH909">
        <v>15</v>
      </c>
      <c r="AI909">
        <v>17</v>
      </c>
      <c r="AJ909">
        <v>0</v>
      </c>
      <c r="AK909">
        <v>7</v>
      </c>
      <c r="AL909" t="s">
        <v>3427</v>
      </c>
      <c r="AM909" t="s">
        <v>3428</v>
      </c>
      <c r="AN909" t="s">
        <v>3429</v>
      </c>
      <c r="AO909" t="s">
        <v>3430</v>
      </c>
      <c r="AP909" t="s">
        <v>3431</v>
      </c>
      <c r="AQ909" t="s">
        <v>74</v>
      </c>
      <c r="AR909" t="s">
        <v>3432</v>
      </c>
      <c r="AS909" t="s">
        <v>3433</v>
      </c>
      <c r="AT909" t="s">
        <v>17852</v>
      </c>
      <c r="AU909">
        <v>2019</v>
      </c>
      <c r="AV909">
        <v>9</v>
      </c>
      <c r="AW909">
        <v>1</v>
      </c>
      <c r="AX909" t="s">
        <v>74</v>
      </c>
      <c r="AY909" t="s">
        <v>74</v>
      </c>
      <c r="AZ909" t="s">
        <v>74</v>
      </c>
      <c r="BA909" t="s">
        <v>74</v>
      </c>
      <c r="BB909" t="s">
        <v>74</v>
      </c>
      <c r="BC909" t="s">
        <v>74</v>
      </c>
      <c r="BD909">
        <v>11</v>
      </c>
      <c r="BE909" t="s">
        <v>17853</v>
      </c>
      <c r="BF909" t="str">
        <f>HYPERLINK("http://dx.doi.org/10.1007/s13278-019-0551-4","http://dx.doi.org/10.1007/s13278-019-0551-4")</f>
        <v>http://dx.doi.org/10.1007/s13278-019-0551-4</v>
      </c>
      <c r="BG909" t="s">
        <v>74</v>
      </c>
      <c r="BH909" t="s">
        <v>74</v>
      </c>
      <c r="BI909">
        <v>23</v>
      </c>
      <c r="BJ909" t="s">
        <v>852</v>
      </c>
      <c r="BK909" t="s">
        <v>102</v>
      </c>
      <c r="BL909" t="s">
        <v>103</v>
      </c>
      <c r="BM909" t="s">
        <v>17854</v>
      </c>
      <c r="BN909" t="s">
        <v>74</v>
      </c>
      <c r="BO909" t="s">
        <v>346</v>
      </c>
      <c r="BP909" t="s">
        <v>74</v>
      </c>
      <c r="BQ909" t="s">
        <v>74</v>
      </c>
      <c r="BR909" t="s">
        <v>106</v>
      </c>
      <c r="BS909" t="s">
        <v>17855</v>
      </c>
      <c r="BT909" t="str">
        <f>HYPERLINK("https%3A%2F%2Fwww.webofscience.com%2Fwos%2Fwoscc%2Ffull-record%2FWOS:000461322000002","View Full Record in Web of Science")</f>
        <v>View Full Record in Web of Science</v>
      </c>
    </row>
    <row r="910" spans="1:72" x14ac:dyDescent="0.25">
      <c r="A910" t="s">
        <v>108</v>
      </c>
      <c r="B910" t="s">
        <v>17856</v>
      </c>
      <c r="C910" t="s">
        <v>74</v>
      </c>
      <c r="D910" t="s">
        <v>74</v>
      </c>
      <c r="E910" t="s">
        <v>3480</v>
      </c>
      <c r="F910" t="s">
        <v>17857</v>
      </c>
      <c r="G910" t="s">
        <v>74</v>
      </c>
      <c r="H910" t="s">
        <v>74</v>
      </c>
      <c r="I910" t="s">
        <v>17858</v>
      </c>
      <c r="J910" t="s">
        <v>17859</v>
      </c>
      <c r="K910" t="s">
        <v>74</v>
      </c>
      <c r="L910" t="s">
        <v>74</v>
      </c>
      <c r="M910" t="s">
        <v>78</v>
      </c>
      <c r="N910" t="s">
        <v>115</v>
      </c>
      <c r="O910" t="s">
        <v>17860</v>
      </c>
      <c r="P910" t="s">
        <v>17861</v>
      </c>
      <c r="Q910" t="s">
        <v>4669</v>
      </c>
      <c r="R910" t="s">
        <v>17862</v>
      </c>
      <c r="S910" t="s">
        <v>74</v>
      </c>
      <c r="T910" t="s">
        <v>17863</v>
      </c>
      <c r="U910" t="s">
        <v>17864</v>
      </c>
      <c r="V910" t="s">
        <v>17865</v>
      </c>
      <c r="W910" t="s">
        <v>17866</v>
      </c>
      <c r="X910" t="s">
        <v>17867</v>
      </c>
      <c r="Y910" t="s">
        <v>17868</v>
      </c>
      <c r="Z910" t="s">
        <v>17869</v>
      </c>
      <c r="AA910" t="s">
        <v>17870</v>
      </c>
      <c r="AB910" t="s">
        <v>74</v>
      </c>
      <c r="AC910" t="s">
        <v>74</v>
      </c>
      <c r="AD910" t="s">
        <v>74</v>
      </c>
      <c r="AE910" t="s">
        <v>74</v>
      </c>
      <c r="AF910" t="s">
        <v>74</v>
      </c>
      <c r="AG910">
        <v>112</v>
      </c>
      <c r="AH910">
        <v>17</v>
      </c>
      <c r="AI910">
        <v>22</v>
      </c>
      <c r="AJ910">
        <v>0</v>
      </c>
      <c r="AK910">
        <v>6</v>
      </c>
      <c r="AL910" t="s">
        <v>291</v>
      </c>
      <c r="AM910" t="s">
        <v>92</v>
      </c>
      <c r="AN910" t="s">
        <v>341</v>
      </c>
      <c r="AO910" t="s">
        <v>74</v>
      </c>
      <c r="AP910" t="s">
        <v>74</v>
      </c>
      <c r="AQ910" t="s">
        <v>17871</v>
      </c>
      <c r="AR910" t="s">
        <v>74</v>
      </c>
      <c r="AS910" t="s">
        <v>74</v>
      </c>
      <c r="AT910" t="s">
        <v>74</v>
      </c>
      <c r="AU910">
        <v>2021</v>
      </c>
      <c r="AV910" t="s">
        <v>74</v>
      </c>
      <c r="AW910" t="s">
        <v>74</v>
      </c>
      <c r="AX910" t="s">
        <v>74</v>
      </c>
      <c r="AY910" t="s">
        <v>74</v>
      </c>
      <c r="AZ910" t="s">
        <v>74</v>
      </c>
      <c r="BA910" t="s">
        <v>74</v>
      </c>
      <c r="BB910" t="s">
        <v>74</v>
      </c>
      <c r="BC910" t="s">
        <v>74</v>
      </c>
      <c r="BD910" t="s">
        <v>74</v>
      </c>
      <c r="BE910" t="s">
        <v>17872</v>
      </c>
      <c r="BF910" t="str">
        <f>HYPERLINK("http://dx.doi.org/10.1145/3411764.3445394","http://dx.doi.org/10.1145/3411764.3445394")</f>
        <v>http://dx.doi.org/10.1145/3411764.3445394</v>
      </c>
      <c r="BG910" t="s">
        <v>74</v>
      </c>
      <c r="BH910" t="s">
        <v>74</v>
      </c>
      <c r="BI910">
        <v>18</v>
      </c>
      <c r="BJ910" t="s">
        <v>13672</v>
      </c>
      <c r="BK910" t="s">
        <v>203</v>
      </c>
      <c r="BL910" t="s">
        <v>103</v>
      </c>
      <c r="BM910" t="s">
        <v>17873</v>
      </c>
      <c r="BN910" t="s">
        <v>74</v>
      </c>
      <c r="BO910" t="s">
        <v>74</v>
      </c>
      <c r="BP910" t="s">
        <v>74</v>
      </c>
      <c r="BQ910" t="s">
        <v>74</v>
      </c>
      <c r="BR910" t="s">
        <v>106</v>
      </c>
      <c r="BS910" t="s">
        <v>17874</v>
      </c>
      <c r="BT910" t="str">
        <f>HYPERLINK("https%3A%2F%2Fwww.webofscience.com%2Fwos%2Fwoscc%2Ffull-record%2FWOS:000758168005012","View Full Record in Web of Science")</f>
        <v>View Full Record in Web of Science</v>
      </c>
    </row>
    <row r="911" spans="1:72" x14ac:dyDescent="0.25">
      <c r="A911" t="s">
        <v>72</v>
      </c>
      <c r="B911" t="s">
        <v>17875</v>
      </c>
      <c r="C911" t="s">
        <v>74</v>
      </c>
      <c r="D911" t="s">
        <v>74</v>
      </c>
      <c r="E911" t="s">
        <v>74</v>
      </c>
      <c r="F911" t="s">
        <v>17876</v>
      </c>
      <c r="G911" t="s">
        <v>74</v>
      </c>
      <c r="H911" t="s">
        <v>74</v>
      </c>
      <c r="I911" t="s">
        <v>17877</v>
      </c>
      <c r="J911" t="s">
        <v>13604</v>
      </c>
      <c r="K911" t="s">
        <v>74</v>
      </c>
      <c r="L911" t="s">
        <v>74</v>
      </c>
      <c r="M911" t="s">
        <v>78</v>
      </c>
      <c r="N911" t="s">
        <v>79</v>
      </c>
      <c r="O911" t="s">
        <v>74</v>
      </c>
      <c r="P911" t="s">
        <v>74</v>
      </c>
      <c r="Q911" t="s">
        <v>74</v>
      </c>
      <c r="R911" t="s">
        <v>74</v>
      </c>
      <c r="S911" t="s">
        <v>74</v>
      </c>
      <c r="T911" t="s">
        <v>17878</v>
      </c>
      <c r="U911" t="s">
        <v>17879</v>
      </c>
      <c r="V911" t="s">
        <v>17880</v>
      </c>
      <c r="W911" t="s">
        <v>17881</v>
      </c>
      <c r="X911" t="s">
        <v>17882</v>
      </c>
      <c r="Y911" t="s">
        <v>17883</v>
      </c>
      <c r="Z911" t="s">
        <v>17884</v>
      </c>
      <c r="AA911" t="s">
        <v>17885</v>
      </c>
      <c r="AB911" t="s">
        <v>74</v>
      </c>
      <c r="AC911" t="s">
        <v>74</v>
      </c>
      <c r="AD911" t="s">
        <v>74</v>
      </c>
      <c r="AE911" t="s">
        <v>74</v>
      </c>
      <c r="AF911" t="s">
        <v>74</v>
      </c>
      <c r="AG911">
        <v>38</v>
      </c>
      <c r="AH911">
        <v>7</v>
      </c>
      <c r="AI911">
        <v>10</v>
      </c>
      <c r="AJ911">
        <v>0</v>
      </c>
      <c r="AK911">
        <v>16</v>
      </c>
      <c r="AL911" t="s">
        <v>4549</v>
      </c>
      <c r="AM911" t="s">
        <v>4550</v>
      </c>
      <c r="AN911" t="s">
        <v>4551</v>
      </c>
      <c r="AO911" t="s">
        <v>13611</v>
      </c>
      <c r="AP911" t="s">
        <v>15015</v>
      </c>
      <c r="AQ911" t="s">
        <v>74</v>
      </c>
      <c r="AR911" t="s">
        <v>13612</v>
      </c>
      <c r="AS911" t="s">
        <v>13613</v>
      </c>
      <c r="AT911" t="s">
        <v>1375</v>
      </c>
      <c r="AU911">
        <v>2008</v>
      </c>
      <c r="AV911">
        <v>72</v>
      </c>
      <c r="AW911">
        <v>3</v>
      </c>
      <c r="AX911" t="s">
        <v>74</v>
      </c>
      <c r="AY911" t="s">
        <v>74</v>
      </c>
      <c r="AZ911" t="s">
        <v>74</v>
      </c>
      <c r="BA911" t="s">
        <v>74</v>
      </c>
      <c r="BB911">
        <v>284</v>
      </c>
      <c r="BC911">
        <v>297</v>
      </c>
      <c r="BD911" t="s">
        <v>74</v>
      </c>
      <c r="BE911" t="s">
        <v>17886</v>
      </c>
      <c r="BF911" t="str">
        <f>HYPERLINK("http://dx.doi.org/10.1016/j.jvb.2007.09.004","http://dx.doi.org/10.1016/j.jvb.2007.09.004")</f>
        <v>http://dx.doi.org/10.1016/j.jvb.2007.09.004</v>
      </c>
      <c r="BG911" t="s">
        <v>74</v>
      </c>
      <c r="BH911" t="s">
        <v>74</v>
      </c>
      <c r="BI911">
        <v>14</v>
      </c>
      <c r="BJ911" t="s">
        <v>10400</v>
      </c>
      <c r="BK911" t="s">
        <v>250</v>
      </c>
      <c r="BL911" t="s">
        <v>251</v>
      </c>
      <c r="BM911" t="s">
        <v>17887</v>
      </c>
      <c r="BN911" t="s">
        <v>74</v>
      </c>
      <c r="BO911" t="s">
        <v>74</v>
      </c>
      <c r="BP911" t="s">
        <v>74</v>
      </c>
      <c r="BQ911" t="s">
        <v>74</v>
      </c>
      <c r="BR911" t="s">
        <v>106</v>
      </c>
      <c r="BS911" t="s">
        <v>17888</v>
      </c>
      <c r="BT911" t="str">
        <f>HYPERLINK("https%3A%2F%2Fwww.webofscience.com%2Fwos%2Fwoscc%2Ffull-record%2FWOS:000256454400002","View Full Record in Web of Science")</f>
        <v>View Full Record in Web of Science</v>
      </c>
    </row>
    <row r="912" spans="1:72" x14ac:dyDescent="0.25">
      <c r="A912" t="s">
        <v>108</v>
      </c>
      <c r="B912" t="s">
        <v>17889</v>
      </c>
      <c r="C912" t="s">
        <v>74</v>
      </c>
      <c r="D912" t="s">
        <v>1651</v>
      </c>
      <c r="E912" t="s">
        <v>74</v>
      </c>
      <c r="F912" t="s">
        <v>17890</v>
      </c>
      <c r="G912" t="s">
        <v>74</v>
      </c>
      <c r="H912" t="s">
        <v>74</v>
      </c>
      <c r="I912" t="s">
        <v>17891</v>
      </c>
      <c r="J912" t="s">
        <v>17892</v>
      </c>
      <c r="K912" t="s">
        <v>5618</v>
      </c>
      <c r="L912" t="s">
        <v>74</v>
      </c>
      <c r="M912" t="s">
        <v>78</v>
      </c>
      <c r="N912" t="s">
        <v>115</v>
      </c>
      <c r="O912" t="s">
        <v>17893</v>
      </c>
      <c r="P912" t="s">
        <v>17894</v>
      </c>
      <c r="Q912" t="s">
        <v>17895</v>
      </c>
      <c r="R912" t="s">
        <v>74</v>
      </c>
      <c r="S912" t="s">
        <v>74</v>
      </c>
      <c r="T912" t="s">
        <v>17896</v>
      </c>
      <c r="U912" t="s">
        <v>17897</v>
      </c>
      <c r="V912" t="s">
        <v>17898</v>
      </c>
      <c r="W912" t="s">
        <v>17899</v>
      </c>
      <c r="X912" t="s">
        <v>17900</v>
      </c>
      <c r="Y912" t="s">
        <v>17901</v>
      </c>
      <c r="Z912" t="s">
        <v>74</v>
      </c>
      <c r="AA912" t="s">
        <v>17902</v>
      </c>
      <c r="AB912" t="s">
        <v>74</v>
      </c>
      <c r="AC912" t="s">
        <v>17903</v>
      </c>
      <c r="AD912" t="s">
        <v>17904</v>
      </c>
      <c r="AE912" t="s">
        <v>17905</v>
      </c>
      <c r="AF912" t="s">
        <v>74</v>
      </c>
      <c r="AG912">
        <v>14</v>
      </c>
      <c r="AH912">
        <v>0</v>
      </c>
      <c r="AI912">
        <v>0</v>
      </c>
      <c r="AJ912">
        <v>0</v>
      </c>
      <c r="AK912">
        <v>3</v>
      </c>
      <c r="AL912" t="s">
        <v>1668</v>
      </c>
      <c r="AM912" t="s">
        <v>1669</v>
      </c>
      <c r="AN912" t="s">
        <v>1670</v>
      </c>
      <c r="AO912" t="s">
        <v>5626</v>
      </c>
      <c r="AP912" t="s">
        <v>74</v>
      </c>
      <c r="AQ912" t="s">
        <v>17906</v>
      </c>
      <c r="AR912" t="s">
        <v>5628</v>
      </c>
      <c r="AS912" t="s">
        <v>74</v>
      </c>
      <c r="AT912" t="s">
        <v>74</v>
      </c>
      <c r="AU912">
        <v>2018</v>
      </c>
      <c r="AV912" t="s">
        <v>74</v>
      </c>
      <c r="AW912" t="s">
        <v>74</v>
      </c>
      <c r="AX912" t="s">
        <v>74</v>
      </c>
      <c r="AY912" t="s">
        <v>74</v>
      </c>
      <c r="AZ912" t="s">
        <v>74</v>
      </c>
      <c r="BA912" t="s">
        <v>74</v>
      </c>
      <c r="BB912">
        <v>11247</v>
      </c>
      <c r="BC912">
        <v>11253</v>
      </c>
      <c r="BD912" t="s">
        <v>74</v>
      </c>
      <c r="BE912" t="s">
        <v>74</v>
      </c>
      <c r="BF912" t="s">
        <v>74</v>
      </c>
      <c r="BG912" t="s">
        <v>74</v>
      </c>
      <c r="BH912" t="s">
        <v>74</v>
      </c>
      <c r="BI912">
        <v>7</v>
      </c>
      <c r="BJ912" t="s">
        <v>318</v>
      </c>
      <c r="BK912" t="s">
        <v>1042</v>
      </c>
      <c r="BL912" t="s">
        <v>318</v>
      </c>
      <c r="BM912" t="s">
        <v>17907</v>
      </c>
      <c r="BN912" t="s">
        <v>74</v>
      </c>
      <c r="BO912" t="s">
        <v>74</v>
      </c>
      <c r="BP912" t="s">
        <v>74</v>
      </c>
      <c r="BQ912" t="s">
        <v>74</v>
      </c>
      <c r="BR912" t="s">
        <v>106</v>
      </c>
      <c r="BS912" t="s">
        <v>17908</v>
      </c>
      <c r="BT912" t="str">
        <f>HYPERLINK("https%3A%2F%2Fwww.webofscience.com%2Fwos%2Fwoscc%2Ffull-record%2FWOS:000531474305116","View Full Record in Web of Science")</f>
        <v>View Full Record in Web of Science</v>
      </c>
    </row>
    <row r="913" spans="1:72" x14ac:dyDescent="0.25">
      <c r="A913" t="s">
        <v>108</v>
      </c>
      <c r="B913" t="s">
        <v>17909</v>
      </c>
      <c r="C913" t="s">
        <v>74</v>
      </c>
      <c r="D913" t="s">
        <v>17910</v>
      </c>
      <c r="E913" t="s">
        <v>74</v>
      </c>
      <c r="F913" t="s">
        <v>17911</v>
      </c>
      <c r="G913" t="s">
        <v>74</v>
      </c>
      <c r="H913" t="s">
        <v>74</v>
      </c>
      <c r="I913" t="s">
        <v>17912</v>
      </c>
      <c r="J913" t="s">
        <v>17913</v>
      </c>
      <c r="K913" t="s">
        <v>147</v>
      </c>
      <c r="L913" t="s">
        <v>74</v>
      </c>
      <c r="M913" t="s">
        <v>78</v>
      </c>
      <c r="N913" t="s">
        <v>115</v>
      </c>
      <c r="O913" t="s">
        <v>17914</v>
      </c>
      <c r="P913" t="s">
        <v>17915</v>
      </c>
      <c r="Q913" t="s">
        <v>17916</v>
      </c>
      <c r="R913" t="s">
        <v>17917</v>
      </c>
      <c r="S913" t="s">
        <v>74</v>
      </c>
      <c r="T913" t="s">
        <v>74</v>
      </c>
      <c r="U913" t="s">
        <v>74</v>
      </c>
      <c r="V913" t="s">
        <v>17918</v>
      </c>
      <c r="W913" t="s">
        <v>17919</v>
      </c>
      <c r="X913" t="s">
        <v>17920</v>
      </c>
      <c r="Y913" t="s">
        <v>17921</v>
      </c>
      <c r="Z913" t="s">
        <v>17922</v>
      </c>
      <c r="AA913" t="s">
        <v>74</v>
      </c>
      <c r="AB913" t="s">
        <v>17923</v>
      </c>
      <c r="AC913" t="s">
        <v>17924</v>
      </c>
      <c r="AD913" t="s">
        <v>17925</v>
      </c>
      <c r="AE913" t="s">
        <v>17926</v>
      </c>
      <c r="AF913" t="s">
        <v>74</v>
      </c>
      <c r="AG913">
        <v>13</v>
      </c>
      <c r="AH913">
        <v>0</v>
      </c>
      <c r="AI913">
        <v>0</v>
      </c>
      <c r="AJ913">
        <v>0</v>
      </c>
      <c r="AK913">
        <v>5</v>
      </c>
      <c r="AL913" t="s">
        <v>197</v>
      </c>
      <c r="AM913" t="s">
        <v>198</v>
      </c>
      <c r="AN913" t="s">
        <v>199</v>
      </c>
      <c r="AO913" t="s">
        <v>159</v>
      </c>
      <c r="AP913" t="s">
        <v>133</v>
      </c>
      <c r="AQ913" t="s">
        <v>17927</v>
      </c>
      <c r="AR913" t="s">
        <v>161</v>
      </c>
      <c r="AS913" t="s">
        <v>74</v>
      </c>
      <c r="AT913" t="s">
        <v>74</v>
      </c>
      <c r="AU913">
        <v>2009</v>
      </c>
      <c r="AV913">
        <v>5886</v>
      </c>
      <c r="AW913" t="s">
        <v>74</v>
      </c>
      <c r="AX913" t="s">
        <v>74</v>
      </c>
      <c r="AY913" t="s">
        <v>74</v>
      </c>
      <c r="AZ913" t="s">
        <v>74</v>
      </c>
      <c r="BA913" t="s">
        <v>74</v>
      </c>
      <c r="BB913">
        <v>120</v>
      </c>
      <c r="BC913" t="s">
        <v>5459</v>
      </c>
      <c r="BD913" t="s">
        <v>74</v>
      </c>
      <c r="BE913" t="s">
        <v>74</v>
      </c>
      <c r="BF913" t="s">
        <v>74</v>
      </c>
      <c r="BG913" t="s">
        <v>74</v>
      </c>
      <c r="BH913" t="s">
        <v>74</v>
      </c>
      <c r="BI913">
        <v>3</v>
      </c>
      <c r="BJ913" t="s">
        <v>17928</v>
      </c>
      <c r="BK913" t="s">
        <v>203</v>
      </c>
      <c r="BL913" t="s">
        <v>17929</v>
      </c>
      <c r="BM913" t="s">
        <v>17930</v>
      </c>
      <c r="BN913" t="s">
        <v>74</v>
      </c>
      <c r="BO913" t="s">
        <v>74</v>
      </c>
      <c r="BP913" t="s">
        <v>74</v>
      </c>
      <c r="BQ913" t="s">
        <v>74</v>
      </c>
      <c r="BR913" t="s">
        <v>106</v>
      </c>
      <c r="BS913" t="s">
        <v>17931</v>
      </c>
      <c r="BT913" t="str">
        <f>HYPERLINK("https%3A%2F%2Fwww.webofscience.com%2Fwos%2Fwoscc%2Ffull-record%2FWOS:000278995700009","View Full Record in Web of Science")</f>
        <v>View Full Record in Web of Science</v>
      </c>
    </row>
    <row r="914" spans="1:72" x14ac:dyDescent="0.25">
      <c r="A914" t="s">
        <v>2400</v>
      </c>
      <c r="B914" t="s">
        <v>17932</v>
      </c>
      <c r="C914" t="s">
        <v>74</v>
      </c>
      <c r="D914" t="s">
        <v>17933</v>
      </c>
      <c r="E914" t="s">
        <v>74</v>
      </c>
      <c r="F914" t="s">
        <v>17934</v>
      </c>
      <c r="G914" t="s">
        <v>74</v>
      </c>
      <c r="H914" t="s">
        <v>74</v>
      </c>
      <c r="I914" t="s">
        <v>17935</v>
      </c>
      <c r="J914" t="s">
        <v>17936</v>
      </c>
      <c r="K914" t="s">
        <v>2406</v>
      </c>
      <c r="L914" t="s">
        <v>74</v>
      </c>
      <c r="M914" t="s">
        <v>78</v>
      </c>
      <c r="N914" t="s">
        <v>1113</v>
      </c>
      <c r="O914" t="s">
        <v>74</v>
      </c>
      <c r="P914" t="s">
        <v>74</v>
      </c>
      <c r="Q914" t="s">
        <v>74</v>
      </c>
      <c r="R914" t="s">
        <v>74</v>
      </c>
      <c r="S914" t="s">
        <v>74</v>
      </c>
      <c r="T914" t="s">
        <v>17937</v>
      </c>
      <c r="U914" t="s">
        <v>1421</v>
      </c>
      <c r="V914" t="s">
        <v>17938</v>
      </c>
      <c r="W914" t="s">
        <v>17939</v>
      </c>
      <c r="X914" t="s">
        <v>8857</v>
      </c>
      <c r="Y914" t="s">
        <v>17940</v>
      </c>
      <c r="Z914" t="s">
        <v>17941</v>
      </c>
      <c r="AA914" t="s">
        <v>8860</v>
      </c>
      <c r="AB914" t="s">
        <v>17942</v>
      </c>
      <c r="AC914" t="s">
        <v>74</v>
      </c>
      <c r="AD914" t="s">
        <v>74</v>
      </c>
      <c r="AE914" t="s">
        <v>74</v>
      </c>
      <c r="AF914" t="s">
        <v>74</v>
      </c>
      <c r="AG914">
        <v>37</v>
      </c>
      <c r="AH914">
        <v>22</v>
      </c>
      <c r="AI914">
        <v>25</v>
      </c>
      <c r="AJ914">
        <v>0</v>
      </c>
      <c r="AK914">
        <v>3</v>
      </c>
      <c r="AL914" t="s">
        <v>197</v>
      </c>
      <c r="AM914" t="s">
        <v>198</v>
      </c>
      <c r="AN914" t="s">
        <v>199</v>
      </c>
      <c r="AO914" t="s">
        <v>2415</v>
      </c>
      <c r="AP914" t="s">
        <v>2416</v>
      </c>
      <c r="AQ914" t="s">
        <v>17943</v>
      </c>
      <c r="AR914" t="s">
        <v>2418</v>
      </c>
      <c r="AS914" t="s">
        <v>74</v>
      </c>
      <c r="AT914" t="s">
        <v>74</v>
      </c>
      <c r="AU914">
        <v>2009</v>
      </c>
      <c r="AV914">
        <v>229</v>
      </c>
      <c r="AW914" t="s">
        <v>74</v>
      </c>
      <c r="AX914" t="s">
        <v>74</v>
      </c>
      <c r="AY914" t="s">
        <v>74</v>
      </c>
      <c r="AZ914" t="s">
        <v>74</v>
      </c>
      <c r="BA914" t="s">
        <v>74</v>
      </c>
      <c r="BB914">
        <v>27</v>
      </c>
      <c r="BC914">
        <v>47</v>
      </c>
      <c r="BD914" t="s">
        <v>74</v>
      </c>
      <c r="BE914" t="s">
        <v>74</v>
      </c>
      <c r="BF914" t="s">
        <v>74</v>
      </c>
      <c r="BG914" t="s">
        <v>17944</v>
      </c>
      <c r="BH914" t="s">
        <v>74</v>
      </c>
      <c r="BI914">
        <v>21</v>
      </c>
      <c r="BJ914" t="s">
        <v>952</v>
      </c>
      <c r="BK914" t="s">
        <v>2421</v>
      </c>
      <c r="BL914" t="s">
        <v>953</v>
      </c>
      <c r="BM914" t="s">
        <v>17945</v>
      </c>
      <c r="BN914" t="s">
        <v>74</v>
      </c>
      <c r="BO914" t="s">
        <v>74</v>
      </c>
      <c r="BP914" t="s">
        <v>74</v>
      </c>
      <c r="BQ914" t="s">
        <v>74</v>
      </c>
      <c r="BR914" t="s">
        <v>106</v>
      </c>
      <c r="BS914" t="s">
        <v>17946</v>
      </c>
      <c r="BT914" t="str">
        <f>HYPERLINK("https%3A%2F%2Fwww.webofscience.com%2Fwos%2Fwoscc%2Ffull-record%2FWOS:000270094400002","View Full Record in Web of Science")</f>
        <v>View Full Record in Web of Science</v>
      </c>
    </row>
    <row r="915" spans="1:72" x14ac:dyDescent="0.25">
      <c r="A915" t="s">
        <v>108</v>
      </c>
      <c r="B915" t="s">
        <v>17947</v>
      </c>
      <c r="C915" t="s">
        <v>74</v>
      </c>
      <c r="D915" t="s">
        <v>17948</v>
      </c>
      <c r="E915" t="s">
        <v>74</v>
      </c>
      <c r="F915" t="s">
        <v>17949</v>
      </c>
      <c r="G915" t="s">
        <v>74</v>
      </c>
      <c r="H915" t="s">
        <v>74</v>
      </c>
      <c r="I915" t="s">
        <v>17950</v>
      </c>
      <c r="J915" t="s">
        <v>17951</v>
      </c>
      <c r="K915" t="s">
        <v>74</v>
      </c>
      <c r="L915" t="s">
        <v>74</v>
      </c>
      <c r="M915" t="s">
        <v>17741</v>
      </c>
      <c r="N915" t="s">
        <v>115</v>
      </c>
      <c r="O915" t="s">
        <v>17952</v>
      </c>
      <c r="P915" t="s">
        <v>17953</v>
      </c>
      <c r="Q915" t="s">
        <v>17954</v>
      </c>
      <c r="R915" t="s">
        <v>74</v>
      </c>
      <c r="S915" t="s">
        <v>74</v>
      </c>
      <c r="T915" t="s">
        <v>17955</v>
      </c>
      <c r="U915" t="s">
        <v>74</v>
      </c>
      <c r="V915" t="s">
        <v>17956</v>
      </c>
      <c r="W915" t="s">
        <v>17957</v>
      </c>
      <c r="X915" t="s">
        <v>74</v>
      </c>
      <c r="Y915" t="s">
        <v>17958</v>
      </c>
      <c r="Z915" t="s">
        <v>17959</v>
      </c>
      <c r="AA915" t="s">
        <v>74</v>
      </c>
      <c r="AB915" t="s">
        <v>74</v>
      </c>
      <c r="AC915" t="s">
        <v>74</v>
      </c>
      <c r="AD915" t="s">
        <v>74</v>
      </c>
      <c r="AE915" t="s">
        <v>74</v>
      </c>
      <c r="AF915" t="s">
        <v>74</v>
      </c>
      <c r="AG915">
        <v>5</v>
      </c>
      <c r="AH915">
        <v>0</v>
      </c>
      <c r="AI915">
        <v>0</v>
      </c>
      <c r="AJ915">
        <v>0</v>
      </c>
      <c r="AK915">
        <v>1</v>
      </c>
      <c r="AL915" t="s">
        <v>17960</v>
      </c>
      <c r="AM915" t="s">
        <v>17961</v>
      </c>
      <c r="AN915" t="s">
        <v>17962</v>
      </c>
      <c r="AO915" t="s">
        <v>74</v>
      </c>
      <c r="AP915" t="s">
        <v>74</v>
      </c>
      <c r="AQ915" t="s">
        <v>17963</v>
      </c>
      <c r="AR915" t="s">
        <v>74</v>
      </c>
      <c r="AS915" t="s">
        <v>74</v>
      </c>
      <c r="AT915" t="s">
        <v>74</v>
      </c>
      <c r="AU915">
        <v>2010</v>
      </c>
      <c r="AV915" t="s">
        <v>74</v>
      </c>
      <c r="AW915" t="s">
        <v>74</v>
      </c>
      <c r="AX915" t="s">
        <v>74</v>
      </c>
      <c r="AY915" t="s">
        <v>74</v>
      </c>
      <c r="AZ915" t="s">
        <v>74</v>
      </c>
      <c r="BA915" t="s">
        <v>74</v>
      </c>
      <c r="BB915">
        <v>431</v>
      </c>
      <c r="BC915">
        <v>434</v>
      </c>
      <c r="BD915" t="s">
        <v>74</v>
      </c>
      <c r="BE915" t="s">
        <v>74</v>
      </c>
      <c r="BF915" t="s">
        <v>74</v>
      </c>
      <c r="BG915" t="s">
        <v>74</v>
      </c>
      <c r="BH915" t="s">
        <v>74</v>
      </c>
      <c r="BI915">
        <v>4</v>
      </c>
      <c r="BJ915" t="s">
        <v>17964</v>
      </c>
      <c r="BK915" t="s">
        <v>203</v>
      </c>
      <c r="BL915" t="s">
        <v>953</v>
      </c>
      <c r="BM915" t="s">
        <v>17965</v>
      </c>
      <c r="BN915" t="s">
        <v>74</v>
      </c>
      <c r="BO915" t="s">
        <v>74</v>
      </c>
      <c r="BP915" t="s">
        <v>74</v>
      </c>
      <c r="BQ915" t="s">
        <v>74</v>
      </c>
      <c r="BR915" t="s">
        <v>106</v>
      </c>
      <c r="BS915" t="s">
        <v>17966</v>
      </c>
      <c r="BT915" t="str">
        <f>HYPERLINK("https%3A%2F%2Fwww.webofscience.com%2Fwos%2Fwoscc%2Ffull-record%2FWOS:000290499500108","View Full Record in Web of Science")</f>
        <v>View Full Record in Web of Science</v>
      </c>
    </row>
    <row r="916" spans="1:72" x14ac:dyDescent="0.25">
      <c r="A916" t="s">
        <v>108</v>
      </c>
      <c r="B916" t="s">
        <v>17967</v>
      </c>
      <c r="C916" t="s">
        <v>74</v>
      </c>
      <c r="D916" t="s">
        <v>17968</v>
      </c>
      <c r="E916" t="s">
        <v>74</v>
      </c>
      <c r="F916" t="s">
        <v>17969</v>
      </c>
      <c r="G916" t="s">
        <v>74</v>
      </c>
      <c r="H916" t="s">
        <v>74</v>
      </c>
      <c r="I916" t="s">
        <v>17970</v>
      </c>
      <c r="J916" t="s">
        <v>17971</v>
      </c>
      <c r="K916" t="s">
        <v>4853</v>
      </c>
      <c r="L916" t="s">
        <v>74</v>
      </c>
      <c r="M916" t="s">
        <v>78</v>
      </c>
      <c r="N916" t="s">
        <v>115</v>
      </c>
      <c r="O916" t="s">
        <v>17972</v>
      </c>
      <c r="P916" t="s">
        <v>17973</v>
      </c>
      <c r="Q916" t="s">
        <v>13372</v>
      </c>
      <c r="R916" t="s">
        <v>17974</v>
      </c>
      <c r="S916" t="s">
        <v>74</v>
      </c>
      <c r="T916" t="s">
        <v>17975</v>
      </c>
      <c r="U916" t="s">
        <v>74</v>
      </c>
      <c r="V916" t="s">
        <v>17976</v>
      </c>
      <c r="W916" t="s">
        <v>17977</v>
      </c>
      <c r="X916" t="s">
        <v>17978</v>
      </c>
      <c r="Y916" t="s">
        <v>17979</v>
      </c>
      <c r="Z916" t="s">
        <v>17980</v>
      </c>
      <c r="AA916" t="s">
        <v>74</v>
      </c>
      <c r="AB916" t="s">
        <v>74</v>
      </c>
      <c r="AC916" t="s">
        <v>74</v>
      </c>
      <c r="AD916" t="s">
        <v>74</v>
      </c>
      <c r="AE916" t="s">
        <v>74</v>
      </c>
      <c r="AF916" t="s">
        <v>74</v>
      </c>
      <c r="AG916">
        <v>23</v>
      </c>
      <c r="AH916">
        <v>0</v>
      </c>
      <c r="AI916">
        <v>0</v>
      </c>
      <c r="AJ916">
        <v>2</v>
      </c>
      <c r="AK916">
        <v>2</v>
      </c>
      <c r="AL916" t="s">
        <v>129</v>
      </c>
      <c r="AM916" t="s">
        <v>130</v>
      </c>
      <c r="AN916" t="s">
        <v>131</v>
      </c>
      <c r="AO916" t="s">
        <v>4865</v>
      </c>
      <c r="AP916" t="s">
        <v>4866</v>
      </c>
      <c r="AQ916" t="s">
        <v>17981</v>
      </c>
      <c r="AR916" t="s">
        <v>4868</v>
      </c>
      <c r="AS916" t="s">
        <v>74</v>
      </c>
      <c r="AT916" t="s">
        <v>74</v>
      </c>
      <c r="AU916">
        <v>2026</v>
      </c>
      <c r="AV916">
        <v>2723</v>
      </c>
      <c r="AW916" t="s">
        <v>74</v>
      </c>
      <c r="AX916" t="s">
        <v>74</v>
      </c>
      <c r="AY916" t="s">
        <v>74</v>
      </c>
      <c r="AZ916" t="s">
        <v>74</v>
      </c>
      <c r="BA916" t="s">
        <v>74</v>
      </c>
      <c r="BB916">
        <v>17</v>
      </c>
      <c r="BC916">
        <v>25</v>
      </c>
      <c r="BD916" t="s">
        <v>74</v>
      </c>
      <c r="BE916" t="s">
        <v>17982</v>
      </c>
      <c r="BF916" t="str">
        <f>HYPERLINK("http://dx.doi.org/10.1007/978-3-032-13056-3_2","http://dx.doi.org/10.1007/978-3-032-13056-3_2")</f>
        <v>http://dx.doi.org/10.1007/978-3-032-13056-3_2</v>
      </c>
      <c r="BG916" t="s">
        <v>74</v>
      </c>
      <c r="BH916" t="s">
        <v>74</v>
      </c>
      <c r="BI916">
        <v>9</v>
      </c>
      <c r="BJ916" t="s">
        <v>1399</v>
      </c>
      <c r="BK916" t="s">
        <v>203</v>
      </c>
      <c r="BL916" t="s">
        <v>103</v>
      </c>
      <c r="BM916" t="s">
        <v>17983</v>
      </c>
      <c r="BN916" t="s">
        <v>74</v>
      </c>
      <c r="BO916" t="s">
        <v>74</v>
      </c>
      <c r="BP916" t="s">
        <v>74</v>
      </c>
      <c r="BQ916" t="s">
        <v>74</v>
      </c>
      <c r="BR916" t="s">
        <v>106</v>
      </c>
      <c r="BS916" t="s">
        <v>17984</v>
      </c>
      <c r="BT916" t="str">
        <f>HYPERLINK("https%3A%2F%2Fwww.webofscience.com%2Fwos%2Fwoscc%2Ffull-record%2FWOS:001758847100002","View Full Record in Web of Science")</f>
        <v>View Full Record in Web of Science</v>
      </c>
    </row>
    <row r="917" spans="1:72" x14ac:dyDescent="0.25">
      <c r="A917" t="s">
        <v>72</v>
      </c>
      <c r="B917" t="s">
        <v>17985</v>
      </c>
      <c r="C917" t="s">
        <v>74</v>
      </c>
      <c r="D917" t="s">
        <v>74</v>
      </c>
      <c r="E917" t="s">
        <v>74</v>
      </c>
      <c r="F917" t="s">
        <v>17986</v>
      </c>
      <c r="G917" t="s">
        <v>74</v>
      </c>
      <c r="H917" t="s">
        <v>74</v>
      </c>
      <c r="I917" t="s">
        <v>17987</v>
      </c>
      <c r="J917" t="s">
        <v>17988</v>
      </c>
      <c r="K917" t="s">
        <v>74</v>
      </c>
      <c r="L917" t="s">
        <v>74</v>
      </c>
      <c r="M917" t="s">
        <v>78</v>
      </c>
      <c r="N917" t="s">
        <v>79</v>
      </c>
      <c r="O917" t="s">
        <v>74</v>
      </c>
      <c r="P917" t="s">
        <v>74</v>
      </c>
      <c r="Q917" t="s">
        <v>74</v>
      </c>
      <c r="R917" t="s">
        <v>74</v>
      </c>
      <c r="S917" t="s">
        <v>74</v>
      </c>
      <c r="T917" t="s">
        <v>17989</v>
      </c>
      <c r="U917" t="s">
        <v>74</v>
      </c>
      <c r="V917" t="s">
        <v>17990</v>
      </c>
      <c r="W917" t="s">
        <v>17991</v>
      </c>
      <c r="X917" t="s">
        <v>17992</v>
      </c>
      <c r="Y917" t="s">
        <v>17993</v>
      </c>
      <c r="Z917" t="s">
        <v>17994</v>
      </c>
      <c r="AA917" t="s">
        <v>74</v>
      </c>
      <c r="AB917" t="s">
        <v>74</v>
      </c>
      <c r="AC917" t="s">
        <v>74</v>
      </c>
      <c r="AD917" t="s">
        <v>74</v>
      </c>
      <c r="AE917" t="s">
        <v>74</v>
      </c>
      <c r="AF917" t="s">
        <v>74</v>
      </c>
      <c r="AG917">
        <v>21</v>
      </c>
      <c r="AH917">
        <v>1</v>
      </c>
      <c r="AI917">
        <v>2</v>
      </c>
      <c r="AJ917">
        <v>7</v>
      </c>
      <c r="AK917">
        <v>64</v>
      </c>
      <c r="AL917" t="s">
        <v>3157</v>
      </c>
      <c r="AM917" t="s">
        <v>3158</v>
      </c>
      <c r="AN917" t="s">
        <v>3159</v>
      </c>
      <c r="AO917" t="s">
        <v>17995</v>
      </c>
      <c r="AP917" t="s">
        <v>17996</v>
      </c>
      <c r="AQ917" t="s">
        <v>74</v>
      </c>
      <c r="AR917" t="s">
        <v>17997</v>
      </c>
      <c r="AS917" t="s">
        <v>17998</v>
      </c>
      <c r="AT917" t="s">
        <v>74</v>
      </c>
      <c r="AU917">
        <v>2024</v>
      </c>
      <c r="AV917">
        <v>34</v>
      </c>
      <c r="AW917">
        <v>1</v>
      </c>
      <c r="AX917" t="s">
        <v>74</v>
      </c>
      <c r="AY917" t="s">
        <v>74</v>
      </c>
      <c r="AZ917" t="s">
        <v>74</v>
      </c>
      <c r="BA917" t="s">
        <v>74</v>
      </c>
      <c r="BB917">
        <v>88</v>
      </c>
      <c r="BC917">
        <v>99</v>
      </c>
      <c r="BD917" t="s">
        <v>74</v>
      </c>
      <c r="BE917" t="s">
        <v>17999</v>
      </c>
      <c r="BF917" t="str">
        <f>HYPERLINK("http://dx.doi.org/10.1504/IJCEELL.2024.135266","http://dx.doi.org/10.1504/IJCEELL.2024.135266")</f>
        <v>http://dx.doi.org/10.1504/IJCEELL.2024.135266</v>
      </c>
      <c r="BG917" t="s">
        <v>74</v>
      </c>
      <c r="BH917" t="s">
        <v>74</v>
      </c>
      <c r="BI917">
        <v>13</v>
      </c>
      <c r="BJ917" t="s">
        <v>318</v>
      </c>
      <c r="BK917" t="s">
        <v>102</v>
      </c>
      <c r="BL917" t="s">
        <v>318</v>
      </c>
      <c r="BM917" t="s">
        <v>18000</v>
      </c>
      <c r="BN917" t="s">
        <v>74</v>
      </c>
      <c r="BO917" t="s">
        <v>205</v>
      </c>
      <c r="BP917" t="s">
        <v>74</v>
      </c>
      <c r="BQ917" t="s">
        <v>74</v>
      </c>
      <c r="BR917" t="s">
        <v>106</v>
      </c>
      <c r="BS917" t="s">
        <v>18001</v>
      </c>
      <c r="BT917" t="str">
        <f>HYPERLINK("https%3A%2F%2Fwww.webofscience.com%2Fwos%2Fwoscc%2Ffull-record%2FWOS:001113303500001","View Full Record in Web of Science")</f>
        <v>View Full Record in Web of Science</v>
      </c>
    </row>
    <row r="918" spans="1:72" x14ac:dyDescent="0.25">
      <c r="A918" t="s">
        <v>72</v>
      </c>
      <c r="B918" t="s">
        <v>18002</v>
      </c>
      <c r="C918" t="s">
        <v>74</v>
      </c>
      <c r="D918" t="s">
        <v>74</v>
      </c>
      <c r="E918" t="s">
        <v>74</v>
      </c>
      <c r="F918" t="s">
        <v>18003</v>
      </c>
      <c r="G918" t="s">
        <v>74</v>
      </c>
      <c r="H918" t="s">
        <v>74</v>
      </c>
      <c r="I918" t="s">
        <v>18004</v>
      </c>
      <c r="J918" t="s">
        <v>18005</v>
      </c>
      <c r="K918" t="s">
        <v>74</v>
      </c>
      <c r="L918" t="s">
        <v>74</v>
      </c>
      <c r="M918" t="s">
        <v>78</v>
      </c>
      <c r="N918" t="s">
        <v>7584</v>
      </c>
      <c r="O918" t="s">
        <v>18006</v>
      </c>
      <c r="P918" t="s">
        <v>18007</v>
      </c>
      <c r="Q918" t="s">
        <v>18008</v>
      </c>
      <c r="R918" t="s">
        <v>74</v>
      </c>
      <c r="S918" t="s">
        <v>74</v>
      </c>
      <c r="T918" t="s">
        <v>74</v>
      </c>
      <c r="U918" t="s">
        <v>18009</v>
      </c>
      <c r="V918" t="s">
        <v>18010</v>
      </c>
      <c r="W918" t="s">
        <v>18011</v>
      </c>
      <c r="X918" t="s">
        <v>18012</v>
      </c>
      <c r="Y918" t="s">
        <v>18013</v>
      </c>
      <c r="Z918" t="s">
        <v>18014</v>
      </c>
      <c r="AA918" t="s">
        <v>18015</v>
      </c>
      <c r="AB918" t="s">
        <v>18016</v>
      </c>
      <c r="AC918" t="s">
        <v>74</v>
      </c>
      <c r="AD918" t="s">
        <v>74</v>
      </c>
      <c r="AE918" t="s">
        <v>74</v>
      </c>
      <c r="AF918" t="s">
        <v>74</v>
      </c>
      <c r="AG918">
        <v>53</v>
      </c>
      <c r="AH918">
        <v>38</v>
      </c>
      <c r="AI918">
        <v>41</v>
      </c>
      <c r="AJ918">
        <v>0</v>
      </c>
      <c r="AK918">
        <v>10</v>
      </c>
      <c r="AL918" t="s">
        <v>10857</v>
      </c>
      <c r="AM918" t="s">
        <v>92</v>
      </c>
      <c r="AN918" t="s">
        <v>18017</v>
      </c>
      <c r="AO918" t="s">
        <v>18018</v>
      </c>
      <c r="AP918" t="s">
        <v>18019</v>
      </c>
      <c r="AQ918" t="s">
        <v>74</v>
      </c>
      <c r="AR918" t="s">
        <v>18020</v>
      </c>
      <c r="AS918" t="s">
        <v>18021</v>
      </c>
      <c r="AT918" t="s">
        <v>223</v>
      </c>
      <c r="AU918">
        <v>2008</v>
      </c>
      <c r="AV918">
        <v>23</v>
      </c>
      <c r="AW918">
        <v>1</v>
      </c>
      <c r="AX918" t="s">
        <v>74</v>
      </c>
      <c r="AY918" t="s">
        <v>74</v>
      </c>
      <c r="AZ918" t="s">
        <v>74</v>
      </c>
      <c r="BA918" t="s">
        <v>74</v>
      </c>
      <c r="BB918">
        <v>73</v>
      </c>
      <c r="BC918">
        <v>100</v>
      </c>
      <c r="BD918" t="s">
        <v>74</v>
      </c>
      <c r="BE918" t="s">
        <v>18022</v>
      </c>
      <c r="BF918" t="str">
        <f>HYPERLINK("http://dx.doi.org/10.1017/S0269888907001282","http://dx.doi.org/10.1017/S0269888907001282")</f>
        <v>http://dx.doi.org/10.1017/S0269888907001282</v>
      </c>
      <c r="BG918" t="s">
        <v>74</v>
      </c>
      <c r="BH918" t="s">
        <v>74</v>
      </c>
      <c r="BI918">
        <v>28</v>
      </c>
      <c r="BJ918" t="s">
        <v>807</v>
      </c>
      <c r="BK918" t="s">
        <v>11486</v>
      </c>
      <c r="BL918" t="s">
        <v>103</v>
      </c>
      <c r="BM918" t="s">
        <v>18023</v>
      </c>
      <c r="BN918" t="s">
        <v>74</v>
      </c>
      <c r="BO918" t="s">
        <v>18024</v>
      </c>
      <c r="BP918" t="s">
        <v>74</v>
      </c>
      <c r="BQ918" t="s">
        <v>74</v>
      </c>
      <c r="BR918" t="s">
        <v>106</v>
      </c>
      <c r="BS918" t="s">
        <v>18025</v>
      </c>
      <c r="BT918" t="str">
        <f>HYPERLINK("https%3A%2F%2Fwww.webofscience.com%2Fwos%2Fwoscc%2Ffull-record%2FWOS:000255250500005","View Full Record in Web of Science")</f>
        <v>View Full Record in Web of Science</v>
      </c>
    </row>
    <row r="919" spans="1:72" x14ac:dyDescent="0.25">
      <c r="A919" t="s">
        <v>72</v>
      </c>
      <c r="B919" t="s">
        <v>18026</v>
      </c>
      <c r="C919" t="s">
        <v>74</v>
      </c>
      <c r="D919" t="s">
        <v>74</v>
      </c>
      <c r="E919" t="s">
        <v>74</v>
      </c>
      <c r="F919" t="s">
        <v>18027</v>
      </c>
      <c r="G919" t="s">
        <v>74</v>
      </c>
      <c r="H919" t="s">
        <v>74</v>
      </c>
      <c r="I919" t="s">
        <v>18028</v>
      </c>
      <c r="J919" t="s">
        <v>18029</v>
      </c>
      <c r="K919" t="s">
        <v>74</v>
      </c>
      <c r="L919" t="s">
        <v>74</v>
      </c>
      <c r="M919" t="s">
        <v>78</v>
      </c>
      <c r="N919" t="s">
        <v>726</v>
      </c>
      <c r="O919" t="s">
        <v>74</v>
      </c>
      <c r="P919" t="s">
        <v>74</v>
      </c>
      <c r="Q919" t="s">
        <v>74</v>
      </c>
      <c r="R919" t="s">
        <v>74</v>
      </c>
      <c r="S919" t="s">
        <v>74</v>
      </c>
      <c r="T919" t="s">
        <v>18030</v>
      </c>
      <c r="U919" t="s">
        <v>2889</v>
      </c>
      <c r="V919" t="s">
        <v>18031</v>
      </c>
      <c r="W919" t="s">
        <v>18032</v>
      </c>
      <c r="X919" t="s">
        <v>18033</v>
      </c>
      <c r="Y919" t="s">
        <v>18034</v>
      </c>
      <c r="Z919" t="s">
        <v>18035</v>
      </c>
      <c r="AA919" t="s">
        <v>18036</v>
      </c>
      <c r="AB919" t="s">
        <v>18037</v>
      </c>
      <c r="AC919" t="s">
        <v>18038</v>
      </c>
      <c r="AD919" t="s">
        <v>18039</v>
      </c>
      <c r="AE919" t="s">
        <v>18040</v>
      </c>
      <c r="AF919" t="s">
        <v>74</v>
      </c>
      <c r="AG919">
        <v>75</v>
      </c>
      <c r="AH919">
        <v>25</v>
      </c>
      <c r="AI919">
        <v>26</v>
      </c>
      <c r="AJ919">
        <v>0</v>
      </c>
      <c r="AK919">
        <v>12</v>
      </c>
      <c r="AL919" t="s">
        <v>1097</v>
      </c>
      <c r="AM919" t="s">
        <v>1098</v>
      </c>
      <c r="AN919" t="s">
        <v>1099</v>
      </c>
      <c r="AO919" t="s">
        <v>18041</v>
      </c>
      <c r="AP919" t="s">
        <v>18042</v>
      </c>
      <c r="AQ919" t="s">
        <v>74</v>
      </c>
      <c r="AR919" t="s">
        <v>18029</v>
      </c>
      <c r="AS919" t="s">
        <v>18043</v>
      </c>
      <c r="AT919" t="s">
        <v>98</v>
      </c>
      <c r="AU919">
        <v>2021</v>
      </c>
      <c r="AV919">
        <v>13</v>
      </c>
      <c r="AW919">
        <v>4</v>
      </c>
      <c r="AX919" t="s">
        <v>74</v>
      </c>
      <c r="AY919" t="s">
        <v>74</v>
      </c>
      <c r="AZ919" t="s">
        <v>74</v>
      </c>
      <c r="BA919" t="s">
        <v>74</v>
      </c>
      <c r="BB919" t="s">
        <v>74</v>
      </c>
      <c r="BC919" t="s">
        <v>74</v>
      </c>
      <c r="BD919">
        <v>93</v>
      </c>
      <c r="BE919" t="s">
        <v>18044</v>
      </c>
      <c r="BF919" t="str">
        <f>HYPERLINK("http://dx.doi.org/10.1007/s12371-021-00619-y","http://dx.doi.org/10.1007/s12371-021-00619-y")</f>
        <v>http://dx.doi.org/10.1007/s12371-021-00619-y</v>
      </c>
      <c r="BG919" t="s">
        <v>74</v>
      </c>
      <c r="BH919" t="s">
        <v>74</v>
      </c>
      <c r="BI919">
        <v>17</v>
      </c>
      <c r="BJ919" t="s">
        <v>17446</v>
      </c>
      <c r="BK919" t="s">
        <v>902</v>
      </c>
      <c r="BL919" t="s">
        <v>17447</v>
      </c>
      <c r="BM919" t="s">
        <v>18045</v>
      </c>
      <c r="BN919" t="s">
        <v>74</v>
      </c>
      <c r="BO919" t="s">
        <v>74</v>
      </c>
      <c r="BP919" t="s">
        <v>74</v>
      </c>
      <c r="BQ919" t="s">
        <v>74</v>
      </c>
      <c r="BR919" t="s">
        <v>106</v>
      </c>
      <c r="BS919" t="s">
        <v>18046</v>
      </c>
      <c r="BT919" t="str">
        <f>HYPERLINK("https%3A%2F%2Fwww.webofscience.com%2Fwos%2Fwoscc%2Ffull-record%2FWOS:000710961300001","View Full Record in Web of Science")</f>
        <v>View Full Record in Web of Science</v>
      </c>
    </row>
    <row r="920" spans="1:72" x14ac:dyDescent="0.25">
      <c r="A920" t="s">
        <v>108</v>
      </c>
      <c r="B920" t="s">
        <v>18047</v>
      </c>
      <c r="C920" t="s">
        <v>74</v>
      </c>
      <c r="D920" t="s">
        <v>18048</v>
      </c>
      <c r="E920" t="s">
        <v>74</v>
      </c>
      <c r="F920" t="s">
        <v>18049</v>
      </c>
      <c r="G920" t="s">
        <v>74</v>
      </c>
      <c r="H920" t="s">
        <v>74</v>
      </c>
      <c r="I920" t="s">
        <v>18050</v>
      </c>
      <c r="J920" t="s">
        <v>18051</v>
      </c>
      <c r="K920" t="s">
        <v>147</v>
      </c>
      <c r="L920" t="s">
        <v>74</v>
      </c>
      <c r="M920" t="s">
        <v>78</v>
      </c>
      <c r="N920" t="s">
        <v>115</v>
      </c>
      <c r="O920" t="s">
        <v>18052</v>
      </c>
      <c r="P920" t="s">
        <v>18053</v>
      </c>
      <c r="Q920" t="s">
        <v>18054</v>
      </c>
      <c r="R920" t="s">
        <v>74</v>
      </c>
      <c r="S920" t="s">
        <v>74</v>
      </c>
      <c r="T920" t="s">
        <v>18055</v>
      </c>
      <c r="U920" t="s">
        <v>74</v>
      </c>
      <c r="V920" t="s">
        <v>18056</v>
      </c>
      <c r="W920" t="s">
        <v>18057</v>
      </c>
      <c r="X920" t="s">
        <v>18058</v>
      </c>
      <c r="Y920" t="s">
        <v>18059</v>
      </c>
      <c r="Z920" t="s">
        <v>18060</v>
      </c>
      <c r="AA920" t="s">
        <v>74</v>
      </c>
      <c r="AB920" t="s">
        <v>74</v>
      </c>
      <c r="AC920" t="s">
        <v>18061</v>
      </c>
      <c r="AD920" t="s">
        <v>18062</v>
      </c>
      <c r="AE920" t="s">
        <v>18063</v>
      </c>
      <c r="AF920" t="s">
        <v>74</v>
      </c>
      <c r="AG920">
        <v>32</v>
      </c>
      <c r="AH920">
        <v>0</v>
      </c>
      <c r="AI920">
        <v>0</v>
      </c>
      <c r="AJ920">
        <v>0</v>
      </c>
      <c r="AK920">
        <v>4</v>
      </c>
      <c r="AL920" t="s">
        <v>2996</v>
      </c>
      <c r="AM920" t="s">
        <v>1814</v>
      </c>
      <c r="AN920" t="s">
        <v>2997</v>
      </c>
      <c r="AO920" t="s">
        <v>159</v>
      </c>
      <c r="AP920" t="s">
        <v>133</v>
      </c>
      <c r="AQ920" t="s">
        <v>18064</v>
      </c>
      <c r="AR920" t="s">
        <v>161</v>
      </c>
      <c r="AS920" t="s">
        <v>74</v>
      </c>
      <c r="AT920" t="s">
        <v>74</v>
      </c>
      <c r="AU920">
        <v>2025</v>
      </c>
      <c r="AV920">
        <v>14852</v>
      </c>
      <c r="AW920" t="s">
        <v>74</v>
      </c>
      <c r="AX920" t="s">
        <v>74</v>
      </c>
      <c r="AY920" t="s">
        <v>74</v>
      </c>
      <c r="AZ920" t="s">
        <v>74</v>
      </c>
      <c r="BA920" t="s">
        <v>74</v>
      </c>
      <c r="BB920">
        <v>3</v>
      </c>
      <c r="BC920">
        <v>18</v>
      </c>
      <c r="BD920" t="s">
        <v>74</v>
      </c>
      <c r="BE920" t="s">
        <v>18065</v>
      </c>
      <c r="BF920" t="str">
        <f>HYPERLINK("http://dx.doi.org/10.1007/978-981-97-5555-4_1","http://dx.doi.org/10.1007/978-981-97-5555-4_1")</f>
        <v>http://dx.doi.org/10.1007/978-981-97-5555-4_1</v>
      </c>
      <c r="BG920" t="s">
        <v>74</v>
      </c>
      <c r="BH920" t="s">
        <v>74</v>
      </c>
      <c r="BI920">
        <v>16</v>
      </c>
      <c r="BJ920" t="s">
        <v>1190</v>
      </c>
      <c r="BK920" t="s">
        <v>203</v>
      </c>
      <c r="BL920" t="s">
        <v>103</v>
      </c>
      <c r="BM920" t="s">
        <v>18066</v>
      </c>
      <c r="BN920" t="s">
        <v>74</v>
      </c>
      <c r="BO920" t="s">
        <v>74</v>
      </c>
      <c r="BP920" t="s">
        <v>74</v>
      </c>
      <c r="BQ920" t="s">
        <v>74</v>
      </c>
      <c r="BR920" t="s">
        <v>106</v>
      </c>
      <c r="BS920" t="s">
        <v>18067</v>
      </c>
      <c r="BT920" t="str">
        <f>HYPERLINK("https%3A%2F%2Fwww.webofscience.com%2Fwos%2Fwoscc%2Ffull-record%2FWOS:001416103900001","View Full Record in Web of Science")</f>
        <v>View Full Record in Web of Science</v>
      </c>
    </row>
    <row r="921" spans="1:72" x14ac:dyDescent="0.25">
      <c r="A921" t="s">
        <v>72</v>
      </c>
      <c r="B921" t="s">
        <v>18068</v>
      </c>
      <c r="C921" t="s">
        <v>74</v>
      </c>
      <c r="D921" t="s">
        <v>74</v>
      </c>
      <c r="E921" t="s">
        <v>74</v>
      </c>
      <c r="F921" t="s">
        <v>18069</v>
      </c>
      <c r="G921" t="s">
        <v>74</v>
      </c>
      <c r="H921" t="s">
        <v>74</v>
      </c>
      <c r="I921" t="s">
        <v>18070</v>
      </c>
      <c r="J921" t="s">
        <v>18071</v>
      </c>
      <c r="K921" t="s">
        <v>74</v>
      </c>
      <c r="L921" t="s">
        <v>74</v>
      </c>
      <c r="M921" t="s">
        <v>78</v>
      </c>
      <c r="N921" t="s">
        <v>79</v>
      </c>
      <c r="O921" t="s">
        <v>74</v>
      </c>
      <c r="P921" t="s">
        <v>74</v>
      </c>
      <c r="Q921" t="s">
        <v>74</v>
      </c>
      <c r="R921" t="s">
        <v>74</v>
      </c>
      <c r="S921" t="s">
        <v>74</v>
      </c>
      <c r="T921" t="s">
        <v>18072</v>
      </c>
      <c r="U921" t="s">
        <v>74</v>
      </c>
      <c r="V921" t="s">
        <v>18073</v>
      </c>
      <c r="W921" t="s">
        <v>18074</v>
      </c>
      <c r="X921" t="s">
        <v>18075</v>
      </c>
      <c r="Y921" t="s">
        <v>18076</v>
      </c>
      <c r="Z921" t="s">
        <v>18077</v>
      </c>
      <c r="AA921" t="s">
        <v>18078</v>
      </c>
      <c r="AB921" t="s">
        <v>18079</v>
      </c>
      <c r="AC921" t="s">
        <v>18080</v>
      </c>
      <c r="AD921" t="s">
        <v>18081</v>
      </c>
      <c r="AE921" t="s">
        <v>18082</v>
      </c>
      <c r="AF921" t="s">
        <v>74</v>
      </c>
      <c r="AG921">
        <v>40</v>
      </c>
      <c r="AH921">
        <v>0</v>
      </c>
      <c r="AI921">
        <v>0</v>
      </c>
      <c r="AJ921">
        <v>0</v>
      </c>
      <c r="AK921">
        <v>3</v>
      </c>
      <c r="AL921" t="s">
        <v>18083</v>
      </c>
      <c r="AM921" t="s">
        <v>1519</v>
      </c>
      <c r="AN921" t="s">
        <v>18084</v>
      </c>
      <c r="AO921" t="s">
        <v>18085</v>
      </c>
      <c r="AP921" t="s">
        <v>18086</v>
      </c>
      <c r="AQ921" t="s">
        <v>74</v>
      </c>
      <c r="AR921" t="s">
        <v>18087</v>
      </c>
      <c r="AS921" t="s">
        <v>18088</v>
      </c>
      <c r="AT921" t="s">
        <v>3793</v>
      </c>
      <c r="AU921">
        <v>2025</v>
      </c>
      <c r="AV921">
        <v>34</v>
      </c>
      <c r="AW921">
        <v>10</v>
      </c>
      <c r="AX921" t="s">
        <v>74</v>
      </c>
      <c r="AY921" t="s">
        <v>74</v>
      </c>
      <c r="AZ921" t="s">
        <v>74</v>
      </c>
      <c r="BA921" t="s">
        <v>74</v>
      </c>
      <c r="BB921" t="s">
        <v>74</v>
      </c>
      <c r="BC921" t="s">
        <v>74</v>
      </c>
      <c r="BD921">
        <v>108903</v>
      </c>
      <c r="BE921" t="s">
        <v>18089</v>
      </c>
      <c r="BF921" t="str">
        <f>HYPERLINK("http://dx.doi.org/10.1088/1674-1056/addaa2","http://dx.doi.org/10.1088/1674-1056/addaa2")</f>
        <v>http://dx.doi.org/10.1088/1674-1056/addaa2</v>
      </c>
      <c r="BG921" t="s">
        <v>74</v>
      </c>
      <c r="BH921" t="s">
        <v>74</v>
      </c>
      <c r="BI921">
        <v>9</v>
      </c>
      <c r="BJ921" t="s">
        <v>3103</v>
      </c>
      <c r="BK921" t="s">
        <v>902</v>
      </c>
      <c r="BL921" t="s">
        <v>3104</v>
      </c>
      <c r="BM921" t="s">
        <v>18090</v>
      </c>
      <c r="BN921" t="s">
        <v>74</v>
      </c>
      <c r="BO921" t="s">
        <v>74</v>
      </c>
      <c r="BP921" t="s">
        <v>74</v>
      </c>
      <c r="BQ921" t="s">
        <v>74</v>
      </c>
      <c r="BR921" t="s">
        <v>106</v>
      </c>
      <c r="BS921" t="s">
        <v>18091</v>
      </c>
      <c r="BT921" t="str">
        <f>HYPERLINK("https%3A%2F%2Fwww.webofscience.com%2Fwos%2Fwoscc%2Ffull-record%2FWOS:001587750500001","View Full Record in Web of Science")</f>
        <v>View Full Record in Web of Science</v>
      </c>
    </row>
    <row r="922" spans="1:72" x14ac:dyDescent="0.25">
      <c r="A922" t="s">
        <v>108</v>
      </c>
      <c r="B922" t="s">
        <v>18092</v>
      </c>
      <c r="C922" t="s">
        <v>74</v>
      </c>
      <c r="D922" t="s">
        <v>74</v>
      </c>
      <c r="E922" t="s">
        <v>18093</v>
      </c>
      <c r="F922" t="s">
        <v>18094</v>
      </c>
      <c r="G922" t="s">
        <v>74</v>
      </c>
      <c r="H922" t="s">
        <v>74</v>
      </c>
      <c r="I922" t="s">
        <v>18095</v>
      </c>
      <c r="J922" t="s">
        <v>18096</v>
      </c>
      <c r="K922" t="s">
        <v>74</v>
      </c>
      <c r="L922" t="s">
        <v>74</v>
      </c>
      <c r="M922" t="s">
        <v>78</v>
      </c>
      <c r="N922" t="s">
        <v>115</v>
      </c>
      <c r="O922" t="s">
        <v>18097</v>
      </c>
      <c r="P922" t="s">
        <v>18098</v>
      </c>
      <c r="Q922" t="s">
        <v>18099</v>
      </c>
      <c r="R922" t="s">
        <v>18093</v>
      </c>
      <c r="S922" t="s">
        <v>74</v>
      </c>
      <c r="T922" t="s">
        <v>74</v>
      </c>
      <c r="U922" t="s">
        <v>74</v>
      </c>
      <c r="V922" t="s">
        <v>18100</v>
      </c>
      <c r="W922" t="s">
        <v>18101</v>
      </c>
      <c r="X922" t="s">
        <v>18102</v>
      </c>
      <c r="Y922" t="s">
        <v>18103</v>
      </c>
      <c r="Z922" t="s">
        <v>18104</v>
      </c>
      <c r="AA922" t="s">
        <v>18105</v>
      </c>
      <c r="AB922" t="s">
        <v>74</v>
      </c>
      <c r="AC922" t="s">
        <v>18106</v>
      </c>
      <c r="AD922" t="s">
        <v>18107</v>
      </c>
      <c r="AE922" t="s">
        <v>18108</v>
      </c>
      <c r="AF922" t="s">
        <v>74</v>
      </c>
      <c r="AG922">
        <v>31</v>
      </c>
      <c r="AH922">
        <v>0</v>
      </c>
      <c r="AI922">
        <v>0</v>
      </c>
      <c r="AJ922">
        <v>0</v>
      </c>
      <c r="AK922">
        <v>0</v>
      </c>
      <c r="AL922" t="s">
        <v>18109</v>
      </c>
      <c r="AM922" t="s">
        <v>3030</v>
      </c>
      <c r="AN922" t="s">
        <v>18110</v>
      </c>
      <c r="AO922" t="s">
        <v>74</v>
      </c>
      <c r="AP922" t="s">
        <v>74</v>
      </c>
      <c r="AQ922" t="s">
        <v>18111</v>
      </c>
      <c r="AR922" t="s">
        <v>74</v>
      </c>
      <c r="AS922" t="s">
        <v>74</v>
      </c>
      <c r="AT922" t="s">
        <v>74</v>
      </c>
      <c r="AU922">
        <v>2024</v>
      </c>
      <c r="AV922" t="s">
        <v>74</v>
      </c>
      <c r="AW922" t="s">
        <v>74</v>
      </c>
      <c r="AX922" t="s">
        <v>74</v>
      </c>
      <c r="AY922" t="s">
        <v>74</v>
      </c>
      <c r="AZ922" t="s">
        <v>74</v>
      </c>
      <c r="BA922" t="s">
        <v>74</v>
      </c>
      <c r="BB922" t="s">
        <v>74</v>
      </c>
      <c r="BC922" t="s">
        <v>74</v>
      </c>
      <c r="BD922" t="s">
        <v>74</v>
      </c>
      <c r="BE922" t="s">
        <v>74</v>
      </c>
      <c r="BF922" t="s">
        <v>74</v>
      </c>
      <c r="BG922" t="s">
        <v>74</v>
      </c>
      <c r="BH922" t="s">
        <v>74</v>
      </c>
      <c r="BI922">
        <v>18</v>
      </c>
      <c r="BJ922" t="s">
        <v>18112</v>
      </c>
      <c r="BK922" t="s">
        <v>203</v>
      </c>
      <c r="BL922" t="s">
        <v>18113</v>
      </c>
      <c r="BM922" t="s">
        <v>18114</v>
      </c>
      <c r="BN922" t="s">
        <v>74</v>
      </c>
      <c r="BO922" t="s">
        <v>74</v>
      </c>
      <c r="BP922" t="s">
        <v>74</v>
      </c>
      <c r="BQ922" t="s">
        <v>74</v>
      </c>
      <c r="BR922" t="s">
        <v>106</v>
      </c>
      <c r="BS922" t="s">
        <v>18115</v>
      </c>
      <c r="BT922" t="str">
        <f>HYPERLINK("https%3A%2F%2Fwww.webofscience.com%2Fwos%2Fwoscc%2Ffull-record%2FWOS:001375995202041","View Full Record in Web of Science")</f>
        <v>View Full Record in Web of Science</v>
      </c>
    </row>
    <row r="923" spans="1:72" x14ac:dyDescent="0.25">
      <c r="A923" t="s">
        <v>108</v>
      </c>
      <c r="B923" t="s">
        <v>18116</v>
      </c>
      <c r="C923" t="s">
        <v>74</v>
      </c>
      <c r="D923" t="s">
        <v>74</v>
      </c>
      <c r="E923" t="s">
        <v>74</v>
      </c>
      <c r="F923" t="s">
        <v>18117</v>
      </c>
      <c r="G923" t="s">
        <v>74</v>
      </c>
      <c r="H923" t="s">
        <v>74</v>
      </c>
      <c r="I923" t="s">
        <v>18118</v>
      </c>
      <c r="J923" t="s">
        <v>18119</v>
      </c>
      <c r="K923" t="s">
        <v>74</v>
      </c>
      <c r="L923" t="s">
        <v>74</v>
      </c>
      <c r="M923" t="s">
        <v>78</v>
      </c>
      <c r="N923" t="s">
        <v>115</v>
      </c>
      <c r="O923" t="s">
        <v>18120</v>
      </c>
      <c r="P923" t="s">
        <v>18121</v>
      </c>
      <c r="Q923" t="s">
        <v>18122</v>
      </c>
      <c r="R923" t="s">
        <v>18123</v>
      </c>
      <c r="S923" t="s">
        <v>74</v>
      </c>
      <c r="T923" t="s">
        <v>18124</v>
      </c>
      <c r="U923" t="s">
        <v>18125</v>
      </c>
      <c r="V923" t="s">
        <v>18126</v>
      </c>
      <c r="W923" t="s">
        <v>18127</v>
      </c>
      <c r="X923" t="s">
        <v>18128</v>
      </c>
      <c r="Y923" t="s">
        <v>18129</v>
      </c>
      <c r="Z923" t="s">
        <v>18130</v>
      </c>
      <c r="AA923" t="s">
        <v>18131</v>
      </c>
      <c r="AB923" t="s">
        <v>18132</v>
      </c>
      <c r="AC923" t="s">
        <v>18133</v>
      </c>
      <c r="AD923" t="s">
        <v>18134</v>
      </c>
      <c r="AE923" t="s">
        <v>18135</v>
      </c>
      <c r="AF923" t="s">
        <v>74</v>
      </c>
      <c r="AG923">
        <v>11</v>
      </c>
      <c r="AH923">
        <v>6</v>
      </c>
      <c r="AI923">
        <v>6</v>
      </c>
      <c r="AJ923">
        <v>0</v>
      </c>
      <c r="AK923">
        <v>2</v>
      </c>
      <c r="AL923" t="s">
        <v>2695</v>
      </c>
      <c r="AM923" t="s">
        <v>363</v>
      </c>
      <c r="AN923" t="s">
        <v>18136</v>
      </c>
      <c r="AO923" t="s">
        <v>18137</v>
      </c>
      <c r="AP923" t="s">
        <v>74</v>
      </c>
      <c r="AQ923" t="s">
        <v>74</v>
      </c>
      <c r="AR923" t="s">
        <v>18119</v>
      </c>
      <c r="AS923" t="s">
        <v>18119</v>
      </c>
      <c r="AT923" t="s">
        <v>74</v>
      </c>
      <c r="AU923">
        <v>2018</v>
      </c>
      <c r="AV923">
        <v>51</v>
      </c>
      <c r="AW923">
        <v>6</v>
      </c>
      <c r="AX923" t="s">
        <v>74</v>
      </c>
      <c r="AY923" t="s">
        <v>74</v>
      </c>
      <c r="AZ923" t="s">
        <v>74</v>
      </c>
      <c r="BA923" t="s">
        <v>74</v>
      </c>
      <c r="BB923">
        <v>144</v>
      </c>
      <c r="BC923">
        <v>149</v>
      </c>
      <c r="BD923" t="s">
        <v>74</v>
      </c>
      <c r="BE923" t="s">
        <v>18138</v>
      </c>
      <c r="BF923" t="str">
        <f>HYPERLINK("http://dx.doi.org/10.1016/j.ifacol.2018.07.144","http://dx.doi.org/10.1016/j.ifacol.2018.07.144")</f>
        <v>http://dx.doi.org/10.1016/j.ifacol.2018.07.144</v>
      </c>
      <c r="BG923" t="s">
        <v>74</v>
      </c>
      <c r="BH923" t="s">
        <v>74</v>
      </c>
      <c r="BI923">
        <v>6</v>
      </c>
      <c r="BJ923" t="s">
        <v>15299</v>
      </c>
      <c r="BK923" t="s">
        <v>203</v>
      </c>
      <c r="BL923" t="s">
        <v>15299</v>
      </c>
      <c r="BM923" t="s">
        <v>18139</v>
      </c>
      <c r="BN923" t="s">
        <v>74</v>
      </c>
      <c r="BO923" t="s">
        <v>372</v>
      </c>
      <c r="BP923" t="s">
        <v>74</v>
      </c>
      <c r="BQ923" t="s">
        <v>74</v>
      </c>
      <c r="BR923" t="s">
        <v>106</v>
      </c>
      <c r="BS923" t="s">
        <v>18140</v>
      </c>
      <c r="BT923" t="str">
        <f>HYPERLINK("https%3A%2F%2Fwww.webofscience.com%2Fwos%2Fwoscc%2Ffull-record%2FWOS:000445644900025","View Full Record in Web of Science")</f>
        <v>View Full Record in Web of Science</v>
      </c>
    </row>
    <row r="924" spans="1:72" x14ac:dyDescent="0.25">
      <c r="A924" t="s">
        <v>108</v>
      </c>
      <c r="B924" t="s">
        <v>18141</v>
      </c>
      <c r="C924" t="s">
        <v>74</v>
      </c>
      <c r="D924" t="s">
        <v>74</v>
      </c>
      <c r="E924" t="s">
        <v>273</v>
      </c>
      <c r="F924" t="s">
        <v>18142</v>
      </c>
      <c r="G924" t="s">
        <v>74</v>
      </c>
      <c r="H924" t="s">
        <v>74</v>
      </c>
      <c r="I924" t="s">
        <v>18143</v>
      </c>
      <c r="J924" t="s">
        <v>2762</v>
      </c>
      <c r="K924" t="s">
        <v>74</v>
      </c>
      <c r="L924" t="s">
        <v>74</v>
      </c>
      <c r="M924" t="s">
        <v>78</v>
      </c>
      <c r="N924" t="s">
        <v>115</v>
      </c>
      <c r="O924" t="s">
        <v>2763</v>
      </c>
      <c r="P924" t="s">
        <v>2764</v>
      </c>
      <c r="Q924" t="s">
        <v>2765</v>
      </c>
      <c r="R924" t="s">
        <v>2766</v>
      </c>
      <c r="S924" t="s">
        <v>74</v>
      </c>
      <c r="T924" t="s">
        <v>18144</v>
      </c>
      <c r="U924" t="s">
        <v>74</v>
      </c>
      <c r="V924" t="s">
        <v>18145</v>
      </c>
      <c r="W924" t="s">
        <v>18146</v>
      </c>
      <c r="X924" t="s">
        <v>15718</v>
      </c>
      <c r="Y924" t="s">
        <v>18147</v>
      </c>
      <c r="Z924" t="s">
        <v>18148</v>
      </c>
      <c r="AA924" t="s">
        <v>74</v>
      </c>
      <c r="AB924" t="s">
        <v>18149</v>
      </c>
      <c r="AC924" t="s">
        <v>74</v>
      </c>
      <c r="AD924" t="s">
        <v>74</v>
      </c>
      <c r="AE924" t="s">
        <v>74</v>
      </c>
      <c r="AF924" t="s">
        <v>74</v>
      </c>
      <c r="AG924">
        <v>8</v>
      </c>
      <c r="AH924">
        <v>0</v>
      </c>
      <c r="AI924">
        <v>0</v>
      </c>
      <c r="AJ924">
        <v>0</v>
      </c>
      <c r="AK924">
        <v>1</v>
      </c>
      <c r="AL924" t="s">
        <v>291</v>
      </c>
      <c r="AM924" t="s">
        <v>92</v>
      </c>
      <c r="AN924" t="s">
        <v>292</v>
      </c>
      <c r="AO924" t="s">
        <v>74</v>
      </c>
      <c r="AP924" t="s">
        <v>74</v>
      </c>
      <c r="AQ924" t="s">
        <v>2777</v>
      </c>
      <c r="AR924" t="s">
        <v>74</v>
      </c>
      <c r="AS924" t="s">
        <v>74</v>
      </c>
      <c r="AT924" t="s">
        <v>74</v>
      </c>
      <c r="AU924">
        <v>2014</v>
      </c>
      <c r="AV924" t="s">
        <v>74</v>
      </c>
      <c r="AW924" t="s">
        <v>74</v>
      </c>
      <c r="AX924" t="s">
        <v>74</v>
      </c>
      <c r="AY924" t="s">
        <v>74</v>
      </c>
      <c r="AZ924" t="s">
        <v>74</v>
      </c>
      <c r="BA924" t="s">
        <v>74</v>
      </c>
      <c r="BB924">
        <v>91</v>
      </c>
      <c r="BC924">
        <v>94</v>
      </c>
      <c r="BD924" t="s">
        <v>74</v>
      </c>
      <c r="BE924" t="s">
        <v>18150</v>
      </c>
      <c r="BF924" t="str">
        <f>HYPERLINK("http://dx.doi.org/10.1145/2567948.2577015","http://dx.doi.org/10.1145/2567948.2577015")</f>
        <v>http://dx.doi.org/10.1145/2567948.2577015</v>
      </c>
      <c r="BG924" t="s">
        <v>74</v>
      </c>
      <c r="BH924" t="s">
        <v>74</v>
      </c>
      <c r="BI924">
        <v>4</v>
      </c>
      <c r="BJ924" t="s">
        <v>696</v>
      </c>
      <c r="BK924" t="s">
        <v>203</v>
      </c>
      <c r="BL924" t="s">
        <v>103</v>
      </c>
      <c r="BM924" t="s">
        <v>2779</v>
      </c>
      <c r="BN924" t="s">
        <v>74</v>
      </c>
      <c r="BO924" t="s">
        <v>74</v>
      </c>
      <c r="BP924" t="s">
        <v>74</v>
      </c>
      <c r="BQ924" t="s">
        <v>74</v>
      </c>
      <c r="BR924" t="s">
        <v>106</v>
      </c>
      <c r="BS924" t="s">
        <v>18151</v>
      </c>
      <c r="BT924" t="str">
        <f>HYPERLINK("https%3A%2F%2Fwww.webofscience.com%2Fwos%2Fwoscc%2Ffull-record%2FWOS:000455947000017","View Full Record in Web of Science")</f>
        <v>View Full Record in Web of Science</v>
      </c>
    </row>
    <row r="925" spans="1:72" x14ac:dyDescent="0.25">
      <c r="A925" t="s">
        <v>72</v>
      </c>
      <c r="B925" t="s">
        <v>18152</v>
      </c>
      <c r="C925" t="s">
        <v>74</v>
      </c>
      <c r="D925" t="s">
        <v>74</v>
      </c>
      <c r="E925" t="s">
        <v>74</v>
      </c>
      <c r="F925" t="s">
        <v>18152</v>
      </c>
      <c r="G925" t="s">
        <v>74</v>
      </c>
      <c r="H925" t="s">
        <v>74</v>
      </c>
      <c r="I925" t="s">
        <v>18153</v>
      </c>
      <c r="J925" t="s">
        <v>18154</v>
      </c>
      <c r="K925" t="s">
        <v>74</v>
      </c>
      <c r="L925" t="s">
        <v>74</v>
      </c>
      <c r="M925" t="s">
        <v>78</v>
      </c>
      <c r="N925" t="s">
        <v>7584</v>
      </c>
      <c r="O925" t="s">
        <v>18155</v>
      </c>
      <c r="P925" t="s">
        <v>18156</v>
      </c>
      <c r="Q925" t="s">
        <v>18157</v>
      </c>
      <c r="R925" t="s">
        <v>18158</v>
      </c>
      <c r="S925" t="s">
        <v>74</v>
      </c>
      <c r="T925" t="s">
        <v>18159</v>
      </c>
      <c r="U925" t="s">
        <v>18160</v>
      </c>
      <c r="V925" t="s">
        <v>18161</v>
      </c>
      <c r="W925" t="s">
        <v>18162</v>
      </c>
      <c r="X925" t="s">
        <v>18163</v>
      </c>
      <c r="Y925" t="s">
        <v>18164</v>
      </c>
      <c r="Z925" t="s">
        <v>18165</v>
      </c>
      <c r="AA925" t="s">
        <v>18166</v>
      </c>
      <c r="AB925" t="s">
        <v>18167</v>
      </c>
      <c r="AC925" t="s">
        <v>18168</v>
      </c>
      <c r="AD925" t="s">
        <v>18169</v>
      </c>
      <c r="AE925" t="s">
        <v>74</v>
      </c>
      <c r="AF925" t="s">
        <v>74</v>
      </c>
      <c r="AG925">
        <v>23</v>
      </c>
      <c r="AH925">
        <v>48</v>
      </c>
      <c r="AI925">
        <v>49</v>
      </c>
      <c r="AJ925">
        <v>0</v>
      </c>
      <c r="AK925">
        <v>1</v>
      </c>
      <c r="AL925" t="s">
        <v>18170</v>
      </c>
      <c r="AM925" t="s">
        <v>18171</v>
      </c>
      <c r="AN925" t="s">
        <v>18172</v>
      </c>
      <c r="AO925" t="s">
        <v>18173</v>
      </c>
      <c r="AP925" t="s">
        <v>74</v>
      </c>
      <c r="AQ925" t="s">
        <v>74</v>
      </c>
      <c r="AR925" t="s">
        <v>18174</v>
      </c>
      <c r="AS925" t="s">
        <v>18175</v>
      </c>
      <c r="AT925" t="s">
        <v>509</v>
      </c>
      <c r="AU925">
        <v>2004</v>
      </c>
      <c r="AV925">
        <v>54</v>
      </c>
      <c r="AW925">
        <v>3</v>
      </c>
      <c r="AX925" t="s">
        <v>74</v>
      </c>
      <c r="AY925" t="s">
        <v>74</v>
      </c>
      <c r="AZ925" t="s">
        <v>74</v>
      </c>
      <c r="BA925" t="s">
        <v>74</v>
      </c>
      <c r="BB925">
        <v>345</v>
      </c>
      <c r="BC925">
        <v>351</v>
      </c>
      <c r="BD925" t="s">
        <v>74</v>
      </c>
      <c r="BE925" t="s">
        <v>18176</v>
      </c>
      <c r="BF925" t="str">
        <f>HYPERLINK("http://dx.doi.org/10.1016/j.pec.2003.12.003","http://dx.doi.org/10.1016/j.pec.2003.12.003")</f>
        <v>http://dx.doi.org/10.1016/j.pec.2003.12.003</v>
      </c>
      <c r="BG925" t="s">
        <v>74</v>
      </c>
      <c r="BH925" t="s">
        <v>74</v>
      </c>
      <c r="BI925">
        <v>7</v>
      </c>
      <c r="BJ925" t="s">
        <v>18177</v>
      </c>
      <c r="BK925" t="s">
        <v>18178</v>
      </c>
      <c r="BL925" t="s">
        <v>18179</v>
      </c>
      <c r="BM925" t="s">
        <v>18180</v>
      </c>
      <c r="BN925">
        <v>15324986</v>
      </c>
      <c r="BO925" t="s">
        <v>74</v>
      </c>
      <c r="BP925" t="s">
        <v>74</v>
      </c>
      <c r="BQ925" t="s">
        <v>74</v>
      </c>
      <c r="BR925" t="s">
        <v>106</v>
      </c>
      <c r="BS925" t="s">
        <v>18181</v>
      </c>
      <c r="BT925" t="str">
        <f>HYPERLINK("https%3A%2F%2Fwww.webofscience.com%2Fwos%2Fwoscc%2Ffull-record%2FWOS:000223872100013","View Full Record in Web of Science")</f>
        <v>View Full Record in Web of Science</v>
      </c>
    </row>
    <row r="926" spans="1:72" x14ac:dyDescent="0.25">
      <c r="A926" t="s">
        <v>108</v>
      </c>
      <c r="B926" t="s">
        <v>18182</v>
      </c>
      <c r="C926" t="s">
        <v>74</v>
      </c>
      <c r="D926" t="s">
        <v>18183</v>
      </c>
      <c r="E926" t="s">
        <v>74</v>
      </c>
      <c r="F926" t="s">
        <v>18184</v>
      </c>
      <c r="G926" t="s">
        <v>74</v>
      </c>
      <c r="H926" t="s">
        <v>74</v>
      </c>
      <c r="I926" t="s">
        <v>18185</v>
      </c>
      <c r="J926" t="s">
        <v>18186</v>
      </c>
      <c r="K926" t="s">
        <v>147</v>
      </c>
      <c r="L926" t="s">
        <v>74</v>
      </c>
      <c r="M926" t="s">
        <v>78</v>
      </c>
      <c r="N926" t="s">
        <v>115</v>
      </c>
      <c r="O926" t="s">
        <v>18187</v>
      </c>
      <c r="P926" t="s">
        <v>18188</v>
      </c>
      <c r="Q926" t="s">
        <v>5576</v>
      </c>
      <c r="R926" t="s">
        <v>18189</v>
      </c>
      <c r="S926" t="s">
        <v>74</v>
      </c>
      <c r="T926" t="s">
        <v>18190</v>
      </c>
      <c r="U926" t="s">
        <v>74</v>
      </c>
      <c r="V926" t="s">
        <v>18191</v>
      </c>
      <c r="W926" t="s">
        <v>18192</v>
      </c>
      <c r="X926" t="s">
        <v>18193</v>
      </c>
      <c r="Y926" t="s">
        <v>18194</v>
      </c>
      <c r="Z926" t="s">
        <v>18195</v>
      </c>
      <c r="AA926" t="s">
        <v>18196</v>
      </c>
      <c r="AB926" t="s">
        <v>18197</v>
      </c>
      <c r="AC926" t="s">
        <v>74</v>
      </c>
      <c r="AD926" t="s">
        <v>74</v>
      </c>
      <c r="AE926" t="s">
        <v>74</v>
      </c>
      <c r="AF926" t="s">
        <v>74</v>
      </c>
      <c r="AG926">
        <v>12</v>
      </c>
      <c r="AH926">
        <v>2</v>
      </c>
      <c r="AI926">
        <v>2</v>
      </c>
      <c r="AJ926">
        <v>0</v>
      </c>
      <c r="AK926">
        <v>2</v>
      </c>
      <c r="AL926" t="s">
        <v>197</v>
      </c>
      <c r="AM926" t="s">
        <v>198</v>
      </c>
      <c r="AN926" t="s">
        <v>199</v>
      </c>
      <c r="AO926" t="s">
        <v>159</v>
      </c>
      <c r="AP926" t="s">
        <v>133</v>
      </c>
      <c r="AQ926" t="s">
        <v>18198</v>
      </c>
      <c r="AR926" t="s">
        <v>161</v>
      </c>
      <c r="AS926" t="s">
        <v>74</v>
      </c>
      <c r="AT926" t="s">
        <v>74</v>
      </c>
      <c r="AU926">
        <v>2015</v>
      </c>
      <c r="AV926">
        <v>9357</v>
      </c>
      <c r="AW926" t="s">
        <v>74</v>
      </c>
      <c r="AX926" t="s">
        <v>74</v>
      </c>
      <c r="AY926" t="s">
        <v>74</v>
      </c>
      <c r="AZ926" t="s">
        <v>74</v>
      </c>
      <c r="BA926" t="s">
        <v>74</v>
      </c>
      <c r="BB926">
        <v>89</v>
      </c>
      <c r="BC926">
        <v>96</v>
      </c>
      <c r="BD926" t="s">
        <v>74</v>
      </c>
      <c r="BE926" t="s">
        <v>18199</v>
      </c>
      <c r="BF926" t="str">
        <f>HYPERLINK("http://dx.doi.org/10.1007/978-3-319-24315-3_9","http://dx.doi.org/10.1007/978-3-319-24315-3_9")</f>
        <v>http://dx.doi.org/10.1007/978-3-319-24315-3_9</v>
      </c>
      <c r="BG926" t="s">
        <v>74</v>
      </c>
      <c r="BH926" t="s">
        <v>74</v>
      </c>
      <c r="BI926">
        <v>8</v>
      </c>
      <c r="BJ926" t="s">
        <v>696</v>
      </c>
      <c r="BK926" t="s">
        <v>203</v>
      </c>
      <c r="BL926" t="s">
        <v>103</v>
      </c>
      <c r="BM926" t="s">
        <v>18200</v>
      </c>
      <c r="BN926" t="s">
        <v>74</v>
      </c>
      <c r="BO926" t="s">
        <v>346</v>
      </c>
      <c r="BP926" t="s">
        <v>74</v>
      </c>
      <c r="BQ926" t="s">
        <v>74</v>
      </c>
      <c r="BR926" t="s">
        <v>106</v>
      </c>
      <c r="BS926" t="s">
        <v>18201</v>
      </c>
      <c r="BT926" t="str">
        <f>HYPERLINK("https%3A%2F%2Fwww.webofscience.com%2Fwos%2Fwoscc%2Ffull-record%2FWOS:000366189100009","View Full Record in Web of Science")</f>
        <v>View Full Record in Web of Science</v>
      </c>
    </row>
    <row r="927" spans="1:72" x14ac:dyDescent="0.25">
      <c r="A927" t="s">
        <v>108</v>
      </c>
      <c r="B927" t="s">
        <v>18202</v>
      </c>
      <c r="C927" t="s">
        <v>74</v>
      </c>
      <c r="D927" t="s">
        <v>74</v>
      </c>
      <c r="E927" t="s">
        <v>465</v>
      </c>
      <c r="F927" t="s">
        <v>18203</v>
      </c>
      <c r="G927" t="s">
        <v>74</v>
      </c>
      <c r="H927" t="s">
        <v>74</v>
      </c>
      <c r="I927" t="s">
        <v>18204</v>
      </c>
      <c r="J927" t="s">
        <v>18205</v>
      </c>
      <c r="K927" t="s">
        <v>74</v>
      </c>
      <c r="L927" t="s">
        <v>74</v>
      </c>
      <c r="M927" t="s">
        <v>78</v>
      </c>
      <c r="N927" t="s">
        <v>115</v>
      </c>
      <c r="O927" t="s">
        <v>18206</v>
      </c>
      <c r="P927" t="s">
        <v>18207</v>
      </c>
      <c r="Q927" t="s">
        <v>18208</v>
      </c>
      <c r="R927" t="s">
        <v>465</v>
      </c>
      <c r="S927" t="s">
        <v>18209</v>
      </c>
      <c r="T927" t="s">
        <v>18210</v>
      </c>
      <c r="U927" t="s">
        <v>74</v>
      </c>
      <c r="V927" t="s">
        <v>18211</v>
      </c>
      <c r="W927" t="s">
        <v>18212</v>
      </c>
      <c r="X927" t="s">
        <v>4831</v>
      </c>
      <c r="Y927" t="s">
        <v>18213</v>
      </c>
      <c r="Z927" t="s">
        <v>18214</v>
      </c>
      <c r="AA927" t="s">
        <v>18215</v>
      </c>
      <c r="AB927" t="s">
        <v>18216</v>
      </c>
      <c r="AC927" t="s">
        <v>74</v>
      </c>
      <c r="AD927" t="s">
        <v>74</v>
      </c>
      <c r="AE927" t="s">
        <v>74</v>
      </c>
      <c r="AF927" t="s">
        <v>74</v>
      </c>
      <c r="AG927">
        <v>15</v>
      </c>
      <c r="AH927">
        <v>0</v>
      </c>
      <c r="AI927">
        <v>0</v>
      </c>
      <c r="AJ927">
        <v>0</v>
      </c>
      <c r="AK927">
        <v>0</v>
      </c>
      <c r="AL927" t="s">
        <v>465</v>
      </c>
      <c r="AM927" t="s">
        <v>92</v>
      </c>
      <c r="AN927" t="s">
        <v>480</v>
      </c>
      <c r="AO927" t="s">
        <v>74</v>
      </c>
      <c r="AP927" t="s">
        <v>74</v>
      </c>
      <c r="AQ927" t="s">
        <v>18217</v>
      </c>
      <c r="AR927" t="s">
        <v>74</v>
      </c>
      <c r="AS927" t="s">
        <v>74</v>
      </c>
      <c r="AT927" t="s">
        <v>74</v>
      </c>
      <c r="AU927">
        <v>2020</v>
      </c>
      <c r="AV927" t="s">
        <v>74</v>
      </c>
      <c r="AW927" t="s">
        <v>74</v>
      </c>
      <c r="AX927" t="s">
        <v>74</v>
      </c>
      <c r="AY927" t="s">
        <v>74</v>
      </c>
      <c r="AZ927" t="s">
        <v>74</v>
      </c>
      <c r="BA927" t="s">
        <v>74</v>
      </c>
      <c r="BB927">
        <v>962</v>
      </c>
      <c r="BC927">
        <v>967</v>
      </c>
      <c r="BD927" t="s">
        <v>74</v>
      </c>
      <c r="BE927" t="s">
        <v>18218</v>
      </c>
      <c r="BF927" t="str">
        <f>HYPERLINK("http://dx.doi.org/10.1109/iciccs48265.2020.9121012","http://dx.doi.org/10.1109/iciccs48265.2020.9121012")</f>
        <v>http://dx.doi.org/10.1109/iciccs48265.2020.9121012</v>
      </c>
      <c r="BG927" t="s">
        <v>74</v>
      </c>
      <c r="BH927" t="s">
        <v>74</v>
      </c>
      <c r="BI927">
        <v>6</v>
      </c>
      <c r="BJ927" t="s">
        <v>18219</v>
      </c>
      <c r="BK927" t="s">
        <v>203</v>
      </c>
      <c r="BL927" t="s">
        <v>2756</v>
      </c>
      <c r="BM927" t="s">
        <v>18220</v>
      </c>
      <c r="BN927" t="s">
        <v>74</v>
      </c>
      <c r="BO927" t="s">
        <v>74</v>
      </c>
      <c r="BP927" t="s">
        <v>74</v>
      </c>
      <c r="BQ927" t="s">
        <v>74</v>
      </c>
      <c r="BR927" t="s">
        <v>106</v>
      </c>
      <c r="BS927" t="s">
        <v>18221</v>
      </c>
      <c r="BT927" t="str">
        <f>HYPERLINK("https%3A%2F%2Fwww.webofscience.com%2Fwos%2Fwoscc%2Ffull-record%2FWOS:000609825100164","View Full Record in Web of Science")</f>
        <v>View Full Record in Web of Science</v>
      </c>
    </row>
    <row r="928" spans="1:72" x14ac:dyDescent="0.25">
      <c r="A928" t="s">
        <v>108</v>
      </c>
      <c r="B928" t="s">
        <v>18222</v>
      </c>
      <c r="C928" t="s">
        <v>74</v>
      </c>
      <c r="D928" t="s">
        <v>74</v>
      </c>
      <c r="E928" t="s">
        <v>465</v>
      </c>
      <c r="F928" t="s">
        <v>18223</v>
      </c>
      <c r="G928" t="s">
        <v>74</v>
      </c>
      <c r="H928" t="s">
        <v>74</v>
      </c>
      <c r="I928" t="s">
        <v>18224</v>
      </c>
      <c r="J928" t="s">
        <v>18225</v>
      </c>
      <c r="K928" t="s">
        <v>18226</v>
      </c>
      <c r="L928" t="s">
        <v>74</v>
      </c>
      <c r="M928" t="s">
        <v>78</v>
      </c>
      <c r="N928" t="s">
        <v>115</v>
      </c>
      <c r="O928" t="s">
        <v>18227</v>
      </c>
      <c r="P928" t="s">
        <v>18228</v>
      </c>
      <c r="Q928" t="s">
        <v>18229</v>
      </c>
      <c r="R928" t="s">
        <v>2823</v>
      </c>
      <c r="S928" t="s">
        <v>74</v>
      </c>
      <c r="T928" t="s">
        <v>18230</v>
      </c>
      <c r="U928" t="s">
        <v>74</v>
      </c>
      <c r="V928" t="s">
        <v>18231</v>
      </c>
      <c r="W928" t="s">
        <v>74</v>
      </c>
      <c r="X928" t="s">
        <v>74</v>
      </c>
      <c r="Y928" t="s">
        <v>74</v>
      </c>
      <c r="Z928" t="s">
        <v>18232</v>
      </c>
      <c r="AA928" t="s">
        <v>74</v>
      </c>
      <c r="AB928" t="s">
        <v>74</v>
      </c>
      <c r="AC928" t="s">
        <v>74</v>
      </c>
      <c r="AD928" t="s">
        <v>74</v>
      </c>
      <c r="AE928" t="s">
        <v>74</v>
      </c>
      <c r="AF928" t="s">
        <v>74</v>
      </c>
      <c r="AG928">
        <v>22</v>
      </c>
      <c r="AH928">
        <v>0</v>
      </c>
      <c r="AI928">
        <v>0</v>
      </c>
      <c r="AJ928">
        <v>0</v>
      </c>
      <c r="AK928">
        <v>0</v>
      </c>
      <c r="AL928" t="s">
        <v>465</v>
      </c>
      <c r="AM928" t="s">
        <v>92</v>
      </c>
      <c r="AN928" t="s">
        <v>480</v>
      </c>
      <c r="AO928" t="s">
        <v>18233</v>
      </c>
      <c r="AP928" t="s">
        <v>74</v>
      </c>
      <c r="AQ928" t="s">
        <v>18234</v>
      </c>
      <c r="AR928" t="s">
        <v>18235</v>
      </c>
      <c r="AS928" t="s">
        <v>74</v>
      </c>
      <c r="AT928" t="s">
        <v>74</v>
      </c>
      <c r="AU928">
        <v>2026</v>
      </c>
      <c r="AV928" t="s">
        <v>74</v>
      </c>
      <c r="AW928" t="s">
        <v>74</v>
      </c>
      <c r="AX928" t="s">
        <v>74</v>
      </c>
      <c r="AY928" t="s">
        <v>74</v>
      </c>
      <c r="AZ928" t="s">
        <v>74</v>
      </c>
      <c r="BA928" t="s">
        <v>74</v>
      </c>
      <c r="BB928">
        <v>857</v>
      </c>
      <c r="BC928">
        <v>862</v>
      </c>
      <c r="BD928" t="s">
        <v>74</v>
      </c>
      <c r="BE928" t="s">
        <v>18236</v>
      </c>
      <c r="BF928" t="str">
        <f>HYPERLINK("http://dx.doi.org/10.1109/SOUTHEASTCON63549.2026.11476180","http://dx.doi.org/10.1109/SOUTHEASTCON63549.2026.11476180")</f>
        <v>http://dx.doi.org/10.1109/SOUTHEASTCON63549.2026.11476180</v>
      </c>
      <c r="BG928" t="s">
        <v>74</v>
      </c>
      <c r="BH928" t="s">
        <v>74</v>
      </c>
      <c r="BI928">
        <v>6</v>
      </c>
      <c r="BJ928" t="s">
        <v>18237</v>
      </c>
      <c r="BK928" t="s">
        <v>203</v>
      </c>
      <c r="BL928" t="s">
        <v>953</v>
      </c>
      <c r="BM928" t="s">
        <v>18238</v>
      </c>
      <c r="BN928" t="s">
        <v>74</v>
      </c>
      <c r="BO928" t="s">
        <v>74</v>
      </c>
      <c r="BP928" t="s">
        <v>74</v>
      </c>
      <c r="BQ928" t="s">
        <v>74</v>
      </c>
      <c r="BR928" t="s">
        <v>106</v>
      </c>
      <c r="BS928" t="s">
        <v>18239</v>
      </c>
      <c r="BT928" t="str">
        <f>HYPERLINK("https%3A%2F%2Fwww.webofscience.com%2Fwos%2Fwoscc%2Ffull-record%2FWOS:001832498200139","View Full Record in Web of Science")</f>
        <v>View Full Record in Web of Science</v>
      </c>
    </row>
    <row r="929" spans="1:72" x14ac:dyDescent="0.25">
      <c r="A929" t="s">
        <v>72</v>
      </c>
      <c r="B929" t="s">
        <v>18240</v>
      </c>
      <c r="C929" t="s">
        <v>74</v>
      </c>
      <c r="D929" t="s">
        <v>74</v>
      </c>
      <c r="E929" t="s">
        <v>74</v>
      </c>
      <c r="F929" t="s">
        <v>18241</v>
      </c>
      <c r="G929" t="s">
        <v>74</v>
      </c>
      <c r="H929" t="s">
        <v>74</v>
      </c>
      <c r="I929" t="s">
        <v>18242</v>
      </c>
      <c r="J929" t="s">
        <v>18243</v>
      </c>
      <c r="K929" t="s">
        <v>74</v>
      </c>
      <c r="L929" t="s">
        <v>74</v>
      </c>
      <c r="M929" t="s">
        <v>78</v>
      </c>
      <c r="N929" t="s">
        <v>79</v>
      </c>
      <c r="O929" t="s">
        <v>74</v>
      </c>
      <c r="P929" t="s">
        <v>74</v>
      </c>
      <c r="Q929" t="s">
        <v>74</v>
      </c>
      <c r="R929" t="s">
        <v>74</v>
      </c>
      <c r="S929" t="s">
        <v>74</v>
      </c>
      <c r="T929" t="s">
        <v>18244</v>
      </c>
      <c r="U929" t="s">
        <v>18245</v>
      </c>
      <c r="V929" t="s">
        <v>18246</v>
      </c>
      <c r="W929" t="s">
        <v>18247</v>
      </c>
      <c r="X929" t="s">
        <v>18248</v>
      </c>
      <c r="Y929" t="s">
        <v>18249</v>
      </c>
      <c r="Z929" t="s">
        <v>18250</v>
      </c>
      <c r="AA929" t="s">
        <v>18251</v>
      </c>
      <c r="AB929" t="s">
        <v>18252</v>
      </c>
      <c r="AC929" t="s">
        <v>18253</v>
      </c>
      <c r="AD929" t="s">
        <v>18254</v>
      </c>
      <c r="AE929" t="s">
        <v>18255</v>
      </c>
      <c r="AF929" t="s">
        <v>74</v>
      </c>
      <c r="AG929">
        <v>61</v>
      </c>
      <c r="AH929">
        <v>5</v>
      </c>
      <c r="AI929">
        <v>5</v>
      </c>
      <c r="AJ929">
        <v>0</v>
      </c>
      <c r="AK929">
        <v>13</v>
      </c>
      <c r="AL929" t="s">
        <v>2465</v>
      </c>
      <c r="AM929" t="s">
        <v>311</v>
      </c>
      <c r="AN929" t="s">
        <v>2466</v>
      </c>
      <c r="AO929" t="s">
        <v>18256</v>
      </c>
      <c r="AP929" t="s">
        <v>18257</v>
      </c>
      <c r="AQ929" t="s">
        <v>74</v>
      </c>
      <c r="AR929" t="s">
        <v>18258</v>
      </c>
      <c r="AS929" t="s">
        <v>18259</v>
      </c>
      <c r="AT929" t="s">
        <v>18260</v>
      </c>
      <c r="AU929">
        <v>2019</v>
      </c>
      <c r="AV929">
        <v>153</v>
      </c>
      <c r="AW929">
        <v>3</v>
      </c>
      <c r="AX929" t="s">
        <v>74</v>
      </c>
      <c r="AY929" t="s">
        <v>74</v>
      </c>
      <c r="AZ929" t="s">
        <v>74</v>
      </c>
      <c r="BA929" t="s">
        <v>74</v>
      </c>
      <c r="BB929">
        <v>385</v>
      </c>
      <c r="BC929">
        <v>397</v>
      </c>
      <c r="BD929" t="s">
        <v>74</v>
      </c>
      <c r="BE929" t="s">
        <v>18261</v>
      </c>
      <c r="BF929" t="str">
        <f>HYPERLINK("http://dx.doi.org/10.1080/11263504.2018.1492991","http://dx.doi.org/10.1080/11263504.2018.1492991")</f>
        <v>http://dx.doi.org/10.1080/11263504.2018.1492991</v>
      </c>
      <c r="BG929" t="s">
        <v>74</v>
      </c>
      <c r="BH929" t="s">
        <v>74</v>
      </c>
      <c r="BI929">
        <v>13</v>
      </c>
      <c r="BJ929" t="s">
        <v>18262</v>
      </c>
      <c r="BK929" t="s">
        <v>902</v>
      </c>
      <c r="BL929" t="s">
        <v>18262</v>
      </c>
      <c r="BM929" t="s">
        <v>18263</v>
      </c>
      <c r="BN929" t="s">
        <v>74</v>
      </c>
      <c r="BO929" t="s">
        <v>74</v>
      </c>
      <c r="BP929" t="s">
        <v>74</v>
      </c>
      <c r="BQ929" t="s">
        <v>74</v>
      </c>
      <c r="BR929" t="s">
        <v>106</v>
      </c>
      <c r="BS929" t="s">
        <v>18264</v>
      </c>
      <c r="BT929" t="str">
        <f>HYPERLINK("https%3A%2F%2Fwww.webofscience.com%2Fwos%2Fwoscc%2Ffull-record%2FWOS:000471313700007","View Full Record in Web of Science")</f>
        <v>View Full Record in Web of Science</v>
      </c>
    </row>
    <row r="930" spans="1:72" x14ac:dyDescent="0.25">
      <c r="A930" t="s">
        <v>72</v>
      </c>
      <c r="B930" t="s">
        <v>18265</v>
      </c>
      <c r="C930" t="s">
        <v>74</v>
      </c>
      <c r="D930" t="s">
        <v>74</v>
      </c>
      <c r="E930" t="s">
        <v>74</v>
      </c>
      <c r="F930" t="s">
        <v>18266</v>
      </c>
      <c r="G930" t="s">
        <v>74</v>
      </c>
      <c r="H930" t="s">
        <v>74</v>
      </c>
      <c r="I930" t="s">
        <v>18267</v>
      </c>
      <c r="J930" t="s">
        <v>7278</v>
      </c>
      <c r="K930" t="s">
        <v>74</v>
      </c>
      <c r="L930" t="s">
        <v>74</v>
      </c>
      <c r="M930" t="s">
        <v>78</v>
      </c>
      <c r="N930" t="s">
        <v>79</v>
      </c>
      <c r="O930" t="s">
        <v>74</v>
      </c>
      <c r="P930" t="s">
        <v>74</v>
      </c>
      <c r="Q930" t="s">
        <v>74</v>
      </c>
      <c r="R930" t="s">
        <v>74</v>
      </c>
      <c r="S930" t="s">
        <v>74</v>
      </c>
      <c r="T930" t="s">
        <v>18268</v>
      </c>
      <c r="U930" t="s">
        <v>13131</v>
      </c>
      <c r="V930" t="s">
        <v>18269</v>
      </c>
      <c r="W930" t="s">
        <v>18270</v>
      </c>
      <c r="X930" t="s">
        <v>18271</v>
      </c>
      <c r="Y930" t="s">
        <v>18272</v>
      </c>
      <c r="Z930" t="s">
        <v>18273</v>
      </c>
      <c r="AA930" t="s">
        <v>13338</v>
      </c>
      <c r="AB930" t="s">
        <v>74</v>
      </c>
      <c r="AC930" t="s">
        <v>18274</v>
      </c>
      <c r="AD930" t="s">
        <v>18275</v>
      </c>
      <c r="AE930" t="s">
        <v>18276</v>
      </c>
      <c r="AF930" t="s">
        <v>74</v>
      </c>
      <c r="AG930">
        <v>50</v>
      </c>
      <c r="AH930">
        <v>40</v>
      </c>
      <c r="AI930">
        <v>41</v>
      </c>
      <c r="AJ930">
        <v>0</v>
      </c>
      <c r="AK930">
        <v>44</v>
      </c>
      <c r="AL930" t="s">
        <v>895</v>
      </c>
      <c r="AM930" t="s">
        <v>896</v>
      </c>
      <c r="AN930" t="s">
        <v>897</v>
      </c>
      <c r="AO930" t="s">
        <v>7291</v>
      </c>
      <c r="AP930" t="s">
        <v>7292</v>
      </c>
      <c r="AQ930" t="s">
        <v>74</v>
      </c>
      <c r="AR930" t="s">
        <v>7293</v>
      </c>
      <c r="AS930" t="s">
        <v>7294</v>
      </c>
      <c r="AT930" t="s">
        <v>565</v>
      </c>
      <c r="AU930">
        <v>2017</v>
      </c>
      <c r="AV930">
        <v>19</v>
      </c>
      <c r="AW930">
        <v>8</v>
      </c>
      <c r="AX930" t="s">
        <v>74</v>
      </c>
      <c r="AY930" t="s">
        <v>74</v>
      </c>
      <c r="AZ930" t="s">
        <v>74</v>
      </c>
      <c r="BA930" t="s">
        <v>74</v>
      </c>
      <c r="BB930">
        <v>1933</v>
      </c>
      <c r="BC930">
        <v>1945</v>
      </c>
      <c r="BD930" t="s">
        <v>74</v>
      </c>
      <c r="BE930" t="s">
        <v>18277</v>
      </c>
      <c r="BF930" t="str">
        <f>HYPERLINK("http://dx.doi.org/10.1109/TMM.2017.2688928","http://dx.doi.org/10.1109/TMM.2017.2688928")</f>
        <v>http://dx.doi.org/10.1109/TMM.2017.2688928</v>
      </c>
      <c r="BG930" t="s">
        <v>74</v>
      </c>
      <c r="BH930" t="s">
        <v>74</v>
      </c>
      <c r="BI930">
        <v>13</v>
      </c>
      <c r="BJ930" t="s">
        <v>7296</v>
      </c>
      <c r="BK930" t="s">
        <v>902</v>
      </c>
      <c r="BL930" t="s">
        <v>2422</v>
      </c>
      <c r="BM930" t="s">
        <v>18278</v>
      </c>
      <c r="BN930" t="s">
        <v>74</v>
      </c>
      <c r="BO930" t="s">
        <v>74</v>
      </c>
      <c r="BP930" t="s">
        <v>74</v>
      </c>
      <c r="BQ930" t="s">
        <v>74</v>
      </c>
      <c r="BR930" t="s">
        <v>106</v>
      </c>
      <c r="BS930" t="s">
        <v>18279</v>
      </c>
      <c r="BT930" t="str">
        <f>HYPERLINK("https%3A%2F%2Fwww.webofscience.com%2Fwos%2Fwoscc%2Ffull-record%2FWOS:000411240400020","View Full Record in Web of Science")</f>
        <v>View Full Record in Web of Science</v>
      </c>
    </row>
    <row r="931" spans="1:72" x14ac:dyDescent="0.25">
      <c r="A931" t="s">
        <v>72</v>
      </c>
      <c r="B931" t="s">
        <v>18280</v>
      </c>
      <c r="C931" t="s">
        <v>74</v>
      </c>
      <c r="D931" t="s">
        <v>74</v>
      </c>
      <c r="E931" t="s">
        <v>74</v>
      </c>
      <c r="F931" t="s">
        <v>18281</v>
      </c>
      <c r="G931" t="s">
        <v>74</v>
      </c>
      <c r="H931" t="s">
        <v>74</v>
      </c>
      <c r="I931" t="s">
        <v>18282</v>
      </c>
      <c r="J931" t="s">
        <v>2660</v>
      </c>
      <c r="K931" t="s">
        <v>74</v>
      </c>
      <c r="L931" t="s">
        <v>74</v>
      </c>
      <c r="M931" t="s">
        <v>78</v>
      </c>
      <c r="N931" t="s">
        <v>79</v>
      </c>
      <c r="O931" t="s">
        <v>74</v>
      </c>
      <c r="P931" t="s">
        <v>74</v>
      </c>
      <c r="Q931" t="s">
        <v>74</v>
      </c>
      <c r="R931" t="s">
        <v>74</v>
      </c>
      <c r="S931" t="s">
        <v>74</v>
      </c>
      <c r="T931" t="s">
        <v>74</v>
      </c>
      <c r="U931" t="s">
        <v>74</v>
      </c>
      <c r="V931" t="s">
        <v>18283</v>
      </c>
      <c r="W931" t="s">
        <v>18284</v>
      </c>
      <c r="X931" t="s">
        <v>11098</v>
      </c>
      <c r="Y931" t="s">
        <v>18285</v>
      </c>
      <c r="Z931" t="s">
        <v>18286</v>
      </c>
      <c r="AA931" t="s">
        <v>74</v>
      </c>
      <c r="AB931" t="s">
        <v>74</v>
      </c>
      <c r="AC931" t="s">
        <v>74</v>
      </c>
      <c r="AD931" t="s">
        <v>74</v>
      </c>
      <c r="AE931" t="s">
        <v>74</v>
      </c>
      <c r="AF931" t="s">
        <v>74</v>
      </c>
      <c r="AG931">
        <v>0</v>
      </c>
      <c r="AH931">
        <v>2</v>
      </c>
      <c r="AI931">
        <v>2</v>
      </c>
      <c r="AJ931">
        <v>0</v>
      </c>
      <c r="AK931">
        <v>5</v>
      </c>
      <c r="AL931" t="s">
        <v>1136</v>
      </c>
      <c r="AM931" t="s">
        <v>1137</v>
      </c>
      <c r="AN931" t="s">
        <v>1138</v>
      </c>
      <c r="AO931" t="s">
        <v>2670</v>
      </c>
      <c r="AP931" t="s">
        <v>74</v>
      </c>
      <c r="AQ931" t="s">
        <v>74</v>
      </c>
      <c r="AR931" t="s">
        <v>2671</v>
      </c>
      <c r="AS931" t="s">
        <v>2672</v>
      </c>
      <c r="AT931" t="s">
        <v>74</v>
      </c>
      <c r="AU931">
        <v>2009</v>
      </c>
      <c r="AV931">
        <v>5</v>
      </c>
      <c r="AW931">
        <v>1</v>
      </c>
      <c r="AX931" t="s">
        <v>74</v>
      </c>
      <c r="AY931" t="s">
        <v>74</v>
      </c>
      <c r="AZ931" t="s">
        <v>74</v>
      </c>
      <c r="BA931" t="s">
        <v>74</v>
      </c>
      <c r="BB931">
        <v>32</v>
      </c>
      <c r="BC931">
        <v>32</v>
      </c>
      <c r="BD931" t="s">
        <v>18287</v>
      </c>
      <c r="BE931" t="s">
        <v>18288</v>
      </c>
      <c r="BF931" t="str">
        <f>HYPERLINK("http://dx.doi.org/10.1080/15501320802523955","http://dx.doi.org/10.1080/15501320802523955")</f>
        <v>http://dx.doi.org/10.1080/15501320802523955</v>
      </c>
      <c r="BG931" t="s">
        <v>74</v>
      </c>
      <c r="BH931" t="s">
        <v>74</v>
      </c>
      <c r="BI931">
        <v>1</v>
      </c>
      <c r="BJ931" t="s">
        <v>2674</v>
      </c>
      <c r="BK931" t="s">
        <v>902</v>
      </c>
      <c r="BL931" t="s">
        <v>2422</v>
      </c>
      <c r="BM931" t="s">
        <v>18289</v>
      </c>
      <c r="BN931" t="s">
        <v>74</v>
      </c>
      <c r="BO931" t="s">
        <v>346</v>
      </c>
      <c r="BP931" t="s">
        <v>74</v>
      </c>
      <c r="BQ931" t="s">
        <v>74</v>
      </c>
      <c r="BR931" t="s">
        <v>106</v>
      </c>
      <c r="BS931" t="s">
        <v>18290</v>
      </c>
      <c r="BT931" t="str">
        <f>HYPERLINK("https%3A%2F%2Fwww.webofscience.com%2Fwos%2Fwoscc%2Ffull-record%2FWOS:000265103800031","View Full Record in Web of Science")</f>
        <v>View Full Record in Web of Science</v>
      </c>
    </row>
    <row r="932" spans="1:72" x14ac:dyDescent="0.25">
      <c r="A932" t="s">
        <v>108</v>
      </c>
      <c r="B932" t="s">
        <v>18291</v>
      </c>
      <c r="C932" t="s">
        <v>74</v>
      </c>
      <c r="D932" t="s">
        <v>7050</v>
      </c>
      <c r="E932" t="s">
        <v>74</v>
      </c>
      <c r="F932" t="s">
        <v>18292</v>
      </c>
      <c r="G932" t="s">
        <v>74</v>
      </c>
      <c r="H932" t="s">
        <v>74</v>
      </c>
      <c r="I932" t="s">
        <v>18293</v>
      </c>
      <c r="J932" t="s">
        <v>18294</v>
      </c>
      <c r="K932" t="s">
        <v>147</v>
      </c>
      <c r="L932" t="s">
        <v>74</v>
      </c>
      <c r="M932" t="s">
        <v>78</v>
      </c>
      <c r="N932" t="s">
        <v>115</v>
      </c>
      <c r="O932" t="s">
        <v>7054</v>
      </c>
      <c r="P932" t="s">
        <v>7055</v>
      </c>
      <c r="Q932" t="s">
        <v>862</v>
      </c>
      <c r="R932" t="s">
        <v>7056</v>
      </c>
      <c r="S932" t="s">
        <v>74</v>
      </c>
      <c r="T932" t="s">
        <v>18295</v>
      </c>
      <c r="U932" t="s">
        <v>74</v>
      </c>
      <c r="V932" t="s">
        <v>18296</v>
      </c>
      <c r="W932" t="s">
        <v>18297</v>
      </c>
      <c r="X932" t="s">
        <v>18298</v>
      </c>
      <c r="Y932" t="s">
        <v>18299</v>
      </c>
      <c r="Z932" t="s">
        <v>18300</v>
      </c>
      <c r="AA932" t="s">
        <v>18301</v>
      </c>
      <c r="AB932" t="s">
        <v>18302</v>
      </c>
      <c r="AC932" t="s">
        <v>74</v>
      </c>
      <c r="AD932" t="s">
        <v>74</v>
      </c>
      <c r="AE932" t="s">
        <v>74</v>
      </c>
      <c r="AF932" t="s">
        <v>74</v>
      </c>
      <c r="AG932">
        <v>17</v>
      </c>
      <c r="AH932">
        <v>1</v>
      </c>
      <c r="AI932">
        <v>2</v>
      </c>
      <c r="AJ932">
        <v>0</v>
      </c>
      <c r="AK932">
        <v>1</v>
      </c>
      <c r="AL932" t="s">
        <v>129</v>
      </c>
      <c r="AM932" t="s">
        <v>130</v>
      </c>
      <c r="AN932" t="s">
        <v>131</v>
      </c>
      <c r="AO932" t="s">
        <v>159</v>
      </c>
      <c r="AP932" t="s">
        <v>133</v>
      </c>
      <c r="AQ932" t="s">
        <v>18303</v>
      </c>
      <c r="AR932" t="s">
        <v>161</v>
      </c>
      <c r="AS932" t="s">
        <v>74</v>
      </c>
      <c r="AT932" t="s">
        <v>74</v>
      </c>
      <c r="AU932">
        <v>2017</v>
      </c>
      <c r="AV932">
        <v>10637</v>
      </c>
      <c r="AW932" t="s">
        <v>74</v>
      </c>
      <c r="AX932" t="s">
        <v>13361</v>
      </c>
      <c r="AY932" t="s">
        <v>74</v>
      </c>
      <c r="AZ932" t="s">
        <v>74</v>
      </c>
      <c r="BA932" t="s">
        <v>74</v>
      </c>
      <c r="BB932">
        <v>239</v>
      </c>
      <c r="BC932">
        <v>248</v>
      </c>
      <c r="BD932" t="s">
        <v>74</v>
      </c>
      <c r="BE932" t="s">
        <v>18304</v>
      </c>
      <c r="BF932" t="str">
        <f>HYPERLINK("http://dx.doi.org/10.1007/978-3-319-70093-9_25","http://dx.doi.org/10.1007/978-3-319-70093-9_25")</f>
        <v>http://dx.doi.org/10.1007/978-3-319-70093-9_25</v>
      </c>
      <c r="BG932" t="s">
        <v>74</v>
      </c>
      <c r="BH932" t="s">
        <v>74</v>
      </c>
      <c r="BI932">
        <v>10</v>
      </c>
      <c r="BJ932" t="s">
        <v>1399</v>
      </c>
      <c r="BK932" t="s">
        <v>203</v>
      </c>
      <c r="BL932" t="s">
        <v>103</v>
      </c>
      <c r="BM932" t="s">
        <v>18305</v>
      </c>
      <c r="BN932" t="s">
        <v>74</v>
      </c>
      <c r="BO932" t="s">
        <v>74</v>
      </c>
      <c r="BP932" t="s">
        <v>74</v>
      </c>
      <c r="BQ932" t="s">
        <v>74</v>
      </c>
      <c r="BR932" t="s">
        <v>106</v>
      </c>
      <c r="BS932" t="s">
        <v>18306</v>
      </c>
      <c r="BT932" t="str">
        <f>HYPERLINK("https%3A%2F%2Fwww.webofscience.com%2Fwos%2Fwoscc%2Ffull-record%2FWOS:000578258900025","View Full Record in Web of Science")</f>
        <v>View Full Record in Web of Science</v>
      </c>
    </row>
    <row r="933" spans="1:72" x14ac:dyDescent="0.25">
      <c r="A933" t="s">
        <v>108</v>
      </c>
      <c r="B933" t="s">
        <v>18307</v>
      </c>
      <c r="C933" t="s">
        <v>74</v>
      </c>
      <c r="D933" t="s">
        <v>18308</v>
      </c>
      <c r="E933" t="s">
        <v>74</v>
      </c>
      <c r="F933" t="s">
        <v>18309</v>
      </c>
      <c r="G933" t="s">
        <v>74</v>
      </c>
      <c r="H933" t="s">
        <v>74</v>
      </c>
      <c r="I933" t="s">
        <v>18310</v>
      </c>
      <c r="J933" t="s">
        <v>18311</v>
      </c>
      <c r="K933" t="s">
        <v>74</v>
      </c>
      <c r="L933" t="s">
        <v>74</v>
      </c>
      <c r="M933" t="s">
        <v>78</v>
      </c>
      <c r="N933" t="s">
        <v>115</v>
      </c>
      <c r="O933" t="s">
        <v>18312</v>
      </c>
      <c r="P933" t="s">
        <v>18313</v>
      </c>
      <c r="Q933" t="s">
        <v>1767</v>
      </c>
      <c r="R933" t="s">
        <v>18314</v>
      </c>
      <c r="S933" t="s">
        <v>74</v>
      </c>
      <c r="T933" t="s">
        <v>74</v>
      </c>
      <c r="U933" t="s">
        <v>74</v>
      </c>
      <c r="V933" t="s">
        <v>18315</v>
      </c>
      <c r="W933" t="s">
        <v>18316</v>
      </c>
      <c r="X933" t="s">
        <v>18317</v>
      </c>
      <c r="Y933" t="s">
        <v>18318</v>
      </c>
      <c r="Z933" t="s">
        <v>18319</v>
      </c>
      <c r="AA933" t="s">
        <v>74</v>
      </c>
      <c r="AB933" t="s">
        <v>18320</v>
      </c>
      <c r="AC933" t="s">
        <v>18321</v>
      </c>
      <c r="AD933" t="s">
        <v>18321</v>
      </c>
      <c r="AE933" t="s">
        <v>18322</v>
      </c>
      <c r="AF933" t="s">
        <v>74</v>
      </c>
      <c r="AG933">
        <v>8</v>
      </c>
      <c r="AH933">
        <v>6</v>
      </c>
      <c r="AI933">
        <v>7</v>
      </c>
      <c r="AJ933">
        <v>0</v>
      </c>
      <c r="AK933">
        <v>2</v>
      </c>
      <c r="AL933" t="s">
        <v>947</v>
      </c>
      <c r="AM933" t="s">
        <v>948</v>
      </c>
      <c r="AN933" t="s">
        <v>949</v>
      </c>
      <c r="AO933" t="s">
        <v>74</v>
      </c>
      <c r="AP933" t="s">
        <v>74</v>
      </c>
      <c r="AQ933" t="s">
        <v>18323</v>
      </c>
      <c r="AR933" t="s">
        <v>74</v>
      </c>
      <c r="AS933" t="s">
        <v>74</v>
      </c>
      <c r="AT933" t="s">
        <v>74</v>
      </c>
      <c r="AU933">
        <v>2008</v>
      </c>
      <c r="AV933" t="s">
        <v>74</v>
      </c>
      <c r="AW933" t="s">
        <v>74</v>
      </c>
      <c r="AX933" t="s">
        <v>74</v>
      </c>
      <c r="AY933" t="s">
        <v>74</v>
      </c>
      <c r="AZ933" t="s">
        <v>74</v>
      </c>
      <c r="BA933" t="s">
        <v>74</v>
      </c>
      <c r="BB933">
        <v>94</v>
      </c>
      <c r="BC933" t="s">
        <v>5459</v>
      </c>
      <c r="BD933" t="s">
        <v>74</v>
      </c>
      <c r="BE933" t="s">
        <v>18324</v>
      </c>
      <c r="BF933" t="str">
        <f>HYPERLINK("http://dx.doi.org/10.1109/SMAP.2008.9","http://dx.doi.org/10.1109/SMAP.2008.9")</f>
        <v>http://dx.doi.org/10.1109/SMAP.2008.9</v>
      </c>
      <c r="BG933" t="s">
        <v>74</v>
      </c>
      <c r="BH933" t="s">
        <v>74</v>
      </c>
      <c r="BI933">
        <v>2</v>
      </c>
      <c r="BJ933" t="s">
        <v>18325</v>
      </c>
      <c r="BK933" t="s">
        <v>203</v>
      </c>
      <c r="BL933" t="s">
        <v>903</v>
      </c>
      <c r="BM933" t="s">
        <v>18326</v>
      </c>
      <c r="BN933" t="s">
        <v>74</v>
      </c>
      <c r="BO933" t="s">
        <v>74</v>
      </c>
      <c r="BP933" t="s">
        <v>74</v>
      </c>
      <c r="BQ933" t="s">
        <v>74</v>
      </c>
      <c r="BR933" t="s">
        <v>106</v>
      </c>
      <c r="BS933" t="s">
        <v>18327</v>
      </c>
      <c r="BT933" t="str">
        <f>HYPERLINK("https%3A%2F%2Fwww.webofscience.com%2Fwos%2Fwoscc%2Ffull-record%2FWOS:000263714200016","View Full Record in Web of Science")</f>
        <v>View Full Record in Web of Science</v>
      </c>
    </row>
    <row r="934" spans="1:72" x14ac:dyDescent="0.25">
      <c r="A934" t="s">
        <v>108</v>
      </c>
      <c r="B934" t="s">
        <v>18328</v>
      </c>
      <c r="C934" t="s">
        <v>74</v>
      </c>
      <c r="D934" t="s">
        <v>18329</v>
      </c>
      <c r="E934" t="s">
        <v>74</v>
      </c>
      <c r="F934" t="s">
        <v>18330</v>
      </c>
      <c r="G934" t="s">
        <v>74</v>
      </c>
      <c r="H934" t="s">
        <v>74</v>
      </c>
      <c r="I934" t="s">
        <v>18331</v>
      </c>
      <c r="J934" t="s">
        <v>18332</v>
      </c>
      <c r="K934" t="s">
        <v>74</v>
      </c>
      <c r="L934" t="s">
        <v>74</v>
      </c>
      <c r="M934" t="s">
        <v>78</v>
      </c>
      <c r="N934" t="s">
        <v>115</v>
      </c>
      <c r="O934" t="s">
        <v>18333</v>
      </c>
      <c r="P934" t="s">
        <v>18334</v>
      </c>
      <c r="Q934" t="s">
        <v>1983</v>
      </c>
      <c r="R934" t="s">
        <v>18335</v>
      </c>
      <c r="S934" t="s">
        <v>74</v>
      </c>
      <c r="T934" t="s">
        <v>18336</v>
      </c>
      <c r="U934" t="s">
        <v>74</v>
      </c>
      <c r="V934" t="s">
        <v>18337</v>
      </c>
      <c r="W934" t="s">
        <v>18338</v>
      </c>
      <c r="X934" t="s">
        <v>18339</v>
      </c>
      <c r="Y934" t="s">
        <v>18340</v>
      </c>
      <c r="Z934" t="s">
        <v>18341</v>
      </c>
      <c r="AA934" t="s">
        <v>18342</v>
      </c>
      <c r="AB934" t="s">
        <v>18343</v>
      </c>
      <c r="AC934" t="s">
        <v>18344</v>
      </c>
      <c r="AD934" t="s">
        <v>18345</v>
      </c>
      <c r="AE934" t="s">
        <v>18346</v>
      </c>
      <c r="AF934" t="s">
        <v>74</v>
      </c>
      <c r="AG934">
        <v>9</v>
      </c>
      <c r="AH934">
        <v>4</v>
      </c>
      <c r="AI934">
        <v>9</v>
      </c>
      <c r="AJ934">
        <v>0</v>
      </c>
      <c r="AK934">
        <v>5</v>
      </c>
      <c r="AL934" t="s">
        <v>291</v>
      </c>
      <c r="AM934" t="s">
        <v>92</v>
      </c>
      <c r="AN934" t="s">
        <v>292</v>
      </c>
      <c r="AO934" t="s">
        <v>74</v>
      </c>
      <c r="AP934" t="s">
        <v>74</v>
      </c>
      <c r="AQ934" t="s">
        <v>18347</v>
      </c>
      <c r="AR934" t="s">
        <v>74</v>
      </c>
      <c r="AS934" t="s">
        <v>74</v>
      </c>
      <c r="AT934" t="s">
        <v>74</v>
      </c>
      <c r="AU934">
        <v>2014</v>
      </c>
      <c r="AV934" t="s">
        <v>74</v>
      </c>
      <c r="AW934" t="s">
        <v>74</v>
      </c>
      <c r="AX934" t="s">
        <v>74</v>
      </c>
      <c r="AY934" t="s">
        <v>74</v>
      </c>
      <c r="AZ934" t="s">
        <v>74</v>
      </c>
      <c r="BA934" t="s">
        <v>74</v>
      </c>
      <c r="BB934">
        <v>163</v>
      </c>
      <c r="BC934">
        <v>168</v>
      </c>
      <c r="BD934" t="s">
        <v>74</v>
      </c>
      <c r="BE934" t="s">
        <v>18348</v>
      </c>
      <c r="BF934" t="str">
        <f>HYPERLINK("http://dx.doi.org/10.1145/2538862.2538952","http://dx.doi.org/10.1145/2538862.2538952")</f>
        <v>http://dx.doi.org/10.1145/2538862.2538952</v>
      </c>
      <c r="BG934" t="s">
        <v>74</v>
      </c>
      <c r="BH934" t="s">
        <v>74</v>
      </c>
      <c r="BI934">
        <v>6</v>
      </c>
      <c r="BJ934" t="s">
        <v>10930</v>
      </c>
      <c r="BK934" t="s">
        <v>203</v>
      </c>
      <c r="BL934" t="s">
        <v>139</v>
      </c>
      <c r="BM934" t="s">
        <v>18349</v>
      </c>
      <c r="BN934" t="s">
        <v>74</v>
      </c>
      <c r="BO934" t="s">
        <v>74</v>
      </c>
      <c r="BP934" t="s">
        <v>74</v>
      </c>
      <c r="BQ934" t="s">
        <v>74</v>
      </c>
      <c r="BR934" t="s">
        <v>106</v>
      </c>
      <c r="BS934" t="s">
        <v>18350</v>
      </c>
      <c r="BT934" t="str">
        <f>HYPERLINK("https%3A%2F%2Fwww.webofscience.com%2Fwos%2Fwoscc%2Ffull-record%2FWOS:000494249100033","View Full Record in Web of Science")</f>
        <v>View Full Record in Web of Science</v>
      </c>
    </row>
    <row r="935" spans="1:72" x14ac:dyDescent="0.25">
      <c r="A935" t="s">
        <v>108</v>
      </c>
      <c r="B935" t="s">
        <v>18351</v>
      </c>
      <c r="C935" t="s">
        <v>74</v>
      </c>
      <c r="D935" t="s">
        <v>74</v>
      </c>
      <c r="E935" t="s">
        <v>322</v>
      </c>
      <c r="F935" t="s">
        <v>18352</v>
      </c>
      <c r="G935" t="s">
        <v>74</v>
      </c>
      <c r="H935" t="s">
        <v>74</v>
      </c>
      <c r="I935" t="s">
        <v>18353</v>
      </c>
      <c r="J935" t="s">
        <v>18354</v>
      </c>
      <c r="K935" t="s">
        <v>74</v>
      </c>
      <c r="L935" t="s">
        <v>74</v>
      </c>
      <c r="M935" t="s">
        <v>78</v>
      </c>
      <c r="N935" t="s">
        <v>115</v>
      </c>
      <c r="O935" t="s">
        <v>18355</v>
      </c>
      <c r="P935" t="s">
        <v>18356</v>
      </c>
      <c r="Q935" t="s">
        <v>18357</v>
      </c>
      <c r="R935" t="s">
        <v>18358</v>
      </c>
      <c r="S935" t="s">
        <v>18359</v>
      </c>
      <c r="T935" t="s">
        <v>18360</v>
      </c>
      <c r="U935" t="s">
        <v>74</v>
      </c>
      <c r="V935" t="s">
        <v>18361</v>
      </c>
      <c r="W935" t="s">
        <v>18362</v>
      </c>
      <c r="X935" t="s">
        <v>18363</v>
      </c>
      <c r="Y935" t="s">
        <v>18364</v>
      </c>
      <c r="Z935" t="s">
        <v>18365</v>
      </c>
      <c r="AA935" t="s">
        <v>18366</v>
      </c>
      <c r="AB935" t="s">
        <v>18367</v>
      </c>
      <c r="AC935" t="s">
        <v>18368</v>
      </c>
      <c r="AD935" t="s">
        <v>18369</v>
      </c>
      <c r="AE935" t="s">
        <v>18370</v>
      </c>
      <c r="AF935" t="s">
        <v>74</v>
      </c>
      <c r="AG935">
        <v>13</v>
      </c>
      <c r="AH935">
        <v>25</v>
      </c>
      <c r="AI935">
        <v>29</v>
      </c>
      <c r="AJ935">
        <v>4</v>
      </c>
      <c r="AK935">
        <v>34</v>
      </c>
      <c r="AL935" t="s">
        <v>291</v>
      </c>
      <c r="AM935" t="s">
        <v>92</v>
      </c>
      <c r="AN935" t="s">
        <v>341</v>
      </c>
      <c r="AO935" t="s">
        <v>74</v>
      </c>
      <c r="AP935" t="s">
        <v>74</v>
      </c>
      <c r="AQ935" t="s">
        <v>18371</v>
      </c>
      <c r="AR935" t="s">
        <v>74</v>
      </c>
      <c r="AS935" t="s">
        <v>74</v>
      </c>
      <c r="AT935" t="s">
        <v>74</v>
      </c>
      <c r="AU935">
        <v>2023</v>
      </c>
      <c r="AV935" t="s">
        <v>74</v>
      </c>
      <c r="AW935" t="s">
        <v>74</v>
      </c>
      <c r="AX935" t="s">
        <v>74</v>
      </c>
      <c r="AY935" t="s">
        <v>74</v>
      </c>
      <c r="AZ935" t="s">
        <v>74</v>
      </c>
      <c r="BA935" t="s">
        <v>74</v>
      </c>
      <c r="BB935">
        <v>727</v>
      </c>
      <c r="BC935">
        <v>731</v>
      </c>
      <c r="BD935" t="s">
        <v>74</v>
      </c>
      <c r="BE935" t="s">
        <v>18372</v>
      </c>
      <c r="BF935" t="str">
        <f>HYPERLINK("http://dx.doi.org/10.1145/3585088.3594495","http://dx.doi.org/10.1145/3585088.3594495")</f>
        <v>http://dx.doi.org/10.1145/3585088.3594495</v>
      </c>
      <c r="BG935" t="s">
        <v>74</v>
      </c>
      <c r="BH935" t="s">
        <v>74</v>
      </c>
      <c r="BI935">
        <v>5</v>
      </c>
      <c r="BJ935" t="s">
        <v>6111</v>
      </c>
      <c r="BK935" t="s">
        <v>203</v>
      </c>
      <c r="BL935" t="s">
        <v>103</v>
      </c>
      <c r="BM935" t="s">
        <v>18373</v>
      </c>
      <c r="BN935" t="s">
        <v>74</v>
      </c>
      <c r="BO935" t="s">
        <v>372</v>
      </c>
      <c r="BP935" t="s">
        <v>74</v>
      </c>
      <c r="BQ935" t="s">
        <v>74</v>
      </c>
      <c r="BR935" t="s">
        <v>106</v>
      </c>
      <c r="BS935" t="s">
        <v>18374</v>
      </c>
      <c r="BT935" t="str">
        <f>HYPERLINK("https%3A%2F%2Fwww.webofscience.com%2Fwos%2Fwoscc%2Ffull-record%2FWOS:001103422700095","View Full Record in Web of Science")</f>
        <v>View Full Record in Web of Science</v>
      </c>
    </row>
    <row r="936" spans="1:72" x14ac:dyDescent="0.25">
      <c r="A936" t="s">
        <v>2400</v>
      </c>
      <c r="B936" t="s">
        <v>18375</v>
      </c>
      <c r="C936" t="s">
        <v>74</v>
      </c>
      <c r="D936" t="s">
        <v>18376</v>
      </c>
      <c r="E936" t="s">
        <v>74</v>
      </c>
      <c r="F936" t="s">
        <v>18375</v>
      </c>
      <c r="G936" t="s">
        <v>74</v>
      </c>
      <c r="H936" t="s">
        <v>74</v>
      </c>
      <c r="I936" t="s">
        <v>18377</v>
      </c>
      <c r="J936" t="s">
        <v>18378</v>
      </c>
      <c r="K936" t="s">
        <v>17724</v>
      </c>
      <c r="L936" t="s">
        <v>74</v>
      </c>
      <c r="M936" t="s">
        <v>78</v>
      </c>
      <c r="N936" t="s">
        <v>7584</v>
      </c>
      <c r="O936" t="s">
        <v>18379</v>
      </c>
      <c r="P936" t="s">
        <v>18380</v>
      </c>
      <c r="Q936" t="s">
        <v>14389</v>
      </c>
      <c r="R936" t="s">
        <v>74</v>
      </c>
      <c r="S936" t="s">
        <v>74</v>
      </c>
      <c r="T936" t="s">
        <v>74</v>
      </c>
      <c r="U936" t="s">
        <v>74</v>
      </c>
      <c r="V936" t="s">
        <v>18381</v>
      </c>
      <c r="W936" t="s">
        <v>18382</v>
      </c>
      <c r="X936" t="s">
        <v>18383</v>
      </c>
      <c r="Y936" t="s">
        <v>18384</v>
      </c>
      <c r="Z936" t="s">
        <v>74</v>
      </c>
      <c r="AA936" t="s">
        <v>74</v>
      </c>
      <c r="AB936" t="s">
        <v>74</v>
      </c>
      <c r="AC936" t="s">
        <v>74</v>
      </c>
      <c r="AD936" t="s">
        <v>74</v>
      </c>
      <c r="AE936" t="s">
        <v>74</v>
      </c>
      <c r="AF936" t="s">
        <v>74</v>
      </c>
      <c r="AG936">
        <v>13</v>
      </c>
      <c r="AH936">
        <v>4</v>
      </c>
      <c r="AI936">
        <v>7</v>
      </c>
      <c r="AJ936">
        <v>0</v>
      </c>
      <c r="AK936">
        <v>1</v>
      </c>
      <c r="AL936" t="s">
        <v>197</v>
      </c>
      <c r="AM936" t="s">
        <v>198</v>
      </c>
      <c r="AN936" t="s">
        <v>199</v>
      </c>
      <c r="AO936" t="s">
        <v>159</v>
      </c>
      <c r="AP936" t="s">
        <v>74</v>
      </c>
      <c r="AQ936" t="s">
        <v>18385</v>
      </c>
      <c r="AR936" t="s">
        <v>161</v>
      </c>
      <c r="AS936" t="s">
        <v>74</v>
      </c>
      <c r="AT936" t="s">
        <v>74</v>
      </c>
      <c r="AU936">
        <v>2003</v>
      </c>
      <c r="AV936">
        <v>2737</v>
      </c>
      <c r="AW936" t="s">
        <v>74</v>
      </c>
      <c r="AX936" t="s">
        <v>74</v>
      </c>
      <c r="AY936" t="s">
        <v>74</v>
      </c>
      <c r="AZ936" t="s">
        <v>74</v>
      </c>
      <c r="BA936" t="s">
        <v>74</v>
      </c>
      <c r="BB936">
        <v>320</v>
      </c>
      <c r="BC936">
        <v>329</v>
      </c>
      <c r="BD936" t="s">
        <v>74</v>
      </c>
      <c r="BE936" t="s">
        <v>74</v>
      </c>
      <c r="BF936" t="s">
        <v>74</v>
      </c>
      <c r="BG936" t="s">
        <v>74</v>
      </c>
      <c r="BH936" t="s">
        <v>74</v>
      </c>
      <c r="BI936">
        <v>10</v>
      </c>
      <c r="BJ936" t="s">
        <v>696</v>
      </c>
      <c r="BK936" t="s">
        <v>12228</v>
      </c>
      <c r="BL936" t="s">
        <v>103</v>
      </c>
      <c r="BM936" t="s">
        <v>18386</v>
      </c>
      <c r="BN936" t="s">
        <v>74</v>
      </c>
      <c r="BO936" t="s">
        <v>74</v>
      </c>
      <c r="BP936" t="s">
        <v>74</v>
      </c>
      <c r="BQ936" t="s">
        <v>74</v>
      </c>
      <c r="BR936" t="s">
        <v>106</v>
      </c>
      <c r="BS936" t="s">
        <v>18387</v>
      </c>
      <c r="BT936" t="str">
        <f>HYPERLINK("https%3A%2F%2Fwww.webofscience.com%2Fwos%2Fwoscc%2Ffull-record%2FWOS:000185936500032","View Full Record in Web of Science")</f>
        <v>View Full Record in Web of Science</v>
      </c>
    </row>
    <row r="937" spans="1:72" x14ac:dyDescent="0.25">
      <c r="A937" t="s">
        <v>72</v>
      </c>
      <c r="B937" t="s">
        <v>18388</v>
      </c>
      <c r="C937" t="s">
        <v>74</v>
      </c>
      <c r="D937" t="s">
        <v>74</v>
      </c>
      <c r="E937" t="s">
        <v>74</v>
      </c>
      <c r="F937" t="s">
        <v>18389</v>
      </c>
      <c r="G937" t="s">
        <v>74</v>
      </c>
      <c r="H937" t="s">
        <v>74</v>
      </c>
      <c r="I937" t="s">
        <v>18390</v>
      </c>
      <c r="J937" t="s">
        <v>18391</v>
      </c>
      <c r="K937" t="s">
        <v>74</v>
      </c>
      <c r="L937" t="s">
        <v>74</v>
      </c>
      <c r="M937" t="s">
        <v>78</v>
      </c>
      <c r="N937" t="s">
        <v>79</v>
      </c>
      <c r="O937" t="s">
        <v>74</v>
      </c>
      <c r="P937" t="s">
        <v>74</v>
      </c>
      <c r="Q937" t="s">
        <v>74</v>
      </c>
      <c r="R937" t="s">
        <v>74</v>
      </c>
      <c r="S937" t="s">
        <v>74</v>
      </c>
      <c r="T937" t="s">
        <v>18392</v>
      </c>
      <c r="U937" t="s">
        <v>18393</v>
      </c>
      <c r="V937" t="s">
        <v>18394</v>
      </c>
      <c r="W937" t="s">
        <v>18395</v>
      </c>
      <c r="X937" t="s">
        <v>18396</v>
      </c>
      <c r="Y937" t="s">
        <v>18397</v>
      </c>
      <c r="Z937" t="s">
        <v>18398</v>
      </c>
      <c r="AA937" t="s">
        <v>18399</v>
      </c>
      <c r="AB937" t="s">
        <v>18400</v>
      </c>
      <c r="AC937" t="s">
        <v>74</v>
      </c>
      <c r="AD937" t="s">
        <v>74</v>
      </c>
      <c r="AE937" t="s">
        <v>74</v>
      </c>
      <c r="AF937" t="s">
        <v>74</v>
      </c>
      <c r="AG937">
        <v>36</v>
      </c>
      <c r="AH937">
        <v>55</v>
      </c>
      <c r="AI937">
        <v>62</v>
      </c>
      <c r="AJ937">
        <v>0</v>
      </c>
      <c r="AK937">
        <v>8</v>
      </c>
      <c r="AL937" t="s">
        <v>18401</v>
      </c>
      <c r="AM937" t="s">
        <v>2606</v>
      </c>
      <c r="AN937" t="s">
        <v>18402</v>
      </c>
      <c r="AO937" t="s">
        <v>18403</v>
      </c>
      <c r="AP937" t="s">
        <v>74</v>
      </c>
      <c r="AQ937" t="s">
        <v>74</v>
      </c>
      <c r="AR937" t="s">
        <v>18404</v>
      </c>
      <c r="AS937" t="s">
        <v>18405</v>
      </c>
      <c r="AT937" t="s">
        <v>1251</v>
      </c>
      <c r="AU937">
        <v>2015</v>
      </c>
      <c r="AV937">
        <v>96</v>
      </c>
      <c r="AW937">
        <v>4</v>
      </c>
      <c r="AX937" t="s">
        <v>74</v>
      </c>
      <c r="AY937" t="s">
        <v>74</v>
      </c>
      <c r="AZ937" t="s">
        <v>74</v>
      </c>
      <c r="BA937" t="s">
        <v>74</v>
      </c>
      <c r="BB937">
        <v>365</v>
      </c>
      <c r="BC937">
        <v>372</v>
      </c>
      <c r="BD937" t="s">
        <v>74</v>
      </c>
      <c r="BE937" t="s">
        <v>18406</v>
      </c>
      <c r="BF937" t="str">
        <f>HYPERLINK("http://dx.doi.org/10.1016/j.diii.2014.11.016","http://dx.doi.org/10.1016/j.diii.2014.11.016")</f>
        <v>http://dx.doi.org/10.1016/j.diii.2014.11.016</v>
      </c>
      <c r="BG937" t="s">
        <v>74</v>
      </c>
      <c r="BH937" t="s">
        <v>74</v>
      </c>
      <c r="BI937">
        <v>8</v>
      </c>
      <c r="BJ937" t="s">
        <v>1647</v>
      </c>
      <c r="BK937" t="s">
        <v>902</v>
      </c>
      <c r="BL937" t="s">
        <v>1647</v>
      </c>
      <c r="BM937" t="s">
        <v>18407</v>
      </c>
      <c r="BN937">
        <v>25547670</v>
      </c>
      <c r="BO937" t="s">
        <v>205</v>
      </c>
      <c r="BP937" t="s">
        <v>74</v>
      </c>
      <c r="BQ937" t="s">
        <v>74</v>
      </c>
      <c r="BR937" t="s">
        <v>106</v>
      </c>
      <c r="BS937" t="s">
        <v>18408</v>
      </c>
      <c r="BT937" t="str">
        <f>HYPERLINK("https%3A%2F%2Fwww.webofscience.com%2Fwos%2Fwoscc%2Ffull-record%2FWOS:000352858900007","View Full Record in Web of Science")</f>
        <v>View Full Record in Web of Science</v>
      </c>
    </row>
    <row r="938" spans="1:72" x14ac:dyDescent="0.25">
      <c r="A938" t="s">
        <v>72</v>
      </c>
      <c r="B938" t="s">
        <v>18409</v>
      </c>
      <c r="C938" t="s">
        <v>74</v>
      </c>
      <c r="D938" t="s">
        <v>74</v>
      </c>
      <c r="E938" t="s">
        <v>74</v>
      </c>
      <c r="F938" t="s">
        <v>18410</v>
      </c>
      <c r="G938" t="s">
        <v>74</v>
      </c>
      <c r="H938" t="s">
        <v>74</v>
      </c>
      <c r="I938" t="s">
        <v>18411</v>
      </c>
      <c r="J938" t="s">
        <v>18412</v>
      </c>
      <c r="K938" t="s">
        <v>74</v>
      </c>
      <c r="L938" t="s">
        <v>74</v>
      </c>
      <c r="M938" t="s">
        <v>78</v>
      </c>
      <c r="N938" t="s">
        <v>79</v>
      </c>
      <c r="O938" t="s">
        <v>74</v>
      </c>
      <c r="P938" t="s">
        <v>74</v>
      </c>
      <c r="Q938" t="s">
        <v>74</v>
      </c>
      <c r="R938" t="s">
        <v>74</v>
      </c>
      <c r="S938" t="s">
        <v>74</v>
      </c>
      <c r="T938" t="s">
        <v>18413</v>
      </c>
      <c r="U938" t="s">
        <v>74</v>
      </c>
      <c r="V938" t="s">
        <v>18414</v>
      </c>
      <c r="W938" t="s">
        <v>18415</v>
      </c>
      <c r="X938" t="s">
        <v>74</v>
      </c>
      <c r="Y938" t="s">
        <v>18416</v>
      </c>
      <c r="Z938" t="s">
        <v>18417</v>
      </c>
      <c r="AA938" t="s">
        <v>74</v>
      </c>
      <c r="AB938" t="s">
        <v>74</v>
      </c>
      <c r="AC938" t="s">
        <v>74</v>
      </c>
      <c r="AD938" t="s">
        <v>74</v>
      </c>
      <c r="AE938" t="s">
        <v>74</v>
      </c>
      <c r="AF938" t="s">
        <v>74</v>
      </c>
      <c r="AG938">
        <v>0</v>
      </c>
      <c r="AH938">
        <v>9</v>
      </c>
      <c r="AI938">
        <v>10</v>
      </c>
      <c r="AJ938">
        <v>0</v>
      </c>
      <c r="AK938">
        <v>18</v>
      </c>
      <c r="AL938" t="s">
        <v>631</v>
      </c>
      <c r="AM938" t="s">
        <v>632</v>
      </c>
      <c r="AN938" t="s">
        <v>633</v>
      </c>
      <c r="AO938" t="s">
        <v>18418</v>
      </c>
      <c r="AP938" t="s">
        <v>18419</v>
      </c>
      <c r="AQ938" t="s">
        <v>74</v>
      </c>
      <c r="AR938" t="s">
        <v>18420</v>
      </c>
      <c r="AS938" t="s">
        <v>18421</v>
      </c>
      <c r="AT938" t="s">
        <v>98</v>
      </c>
      <c r="AU938">
        <v>2017</v>
      </c>
      <c r="AV938">
        <v>41</v>
      </c>
      <c r="AW938">
        <v>8</v>
      </c>
      <c r="AX938" t="s">
        <v>74</v>
      </c>
      <c r="AY938" t="s">
        <v>74</v>
      </c>
      <c r="AZ938" t="s">
        <v>74</v>
      </c>
      <c r="BA938" t="s">
        <v>74</v>
      </c>
      <c r="BB938">
        <v>1058</v>
      </c>
      <c r="BC938">
        <v>1071</v>
      </c>
      <c r="BD938" t="s">
        <v>74</v>
      </c>
      <c r="BE938" t="s">
        <v>18422</v>
      </c>
      <c r="BF938" t="str">
        <f>HYPERLINK("http://dx.doi.org/10.1002/fam.2449","http://dx.doi.org/10.1002/fam.2449")</f>
        <v>http://dx.doi.org/10.1002/fam.2449</v>
      </c>
      <c r="BG938" t="s">
        <v>74</v>
      </c>
      <c r="BH938" t="s">
        <v>74</v>
      </c>
      <c r="BI938">
        <v>14</v>
      </c>
      <c r="BJ938" t="s">
        <v>9961</v>
      </c>
      <c r="BK938" t="s">
        <v>902</v>
      </c>
      <c r="BL938" t="s">
        <v>9962</v>
      </c>
      <c r="BM938" t="s">
        <v>18423</v>
      </c>
      <c r="BN938" t="s">
        <v>74</v>
      </c>
      <c r="BO938" t="s">
        <v>74</v>
      </c>
      <c r="BP938" t="s">
        <v>74</v>
      </c>
      <c r="BQ938" t="s">
        <v>74</v>
      </c>
      <c r="BR938" t="s">
        <v>106</v>
      </c>
      <c r="BS938" t="s">
        <v>18424</v>
      </c>
      <c r="BT938" t="str">
        <f>HYPERLINK("https%3A%2F%2Fwww.webofscience.com%2Fwos%2Fwoscc%2Ffull-record%2FWOS:000414643700013","View Full Record in Web of Science")</f>
        <v>View Full Record in Web of Science</v>
      </c>
    </row>
    <row r="939" spans="1:72" x14ac:dyDescent="0.25">
      <c r="A939" t="s">
        <v>72</v>
      </c>
      <c r="B939" t="s">
        <v>18425</v>
      </c>
      <c r="C939" t="s">
        <v>74</v>
      </c>
      <c r="D939" t="s">
        <v>74</v>
      </c>
      <c r="E939" t="s">
        <v>74</v>
      </c>
      <c r="F939" t="s">
        <v>18426</v>
      </c>
      <c r="G939" t="s">
        <v>74</v>
      </c>
      <c r="H939" t="s">
        <v>74</v>
      </c>
      <c r="I939" t="s">
        <v>18427</v>
      </c>
      <c r="J939" t="s">
        <v>882</v>
      </c>
      <c r="K939" t="s">
        <v>74</v>
      </c>
      <c r="L939" t="s">
        <v>74</v>
      </c>
      <c r="M939" t="s">
        <v>78</v>
      </c>
      <c r="N939" t="s">
        <v>79</v>
      </c>
      <c r="O939" t="s">
        <v>74</v>
      </c>
      <c r="P939" t="s">
        <v>74</v>
      </c>
      <c r="Q939" t="s">
        <v>74</v>
      </c>
      <c r="R939" t="s">
        <v>74</v>
      </c>
      <c r="S939" t="s">
        <v>74</v>
      </c>
      <c r="T939" t="s">
        <v>18428</v>
      </c>
      <c r="U939" t="s">
        <v>74</v>
      </c>
      <c r="V939" t="s">
        <v>18429</v>
      </c>
      <c r="W939" t="s">
        <v>18430</v>
      </c>
      <c r="X939" t="s">
        <v>13844</v>
      </c>
      <c r="Y939" t="s">
        <v>18431</v>
      </c>
      <c r="Z939" t="s">
        <v>18432</v>
      </c>
      <c r="AA939" t="s">
        <v>13847</v>
      </c>
      <c r="AB939" t="s">
        <v>74</v>
      </c>
      <c r="AC939" t="s">
        <v>74</v>
      </c>
      <c r="AD939" t="s">
        <v>74</v>
      </c>
      <c r="AE939" t="s">
        <v>74</v>
      </c>
      <c r="AF939" t="s">
        <v>74</v>
      </c>
      <c r="AG939">
        <v>28</v>
      </c>
      <c r="AH939">
        <v>5</v>
      </c>
      <c r="AI939">
        <v>7</v>
      </c>
      <c r="AJ939">
        <v>0</v>
      </c>
      <c r="AK939">
        <v>7</v>
      </c>
      <c r="AL939" t="s">
        <v>895</v>
      </c>
      <c r="AM939" t="s">
        <v>896</v>
      </c>
      <c r="AN939" t="s">
        <v>897</v>
      </c>
      <c r="AO939" t="s">
        <v>898</v>
      </c>
      <c r="AP939" t="s">
        <v>74</v>
      </c>
      <c r="AQ939" t="s">
        <v>74</v>
      </c>
      <c r="AR939" t="s">
        <v>882</v>
      </c>
      <c r="AS939" t="s">
        <v>899</v>
      </c>
      <c r="AT939" t="s">
        <v>74</v>
      </c>
      <c r="AU939">
        <v>2020</v>
      </c>
      <c r="AV939">
        <v>8</v>
      </c>
      <c r="AW939" t="s">
        <v>74</v>
      </c>
      <c r="AX939" t="s">
        <v>74</v>
      </c>
      <c r="AY939" t="s">
        <v>74</v>
      </c>
      <c r="AZ939" t="s">
        <v>74</v>
      </c>
      <c r="BA939" t="s">
        <v>74</v>
      </c>
      <c r="BB939">
        <v>66977</v>
      </c>
      <c r="BC939">
        <v>66988</v>
      </c>
      <c r="BD939" t="s">
        <v>74</v>
      </c>
      <c r="BE939" t="s">
        <v>18433</v>
      </c>
      <c r="BF939" t="str">
        <f>HYPERLINK("http://dx.doi.org/10.1109/ACCESS.2020.2985079","http://dx.doi.org/10.1109/ACCESS.2020.2985079")</f>
        <v>http://dx.doi.org/10.1109/ACCESS.2020.2985079</v>
      </c>
      <c r="BG939" t="s">
        <v>74</v>
      </c>
      <c r="BH939" t="s">
        <v>74</v>
      </c>
      <c r="BI939">
        <v>12</v>
      </c>
      <c r="BJ939" t="s">
        <v>901</v>
      </c>
      <c r="BK939" t="s">
        <v>902</v>
      </c>
      <c r="BL939" t="s">
        <v>903</v>
      </c>
      <c r="BM939" t="s">
        <v>18434</v>
      </c>
      <c r="BN939" t="s">
        <v>74</v>
      </c>
      <c r="BO939" t="s">
        <v>398</v>
      </c>
      <c r="BP939" t="s">
        <v>74</v>
      </c>
      <c r="BQ939" t="s">
        <v>74</v>
      </c>
      <c r="BR939" t="s">
        <v>106</v>
      </c>
      <c r="BS939" t="s">
        <v>18435</v>
      </c>
      <c r="BT939" t="str">
        <f>HYPERLINK("https%3A%2F%2Fwww.webofscience.com%2Fwos%2Fwoscc%2Ffull-record%2FWOS:000527415900017","View Full Record in Web of Science")</f>
        <v>View Full Record in Web of Science</v>
      </c>
    </row>
    <row r="940" spans="1:72" x14ac:dyDescent="0.25">
      <c r="A940" t="s">
        <v>72</v>
      </c>
      <c r="B940" t="s">
        <v>18436</v>
      </c>
      <c r="C940" t="s">
        <v>74</v>
      </c>
      <c r="D940" t="s">
        <v>74</v>
      </c>
      <c r="E940" t="s">
        <v>74</v>
      </c>
      <c r="F940" t="s">
        <v>18437</v>
      </c>
      <c r="G940" t="s">
        <v>74</v>
      </c>
      <c r="H940" t="s">
        <v>74</v>
      </c>
      <c r="I940" t="s">
        <v>18438</v>
      </c>
      <c r="J940" t="s">
        <v>17988</v>
      </c>
      <c r="K940" t="s">
        <v>74</v>
      </c>
      <c r="L940" t="s">
        <v>74</v>
      </c>
      <c r="M940" t="s">
        <v>78</v>
      </c>
      <c r="N940" t="s">
        <v>79</v>
      </c>
      <c r="O940" t="s">
        <v>74</v>
      </c>
      <c r="P940" t="s">
        <v>74</v>
      </c>
      <c r="Q940" t="s">
        <v>74</v>
      </c>
      <c r="R940" t="s">
        <v>74</v>
      </c>
      <c r="S940" t="s">
        <v>74</v>
      </c>
      <c r="T940" t="s">
        <v>18439</v>
      </c>
      <c r="U940" t="s">
        <v>74</v>
      </c>
      <c r="V940" t="s">
        <v>18440</v>
      </c>
      <c r="W940" t="s">
        <v>18441</v>
      </c>
      <c r="X940" t="s">
        <v>18442</v>
      </c>
      <c r="Y940" t="s">
        <v>18443</v>
      </c>
      <c r="Z940" t="s">
        <v>18444</v>
      </c>
      <c r="AA940" t="s">
        <v>74</v>
      </c>
      <c r="AB940" t="s">
        <v>74</v>
      </c>
      <c r="AC940" t="s">
        <v>18445</v>
      </c>
      <c r="AD940" t="s">
        <v>18446</v>
      </c>
      <c r="AE940" t="s">
        <v>18447</v>
      </c>
      <c r="AF940" t="s">
        <v>74</v>
      </c>
      <c r="AG940">
        <v>16</v>
      </c>
      <c r="AH940">
        <v>1</v>
      </c>
      <c r="AI940">
        <v>1</v>
      </c>
      <c r="AJ940">
        <v>1</v>
      </c>
      <c r="AK940">
        <v>11</v>
      </c>
      <c r="AL940" t="s">
        <v>3157</v>
      </c>
      <c r="AM940" t="s">
        <v>3158</v>
      </c>
      <c r="AN940" t="s">
        <v>3159</v>
      </c>
      <c r="AO940" t="s">
        <v>17995</v>
      </c>
      <c r="AP940" t="s">
        <v>17996</v>
      </c>
      <c r="AQ940" t="s">
        <v>74</v>
      </c>
      <c r="AR940" t="s">
        <v>17997</v>
      </c>
      <c r="AS940" t="s">
        <v>17998</v>
      </c>
      <c r="AT940" t="s">
        <v>74</v>
      </c>
      <c r="AU940">
        <v>2025</v>
      </c>
      <c r="AV940">
        <v>35</v>
      </c>
      <c r="AW940" t="s">
        <v>1476</v>
      </c>
      <c r="AX940" t="s">
        <v>74</v>
      </c>
      <c r="AY940" t="s">
        <v>74</v>
      </c>
      <c r="AZ940" t="s">
        <v>74</v>
      </c>
      <c r="BA940" t="s">
        <v>74</v>
      </c>
      <c r="BB940" t="s">
        <v>74</v>
      </c>
      <c r="BC940" t="s">
        <v>74</v>
      </c>
      <c r="BD940" t="s">
        <v>74</v>
      </c>
      <c r="BE940" t="s">
        <v>18448</v>
      </c>
      <c r="BF940" t="str">
        <f>HYPERLINK("http://dx.doi.org/10.1504/IJCEELL.2025.143803","http://dx.doi.org/10.1504/IJCEELL.2025.143803")</f>
        <v>http://dx.doi.org/10.1504/IJCEELL.2025.143803</v>
      </c>
      <c r="BG940" t="s">
        <v>74</v>
      </c>
      <c r="BH940" t="s">
        <v>74</v>
      </c>
      <c r="BI940">
        <v>16</v>
      </c>
      <c r="BJ940" t="s">
        <v>318</v>
      </c>
      <c r="BK940" t="s">
        <v>102</v>
      </c>
      <c r="BL940" t="s">
        <v>318</v>
      </c>
      <c r="BM940" t="s">
        <v>18449</v>
      </c>
      <c r="BN940" t="s">
        <v>74</v>
      </c>
      <c r="BO940" t="s">
        <v>74</v>
      </c>
      <c r="BP940" t="s">
        <v>74</v>
      </c>
      <c r="BQ940" t="s">
        <v>74</v>
      </c>
      <c r="BR940" t="s">
        <v>106</v>
      </c>
      <c r="BS940" t="s">
        <v>18450</v>
      </c>
      <c r="BT940" t="str">
        <f>HYPERLINK("https%3A%2F%2Fwww.webofscience.com%2Fwos%2Fwoscc%2Ffull-record%2FWOS:001392725500008","View Full Record in Web of Science")</f>
        <v>View Full Record in Web of Science</v>
      </c>
    </row>
    <row r="941" spans="1:72" x14ac:dyDescent="0.25">
      <c r="A941" t="s">
        <v>72</v>
      </c>
      <c r="B941" t="s">
        <v>18451</v>
      </c>
      <c r="C941" t="s">
        <v>74</v>
      </c>
      <c r="D941" t="s">
        <v>74</v>
      </c>
      <c r="E941" t="s">
        <v>74</v>
      </c>
      <c r="F941" t="s">
        <v>18452</v>
      </c>
      <c r="G941" t="s">
        <v>74</v>
      </c>
      <c r="H941" t="s">
        <v>74</v>
      </c>
      <c r="I941" t="s">
        <v>18453</v>
      </c>
      <c r="J941" t="s">
        <v>18454</v>
      </c>
      <c r="K941" t="s">
        <v>74</v>
      </c>
      <c r="L941" t="s">
        <v>74</v>
      </c>
      <c r="M941" t="s">
        <v>78</v>
      </c>
      <c r="N941" t="s">
        <v>79</v>
      </c>
      <c r="O941" t="s">
        <v>74</v>
      </c>
      <c r="P941" t="s">
        <v>74</v>
      </c>
      <c r="Q941" t="s">
        <v>74</v>
      </c>
      <c r="R941" t="s">
        <v>74</v>
      </c>
      <c r="S941" t="s">
        <v>74</v>
      </c>
      <c r="T941" t="s">
        <v>18455</v>
      </c>
      <c r="U941" t="s">
        <v>74</v>
      </c>
      <c r="V941" t="s">
        <v>18456</v>
      </c>
      <c r="W941" t="s">
        <v>18457</v>
      </c>
      <c r="X941" t="s">
        <v>18458</v>
      </c>
      <c r="Y941" t="s">
        <v>18459</v>
      </c>
      <c r="Z941" t="s">
        <v>18460</v>
      </c>
      <c r="AA941" t="s">
        <v>18461</v>
      </c>
      <c r="AB941" t="s">
        <v>18462</v>
      </c>
      <c r="AC941" t="s">
        <v>18463</v>
      </c>
      <c r="AD941" t="s">
        <v>18464</v>
      </c>
      <c r="AE941" t="s">
        <v>18465</v>
      </c>
      <c r="AF941" t="s">
        <v>74</v>
      </c>
      <c r="AG941">
        <v>59</v>
      </c>
      <c r="AH941">
        <v>1</v>
      </c>
      <c r="AI941">
        <v>1</v>
      </c>
      <c r="AJ941">
        <v>2</v>
      </c>
      <c r="AK941">
        <v>3</v>
      </c>
      <c r="AL941" t="s">
        <v>178</v>
      </c>
      <c r="AM941" t="s">
        <v>92</v>
      </c>
      <c r="AN941" t="s">
        <v>179</v>
      </c>
      <c r="AO941" t="s">
        <v>74</v>
      </c>
      <c r="AP941" t="s">
        <v>18466</v>
      </c>
      <c r="AQ941" t="s">
        <v>74</v>
      </c>
      <c r="AR941" t="s">
        <v>18467</v>
      </c>
      <c r="AS941" t="s">
        <v>18468</v>
      </c>
      <c r="AT941" t="s">
        <v>6547</v>
      </c>
      <c r="AU941">
        <v>2025</v>
      </c>
      <c r="AV941">
        <v>14</v>
      </c>
      <c r="AW941">
        <v>1</v>
      </c>
      <c r="AX941" t="s">
        <v>74</v>
      </c>
      <c r="AY941" t="s">
        <v>74</v>
      </c>
      <c r="AZ941" t="s">
        <v>74</v>
      </c>
      <c r="BA941" t="s">
        <v>74</v>
      </c>
      <c r="BB941" t="s">
        <v>74</v>
      </c>
      <c r="BC941" t="s">
        <v>74</v>
      </c>
      <c r="BD941">
        <v>60</v>
      </c>
      <c r="BE941" t="s">
        <v>18469</v>
      </c>
      <c r="BF941" t="str">
        <f>HYPERLINK("http://dx.doi.org/10.1140/epjds/s13688-025-00578-2","http://dx.doi.org/10.1140/epjds/s13688-025-00578-2")</f>
        <v>http://dx.doi.org/10.1140/epjds/s13688-025-00578-2</v>
      </c>
      <c r="BG941" t="s">
        <v>74</v>
      </c>
      <c r="BH941" t="s">
        <v>74</v>
      </c>
      <c r="BI941">
        <v>22</v>
      </c>
      <c r="BJ941" t="s">
        <v>18470</v>
      </c>
      <c r="BK941" t="s">
        <v>745</v>
      </c>
      <c r="BL941" t="s">
        <v>18471</v>
      </c>
      <c r="BM941" t="s">
        <v>18472</v>
      </c>
      <c r="BN941" t="s">
        <v>74</v>
      </c>
      <c r="BO941" t="s">
        <v>18473</v>
      </c>
      <c r="BP941" t="s">
        <v>74</v>
      </c>
      <c r="BQ941" t="s">
        <v>74</v>
      </c>
      <c r="BR941" t="s">
        <v>106</v>
      </c>
      <c r="BS941" t="s">
        <v>18474</v>
      </c>
      <c r="BT941" t="str">
        <f>HYPERLINK("https%3A%2F%2Fwww.webofscience.com%2Fwos%2Fwoscc%2Ffull-record%2FWOS:001550338900001","View Full Record in Web of Science")</f>
        <v>View Full Record in Web of Science</v>
      </c>
    </row>
    <row r="942" spans="1:72" x14ac:dyDescent="0.25">
      <c r="A942" t="s">
        <v>108</v>
      </c>
      <c r="B942" t="s">
        <v>18475</v>
      </c>
      <c r="C942" t="s">
        <v>74</v>
      </c>
      <c r="D942" t="s">
        <v>74</v>
      </c>
      <c r="E942" t="s">
        <v>465</v>
      </c>
      <c r="F942" t="s">
        <v>18476</v>
      </c>
      <c r="G942" t="s">
        <v>74</v>
      </c>
      <c r="H942" t="s">
        <v>74</v>
      </c>
      <c r="I942" t="s">
        <v>18477</v>
      </c>
      <c r="J942" t="s">
        <v>18478</v>
      </c>
      <c r="K942" t="s">
        <v>12056</v>
      </c>
      <c r="L942" t="s">
        <v>74</v>
      </c>
      <c r="M942" t="s">
        <v>78</v>
      </c>
      <c r="N942" t="s">
        <v>115</v>
      </c>
      <c r="O942" t="s">
        <v>18479</v>
      </c>
      <c r="P942" t="s">
        <v>18480</v>
      </c>
      <c r="Q942" t="s">
        <v>12305</v>
      </c>
      <c r="R942" t="s">
        <v>18481</v>
      </c>
      <c r="S942" t="s">
        <v>12307</v>
      </c>
      <c r="T942" t="s">
        <v>18482</v>
      </c>
      <c r="U942" t="s">
        <v>74</v>
      </c>
      <c r="V942" t="s">
        <v>18483</v>
      </c>
      <c r="W942" t="s">
        <v>18484</v>
      </c>
      <c r="X942" t="s">
        <v>12062</v>
      </c>
      <c r="Y942" t="s">
        <v>15703</v>
      </c>
      <c r="Z942" t="s">
        <v>18485</v>
      </c>
      <c r="AA942" t="s">
        <v>12065</v>
      </c>
      <c r="AB942" t="s">
        <v>74</v>
      </c>
      <c r="AC942" t="s">
        <v>74</v>
      </c>
      <c r="AD942" t="s">
        <v>74</v>
      </c>
      <c r="AE942" t="s">
        <v>74</v>
      </c>
      <c r="AF942" t="s">
        <v>74</v>
      </c>
      <c r="AG942">
        <v>5</v>
      </c>
      <c r="AH942">
        <v>4</v>
      </c>
      <c r="AI942">
        <v>4</v>
      </c>
      <c r="AJ942">
        <v>0</v>
      </c>
      <c r="AK942">
        <v>4</v>
      </c>
      <c r="AL942" t="s">
        <v>465</v>
      </c>
      <c r="AM942" t="s">
        <v>92</v>
      </c>
      <c r="AN942" t="s">
        <v>480</v>
      </c>
      <c r="AO942" t="s">
        <v>12066</v>
      </c>
      <c r="AP942" t="s">
        <v>74</v>
      </c>
      <c r="AQ942" t="s">
        <v>18486</v>
      </c>
      <c r="AR942" t="s">
        <v>12068</v>
      </c>
      <c r="AS942" t="s">
        <v>74</v>
      </c>
      <c r="AT942" t="s">
        <v>74</v>
      </c>
      <c r="AU942">
        <v>2014</v>
      </c>
      <c r="AV942" t="s">
        <v>74</v>
      </c>
      <c r="AW942" t="s">
        <v>74</v>
      </c>
      <c r="AX942" t="s">
        <v>74</v>
      </c>
      <c r="AY942" t="s">
        <v>74</v>
      </c>
      <c r="AZ942" t="s">
        <v>74</v>
      </c>
      <c r="BA942" t="s">
        <v>74</v>
      </c>
      <c r="BB942">
        <v>522</v>
      </c>
      <c r="BC942">
        <v>526</v>
      </c>
      <c r="BD942" t="s">
        <v>74</v>
      </c>
      <c r="BE942" t="s">
        <v>74</v>
      </c>
      <c r="BF942" t="s">
        <v>74</v>
      </c>
      <c r="BG942" t="s">
        <v>74</v>
      </c>
      <c r="BH942" t="s">
        <v>74</v>
      </c>
      <c r="BI942">
        <v>5</v>
      </c>
      <c r="BJ942" t="s">
        <v>10930</v>
      </c>
      <c r="BK942" t="s">
        <v>203</v>
      </c>
      <c r="BL942" t="s">
        <v>139</v>
      </c>
      <c r="BM942" t="s">
        <v>18487</v>
      </c>
      <c r="BN942" t="s">
        <v>74</v>
      </c>
      <c r="BO942" t="s">
        <v>74</v>
      </c>
      <c r="BP942" t="s">
        <v>74</v>
      </c>
      <c r="BQ942" t="s">
        <v>74</v>
      </c>
      <c r="BR942" t="s">
        <v>106</v>
      </c>
      <c r="BS942" t="s">
        <v>18488</v>
      </c>
      <c r="BT942" t="str">
        <f>HYPERLINK("https%3A%2F%2Fwww.webofscience.com%2Fwos%2Fwoscc%2Ffull-record%2FWOS:000366610600097","View Full Record in Web of Science")</f>
        <v>View Full Record in Web of Science</v>
      </c>
    </row>
    <row r="943" spans="1:72" x14ac:dyDescent="0.25">
      <c r="A943" t="s">
        <v>72</v>
      </c>
      <c r="B943" t="s">
        <v>18489</v>
      </c>
      <c r="C943" t="s">
        <v>74</v>
      </c>
      <c r="D943" t="s">
        <v>74</v>
      </c>
      <c r="E943" t="s">
        <v>74</v>
      </c>
      <c r="F943" t="s">
        <v>18490</v>
      </c>
      <c r="G943" t="s">
        <v>74</v>
      </c>
      <c r="H943" t="s">
        <v>74</v>
      </c>
      <c r="I943" t="s">
        <v>18491</v>
      </c>
      <c r="J943" t="s">
        <v>18492</v>
      </c>
      <c r="K943" t="s">
        <v>74</v>
      </c>
      <c r="L943" t="s">
        <v>74</v>
      </c>
      <c r="M943" t="s">
        <v>78</v>
      </c>
      <c r="N943" t="s">
        <v>18493</v>
      </c>
      <c r="O943" t="s">
        <v>74</v>
      </c>
      <c r="P943" t="s">
        <v>74</v>
      </c>
      <c r="Q943" t="s">
        <v>74</v>
      </c>
      <c r="R943" t="s">
        <v>74</v>
      </c>
      <c r="S943" t="s">
        <v>74</v>
      </c>
      <c r="T943" t="s">
        <v>18494</v>
      </c>
      <c r="U943" t="s">
        <v>74</v>
      </c>
      <c r="V943" t="s">
        <v>18495</v>
      </c>
      <c r="W943" t="s">
        <v>18496</v>
      </c>
      <c r="X943" t="s">
        <v>18497</v>
      </c>
      <c r="Y943" t="s">
        <v>18498</v>
      </c>
      <c r="Z943" t="s">
        <v>18499</v>
      </c>
      <c r="AA943" t="s">
        <v>18500</v>
      </c>
      <c r="AB943" t="s">
        <v>74</v>
      </c>
      <c r="AC943" t="s">
        <v>18501</v>
      </c>
      <c r="AD943" t="s">
        <v>18502</v>
      </c>
      <c r="AE943" t="s">
        <v>18503</v>
      </c>
      <c r="AF943" t="s">
        <v>74</v>
      </c>
      <c r="AG943">
        <v>18</v>
      </c>
      <c r="AH943">
        <v>3</v>
      </c>
      <c r="AI943">
        <v>3</v>
      </c>
      <c r="AJ943">
        <v>0</v>
      </c>
      <c r="AK943">
        <v>4</v>
      </c>
      <c r="AL943" t="s">
        <v>18504</v>
      </c>
      <c r="AM943" t="s">
        <v>10858</v>
      </c>
      <c r="AN943" t="s">
        <v>18505</v>
      </c>
      <c r="AO943" t="s">
        <v>74</v>
      </c>
      <c r="AP943" t="s">
        <v>18506</v>
      </c>
      <c r="AQ943" t="s">
        <v>74</v>
      </c>
      <c r="AR943" t="s">
        <v>18492</v>
      </c>
      <c r="AS943" t="s">
        <v>18507</v>
      </c>
      <c r="AT943" t="s">
        <v>18508</v>
      </c>
      <c r="AU943">
        <v>2019</v>
      </c>
      <c r="AV943">
        <v>1</v>
      </c>
      <c r="AW943">
        <v>2</v>
      </c>
      <c r="AX943" t="s">
        <v>74</v>
      </c>
      <c r="AY943" t="s">
        <v>74</v>
      </c>
      <c r="AZ943" t="s">
        <v>74</v>
      </c>
      <c r="BA943" t="s">
        <v>74</v>
      </c>
      <c r="BB943">
        <v>160</v>
      </c>
      <c r="BC943">
        <v>175</v>
      </c>
      <c r="BD943" t="s">
        <v>74</v>
      </c>
      <c r="BE943" t="s">
        <v>18509</v>
      </c>
      <c r="BF943" t="str">
        <f>HYPERLINK("http://dx.doi.org/10.1162/dint_a_00009","http://dx.doi.org/10.1162/dint_a_00009")</f>
        <v>http://dx.doi.org/10.1162/dint_a_00009</v>
      </c>
      <c r="BG943" t="s">
        <v>74</v>
      </c>
      <c r="BH943" t="s">
        <v>74</v>
      </c>
      <c r="BI943">
        <v>16</v>
      </c>
      <c r="BJ943" t="s">
        <v>852</v>
      </c>
      <c r="BK943" t="s">
        <v>102</v>
      </c>
      <c r="BL943" t="s">
        <v>103</v>
      </c>
      <c r="BM943" t="s">
        <v>18510</v>
      </c>
      <c r="BN943" t="s">
        <v>74</v>
      </c>
      <c r="BO943" t="s">
        <v>398</v>
      </c>
      <c r="BP943" t="s">
        <v>74</v>
      </c>
      <c r="BQ943" t="s">
        <v>74</v>
      </c>
      <c r="BR943" t="s">
        <v>106</v>
      </c>
      <c r="BS943" t="s">
        <v>18511</v>
      </c>
      <c r="BT943" t="str">
        <f>HYPERLINK("https%3A%2F%2Fwww.webofscience.com%2Fwos%2Fwoscc%2Ffull-record%2FWOS:000700578900004","View Full Record in Web of Science")</f>
        <v>View Full Record in Web of Science</v>
      </c>
    </row>
    <row r="944" spans="1:72" x14ac:dyDescent="0.25">
      <c r="A944" t="s">
        <v>108</v>
      </c>
      <c r="B944" t="s">
        <v>18512</v>
      </c>
      <c r="C944" t="s">
        <v>74</v>
      </c>
      <c r="D944" t="s">
        <v>18513</v>
      </c>
      <c r="E944" t="s">
        <v>74</v>
      </c>
      <c r="F944" t="s">
        <v>18514</v>
      </c>
      <c r="G944" t="s">
        <v>74</v>
      </c>
      <c r="H944" t="s">
        <v>74</v>
      </c>
      <c r="I944" t="s">
        <v>18515</v>
      </c>
      <c r="J944" t="s">
        <v>18516</v>
      </c>
      <c r="K944" t="s">
        <v>147</v>
      </c>
      <c r="L944" t="s">
        <v>74</v>
      </c>
      <c r="M944" t="s">
        <v>78</v>
      </c>
      <c r="N944" t="s">
        <v>115</v>
      </c>
      <c r="O944" t="s">
        <v>18517</v>
      </c>
      <c r="P944" t="s">
        <v>18518</v>
      </c>
      <c r="Q944" t="s">
        <v>18519</v>
      </c>
      <c r="R944" t="s">
        <v>18520</v>
      </c>
      <c r="S944" t="s">
        <v>74</v>
      </c>
      <c r="T944" t="s">
        <v>74</v>
      </c>
      <c r="U944" t="s">
        <v>74</v>
      </c>
      <c r="V944" t="s">
        <v>18521</v>
      </c>
      <c r="W944" t="s">
        <v>18522</v>
      </c>
      <c r="X944" t="s">
        <v>18523</v>
      </c>
      <c r="Y944" t="s">
        <v>18524</v>
      </c>
      <c r="Z944" t="s">
        <v>18525</v>
      </c>
      <c r="AA944" t="s">
        <v>18526</v>
      </c>
      <c r="AB944" t="s">
        <v>18527</v>
      </c>
      <c r="AC944" t="s">
        <v>18528</v>
      </c>
      <c r="AD944" t="s">
        <v>18529</v>
      </c>
      <c r="AE944" t="s">
        <v>18530</v>
      </c>
      <c r="AF944" t="s">
        <v>74</v>
      </c>
      <c r="AG944">
        <v>7</v>
      </c>
      <c r="AH944">
        <v>6</v>
      </c>
      <c r="AI944">
        <v>6</v>
      </c>
      <c r="AJ944">
        <v>0</v>
      </c>
      <c r="AK944">
        <v>0</v>
      </c>
      <c r="AL944" t="s">
        <v>129</v>
      </c>
      <c r="AM944" t="s">
        <v>130</v>
      </c>
      <c r="AN944" t="s">
        <v>131</v>
      </c>
      <c r="AO944" t="s">
        <v>159</v>
      </c>
      <c r="AP944" t="s">
        <v>133</v>
      </c>
      <c r="AQ944" t="s">
        <v>18531</v>
      </c>
      <c r="AR944" t="s">
        <v>161</v>
      </c>
      <c r="AS944" t="s">
        <v>74</v>
      </c>
      <c r="AT944" t="s">
        <v>74</v>
      </c>
      <c r="AU944">
        <v>2023</v>
      </c>
      <c r="AV944">
        <v>13998</v>
      </c>
      <c r="AW944" t="s">
        <v>74</v>
      </c>
      <c r="AX944" t="s">
        <v>74</v>
      </c>
      <c r="AY944" t="s">
        <v>74</v>
      </c>
      <c r="AZ944" t="s">
        <v>74</v>
      </c>
      <c r="BA944" t="s">
        <v>74</v>
      </c>
      <c r="BB944">
        <v>164</v>
      </c>
      <c r="BC944">
        <v>168</v>
      </c>
      <c r="BD944" t="s">
        <v>74</v>
      </c>
      <c r="BE944" t="s">
        <v>18532</v>
      </c>
      <c r="BF944" t="str">
        <f>HYPERLINK("http://dx.doi.org/10.1007/978-3-031-43458-7_31","http://dx.doi.org/10.1007/978-3-031-43458-7_31")</f>
        <v>http://dx.doi.org/10.1007/978-3-031-43458-7_31</v>
      </c>
      <c r="BG944" t="s">
        <v>74</v>
      </c>
      <c r="BH944" t="s">
        <v>74</v>
      </c>
      <c r="BI944">
        <v>5</v>
      </c>
      <c r="BJ944" t="s">
        <v>2902</v>
      </c>
      <c r="BK944" t="s">
        <v>203</v>
      </c>
      <c r="BL944" t="s">
        <v>103</v>
      </c>
      <c r="BM944" t="s">
        <v>18533</v>
      </c>
      <c r="BN944" t="s">
        <v>74</v>
      </c>
      <c r="BO944" t="s">
        <v>74</v>
      </c>
      <c r="BP944" t="s">
        <v>74</v>
      </c>
      <c r="BQ944" t="s">
        <v>74</v>
      </c>
      <c r="BR944" t="s">
        <v>106</v>
      </c>
      <c r="BS944" t="s">
        <v>18534</v>
      </c>
      <c r="BT944" t="str">
        <f>HYPERLINK("https%3A%2F%2Fwww.webofscience.com%2Fwos%2Fwoscc%2Ffull-record%2FWOS:001560618200031","View Full Record in Web of Science")</f>
        <v>View Full Record in Web of Science</v>
      </c>
    </row>
    <row r="945" spans="1:72" x14ac:dyDescent="0.25">
      <c r="A945" t="s">
        <v>72</v>
      </c>
      <c r="B945" t="s">
        <v>18535</v>
      </c>
      <c r="C945" t="s">
        <v>74</v>
      </c>
      <c r="D945" t="s">
        <v>74</v>
      </c>
      <c r="E945" t="s">
        <v>74</v>
      </c>
      <c r="F945" t="s">
        <v>18536</v>
      </c>
      <c r="G945" t="s">
        <v>74</v>
      </c>
      <c r="H945" t="s">
        <v>74</v>
      </c>
      <c r="I945" t="s">
        <v>18537</v>
      </c>
      <c r="J945" t="s">
        <v>18538</v>
      </c>
      <c r="K945" t="s">
        <v>74</v>
      </c>
      <c r="L945" t="s">
        <v>74</v>
      </c>
      <c r="M945" t="s">
        <v>78</v>
      </c>
      <c r="N945" t="s">
        <v>7584</v>
      </c>
      <c r="O945" t="s">
        <v>18539</v>
      </c>
      <c r="P945" t="s">
        <v>18540</v>
      </c>
      <c r="Q945" t="s">
        <v>12401</v>
      </c>
      <c r="R945" t="s">
        <v>18541</v>
      </c>
      <c r="S945" t="s">
        <v>74</v>
      </c>
      <c r="T945" t="s">
        <v>74</v>
      </c>
      <c r="U945" t="s">
        <v>18542</v>
      </c>
      <c r="V945" t="s">
        <v>18543</v>
      </c>
      <c r="W945" t="s">
        <v>18544</v>
      </c>
      <c r="X945" t="s">
        <v>18545</v>
      </c>
      <c r="Y945" t="s">
        <v>18546</v>
      </c>
      <c r="Z945" t="s">
        <v>18547</v>
      </c>
      <c r="AA945" t="s">
        <v>18548</v>
      </c>
      <c r="AB945" t="s">
        <v>18549</v>
      </c>
      <c r="AC945" t="s">
        <v>74</v>
      </c>
      <c r="AD945" t="s">
        <v>74</v>
      </c>
      <c r="AE945" t="s">
        <v>74</v>
      </c>
      <c r="AF945" t="s">
        <v>74</v>
      </c>
      <c r="AG945">
        <v>14</v>
      </c>
      <c r="AH945">
        <v>15</v>
      </c>
      <c r="AI945">
        <v>15</v>
      </c>
      <c r="AJ945">
        <v>0</v>
      </c>
      <c r="AK945">
        <v>4</v>
      </c>
      <c r="AL945" t="s">
        <v>91</v>
      </c>
      <c r="AM945" t="s">
        <v>92</v>
      </c>
      <c r="AN945" t="s">
        <v>18550</v>
      </c>
      <c r="AO945" t="s">
        <v>18551</v>
      </c>
      <c r="AP945" t="s">
        <v>18552</v>
      </c>
      <c r="AQ945" t="s">
        <v>74</v>
      </c>
      <c r="AR945" t="s">
        <v>18553</v>
      </c>
      <c r="AS945" t="s">
        <v>18554</v>
      </c>
      <c r="AT945" t="s">
        <v>246</v>
      </c>
      <c r="AU945">
        <v>2015</v>
      </c>
      <c r="AV945">
        <v>100</v>
      </c>
      <c r="AW945">
        <v>5</v>
      </c>
      <c r="AX945" t="s">
        <v>74</v>
      </c>
      <c r="AY945" t="s">
        <v>74</v>
      </c>
      <c r="AZ945" t="s">
        <v>74</v>
      </c>
      <c r="BA945" t="s">
        <v>74</v>
      </c>
      <c r="BB945">
        <v>1849</v>
      </c>
      <c r="BC945">
        <v>1854</v>
      </c>
      <c r="BD945" t="s">
        <v>74</v>
      </c>
      <c r="BE945" t="s">
        <v>18555</v>
      </c>
      <c r="BF945" t="str">
        <f>HYPERLINK("http://dx.doi.org/10.1016/j.athoracsur.2015.04.073","http://dx.doi.org/10.1016/j.athoracsur.2015.04.073")</f>
        <v>http://dx.doi.org/10.1016/j.athoracsur.2015.04.073</v>
      </c>
      <c r="BG945" t="s">
        <v>74</v>
      </c>
      <c r="BH945" t="s">
        <v>74</v>
      </c>
      <c r="BI945">
        <v>6</v>
      </c>
      <c r="BJ945" t="s">
        <v>18556</v>
      </c>
      <c r="BK945" t="s">
        <v>11486</v>
      </c>
      <c r="BL945" t="s">
        <v>18557</v>
      </c>
      <c r="BM945" t="s">
        <v>18558</v>
      </c>
      <c r="BN945">
        <v>26163358</v>
      </c>
      <c r="BO945" t="s">
        <v>205</v>
      </c>
      <c r="BP945" t="s">
        <v>74</v>
      </c>
      <c r="BQ945" t="s">
        <v>74</v>
      </c>
      <c r="BR945" t="s">
        <v>106</v>
      </c>
      <c r="BS945" t="s">
        <v>18559</v>
      </c>
      <c r="BT945" t="str">
        <f>HYPERLINK("https%3A%2F%2Fwww.webofscience.com%2Fwos%2Fwoscc%2Ffull-record%2FWOS:000365820400059","View Full Record in Web of Science")</f>
        <v>View Full Record in Web of Science</v>
      </c>
    </row>
    <row r="946" spans="1:72" x14ac:dyDescent="0.25">
      <c r="A946" t="s">
        <v>72</v>
      </c>
      <c r="B946" t="s">
        <v>18560</v>
      </c>
      <c r="C946" t="s">
        <v>74</v>
      </c>
      <c r="D946" t="s">
        <v>74</v>
      </c>
      <c r="E946" t="s">
        <v>74</v>
      </c>
      <c r="F946" t="s">
        <v>18561</v>
      </c>
      <c r="G946" t="s">
        <v>74</v>
      </c>
      <c r="H946" t="s">
        <v>74</v>
      </c>
      <c r="I946" t="s">
        <v>18562</v>
      </c>
      <c r="J946" t="s">
        <v>3712</v>
      </c>
      <c r="K946" t="s">
        <v>74</v>
      </c>
      <c r="L946" t="s">
        <v>74</v>
      </c>
      <c r="M946" t="s">
        <v>78</v>
      </c>
      <c r="N946" t="s">
        <v>79</v>
      </c>
      <c r="O946" t="s">
        <v>74</v>
      </c>
      <c r="P946" t="s">
        <v>74</v>
      </c>
      <c r="Q946" t="s">
        <v>74</v>
      </c>
      <c r="R946" t="s">
        <v>74</v>
      </c>
      <c r="S946" t="s">
        <v>74</v>
      </c>
      <c r="T946" t="s">
        <v>18563</v>
      </c>
      <c r="U946" t="s">
        <v>74</v>
      </c>
      <c r="V946" t="s">
        <v>18564</v>
      </c>
      <c r="W946" t="s">
        <v>18565</v>
      </c>
      <c r="X946" t="s">
        <v>18566</v>
      </c>
      <c r="Y946" t="s">
        <v>18567</v>
      </c>
      <c r="Z946" t="s">
        <v>18568</v>
      </c>
      <c r="AA946" t="s">
        <v>18569</v>
      </c>
      <c r="AB946" t="s">
        <v>74</v>
      </c>
      <c r="AC946" t="s">
        <v>74</v>
      </c>
      <c r="AD946" t="s">
        <v>74</v>
      </c>
      <c r="AE946" t="s">
        <v>74</v>
      </c>
      <c r="AF946" t="s">
        <v>74</v>
      </c>
      <c r="AG946">
        <v>26</v>
      </c>
      <c r="AH946">
        <v>0</v>
      </c>
      <c r="AI946">
        <v>0</v>
      </c>
      <c r="AJ946">
        <v>5</v>
      </c>
      <c r="AK946">
        <v>5</v>
      </c>
      <c r="AL946" t="s">
        <v>3723</v>
      </c>
      <c r="AM946" t="s">
        <v>1320</v>
      </c>
      <c r="AN946" t="s">
        <v>3724</v>
      </c>
      <c r="AO946" t="s">
        <v>74</v>
      </c>
      <c r="AP946" t="s">
        <v>3725</v>
      </c>
      <c r="AQ946" t="s">
        <v>74</v>
      </c>
      <c r="AR946" t="s">
        <v>3726</v>
      </c>
      <c r="AS946" t="s">
        <v>3727</v>
      </c>
      <c r="AT946" t="s">
        <v>18570</v>
      </c>
      <c r="AU946">
        <v>2026</v>
      </c>
      <c r="AV946">
        <v>12</v>
      </c>
      <c r="AW946" t="s">
        <v>74</v>
      </c>
      <c r="AX946" t="s">
        <v>74</v>
      </c>
      <c r="AY946" t="s">
        <v>74</v>
      </c>
      <c r="AZ946" t="s">
        <v>74</v>
      </c>
      <c r="BA946" t="s">
        <v>74</v>
      </c>
      <c r="BB946" t="s">
        <v>74</v>
      </c>
      <c r="BC946" t="s">
        <v>74</v>
      </c>
      <c r="BD946" t="s">
        <v>18571</v>
      </c>
      <c r="BE946" t="s">
        <v>18572</v>
      </c>
      <c r="BF946" t="str">
        <f>HYPERLINK("http://dx.doi.org/10.7717/peerj-cs.3759","http://dx.doi.org/10.7717/peerj-cs.3759")</f>
        <v>http://dx.doi.org/10.7717/peerj-cs.3759</v>
      </c>
      <c r="BG946" t="s">
        <v>74</v>
      </c>
      <c r="BH946" t="s">
        <v>8420</v>
      </c>
      <c r="BI946">
        <v>20</v>
      </c>
      <c r="BJ946" t="s">
        <v>461</v>
      </c>
      <c r="BK946" t="s">
        <v>902</v>
      </c>
      <c r="BL946" t="s">
        <v>103</v>
      </c>
      <c r="BM946" t="s">
        <v>18573</v>
      </c>
      <c r="BN946" t="s">
        <v>74</v>
      </c>
      <c r="BO946" t="s">
        <v>398</v>
      </c>
      <c r="BP946" t="s">
        <v>74</v>
      </c>
      <c r="BQ946" t="s">
        <v>74</v>
      </c>
      <c r="BR946" t="s">
        <v>106</v>
      </c>
      <c r="BS946" t="s">
        <v>18574</v>
      </c>
      <c r="BT946" t="str">
        <f>HYPERLINK("https%3A%2F%2Fwww.webofscience.com%2Fwos%2Fwoscc%2Ffull-record%2FWOS:001739108200001","View Full Record in Web of Science")</f>
        <v>View Full Record in Web of Science</v>
      </c>
    </row>
    <row r="947" spans="1:72" x14ac:dyDescent="0.25">
      <c r="A947" t="s">
        <v>72</v>
      </c>
      <c r="B947" t="s">
        <v>18575</v>
      </c>
      <c r="C947" t="s">
        <v>74</v>
      </c>
      <c r="D947" t="s">
        <v>74</v>
      </c>
      <c r="E947" t="s">
        <v>74</v>
      </c>
      <c r="F947" t="s">
        <v>18576</v>
      </c>
      <c r="G947" t="s">
        <v>74</v>
      </c>
      <c r="H947" t="s">
        <v>74</v>
      </c>
      <c r="I947" t="s">
        <v>18577</v>
      </c>
      <c r="J947" t="s">
        <v>18578</v>
      </c>
      <c r="K947" t="s">
        <v>74</v>
      </c>
      <c r="L947" t="s">
        <v>74</v>
      </c>
      <c r="M947" t="s">
        <v>78</v>
      </c>
      <c r="N947" t="s">
        <v>79</v>
      </c>
      <c r="O947" t="s">
        <v>74</v>
      </c>
      <c r="P947" t="s">
        <v>74</v>
      </c>
      <c r="Q947" t="s">
        <v>74</v>
      </c>
      <c r="R947" t="s">
        <v>74</v>
      </c>
      <c r="S947" t="s">
        <v>74</v>
      </c>
      <c r="T947" t="s">
        <v>18579</v>
      </c>
      <c r="U947" t="s">
        <v>18580</v>
      </c>
      <c r="V947" t="s">
        <v>18581</v>
      </c>
      <c r="W947" t="s">
        <v>18582</v>
      </c>
      <c r="X947" t="s">
        <v>18583</v>
      </c>
      <c r="Y947" t="s">
        <v>18584</v>
      </c>
      <c r="Z947" t="s">
        <v>18585</v>
      </c>
      <c r="AA947" t="s">
        <v>74</v>
      </c>
      <c r="AB947" t="s">
        <v>74</v>
      </c>
      <c r="AC947" t="s">
        <v>74</v>
      </c>
      <c r="AD947" t="s">
        <v>74</v>
      </c>
      <c r="AE947" t="s">
        <v>74</v>
      </c>
      <c r="AF947" t="s">
        <v>74</v>
      </c>
      <c r="AG947">
        <v>74</v>
      </c>
      <c r="AH947">
        <v>0</v>
      </c>
      <c r="AI947">
        <v>0</v>
      </c>
      <c r="AJ947">
        <v>0</v>
      </c>
      <c r="AK947">
        <v>0</v>
      </c>
      <c r="AL947" t="s">
        <v>2127</v>
      </c>
      <c r="AM947" t="s">
        <v>2128</v>
      </c>
      <c r="AN947" t="s">
        <v>2129</v>
      </c>
      <c r="AO947" t="s">
        <v>18586</v>
      </c>
      <c r="AP947" t="s">
        <v>18587</v>
      </c>
      <c r="AQ947" t="s">
        <v>74</v>
      </c>
      <c r="AR947" t="s">
        <v>18588</v>
      </c>
      <c r="AS947" t="s">
        <v>18589</v>
      </c>
      <c r="AT947" t="s">
        <v>98</v>
      </c>
      <c r="AU947">
        <v>2026</v>
      </c>
      <c r="AV947">
        <v>137</v>
      </c>
      <c r="AW947" t="s">
        <v>74</v>
      </c>
      <c r="AX947" t="s">
        <v>74</v>
      </c>
      <c r="AY947" t="s">
        <v>74</v>
      </c>
      <c r="AZ947" t="s">
        <v>74</v>
      </c>
      <c r="BA947" t="s">
        <v>74</v>
      </c>
      <c r="BB947" t="s">
        <v>74</v>
      </c>
      <c r="BC947" t="s">
        <v>74</v>
      </c>
      <c r="BD947">
        <v>104840</v>
      </c>
      <c r="BE947" t="s">
        <v>18590</v>
      </c>
      <c r="BF947" t="str">
        <f>HYPERLINK("http://dx.doi.org/10.1016/j.jtrangeo.2026.104840","http://dx.doi.org/10.1016/j.jtrangeo.2026.104840")</f>
        <v>http://dx.doi.org/10.1016/j.jtrangeo.2026.104840</v>
      </c>
      <c r="BG947" t="s">
        <v>74</v>
      </c>
      <c r="BH947" t="s">
        <v>12850</v>
      </c>
      <c r="BI947">
        <v>12</v>
      </c>
      <c r="BJ947" t="s">
        <v>18591</v>
      </c>
      <c r="BK947" t="s">
        <v>250</v>
      </c>
      <c r="BL947" t="s">
        <v>18592</v>
      </c>
      <c r="BM947" t="s">
        <v>18593</v>
      </c>
      <c r="BN947" t="s">
        <v>74</v>
      </c>
      <c r="BO947" t="s">
        <v>74</v>
      </c>
      <c r="BP947" t="s">
        <v>74</v>
      </c>
      <c r="BQ947" t="s">
        <v>74</v>
      </c>
      <c r="BR947" t="s">
        <v>106</v>
      </c>
      <c r="BS947" t="s">
        <v>18594</v>
      </c>
      <c r="BT947" t="str">
        <f>HYPERLINK("https%3A%2F%2Fwww.webofscience.com%2Fwos%2Fwoscc%2Ffull-record%2FWOS:001872779400001","View Full Record in Web of Science")</f>
        <v>View Full Record in Web of Science</v>
      </c>
    </row>
    <row r="948" spans="1:72" x14ac:dyDescent="0.25">
      <c r="A948" t="s">
        <v>72</v>
      </c>
      <c r="B948" t="s">
        <v>18595</v>
      </c>
      <c r="C948" t="s">
        <v>74</v>
      </c>
      <c r="D948" t="s">
        <v>74</v>
      </c>
      <c r="E948" t="s">
        <v>74</v>
      </c>
      <c r="F948" t="s">
        <v>18596</v>
      </c>
      <c r="G948" t="s">
        <v>74</v>
      </c>
      <c r="H948" t="s">
        <v>74</v>
      </c>
      <c r="I948" t="s">
        <v>18597</v>
      </c>
      <c r="J948" t="s">
        <v>9705</v>
      </c>
      <c r="K948" t="s">
        <v>74</v>
      </c>
      <c r="L948" t="s">
        <v>74</v>
      </c>
      <c r="M948" t="s">
        <v>78</v>
      </c>
      <c r="N948" t="s">
        <v>79</v>
      </c>
      <c r="O948" t="s">
        <v>74</v>
      </c>
      <c r="P948" t="s">
        <v>74</v>
      </c>
      <c r="Q948" t="s">
        <v>74</v>
      </c>
      <c r="R948" t="s">
        <v>74</v>
      </c>
      <c r="S948" t="s">
        <v>74</v>
      </c>
      <c r="T948" t="s">
        <v>18598</v>
      </c>
      <c r="U948" t="s">
        <v>74</v>
      </c>
      <c r="V948" t="s">
        <v>18599</v>
      </c>
      <c r="W948" t="s">
        <v>18600</v>
      </c>
      <c r="X948" t="s">
        <v>18601</v>
      </c>
      <c r="Y948" t="s">
        <v>18602</v>
      </c>
      <c r="Z948" t="s">
        <v>18603</v>
      </c>
      <c r="AA948" t="s">
        <v>18604</v>
      </c>
      <c r="AB948" t="s">
        <v>74</v>
      </c>
      <c r="AC948" t="s">
        <v>18605</v>
      </c>
      <c r="AD948" t="s">
        <v>18606</v>
      </c>
      <c r="AE948" t="s">
        <v>18607</v>
      </c>
      <c r="AF948" t="s">
        <v>74</v>
      </c>
      <c r="AG948">
        <v>35</v>
      </c>
      <c r="AH948">
        <v>20</v>
      </c>
      <c r="AI948">
        <v>20</v>
      </c>
      <c r="AJ948">
        <v>1</v>
      </c>
      <c r="AK948">
        <v>47</v>
      </c>
      <c r="AL948" t="s">
        <v>291</v>
      </c>
      <c r="AM948" t="s">
        <v>92</v>
      </c>
      <c r="AN948" t="s">
        <v>847</v>
      </c>
      <c r="AO948" t="s">
        <v>9714</v>
      </c>
      <c r="AP948" t="s">
        <v>9715</v>
      </c>
      <c r="AQ948" t="s">
        <v>74</v>
      </c>
      <c r="AR948" t="s">
        <v>9716</v>
      </c>
      <c r="AS948" t="s">
        <v>9717</v>
      </c>
      <c r="AT948" t="s">
        <v>98</v>
      </c>
      <c r="AU948">
        <v>2014</v>
      </c>
      <c r="AV948">
        <v>11</v>
      </c>
      <c r="AW948">
        <v>2</v>
      </c>
      <c r="AX948" t="s">
        <v>74</v>
      </c>
      <c r="AY948" t="s">
        <v>74</v>
      </c>
      <c r="AZ948" t="s">
        <v>74</v>
      </c>
      <c r="BA948" t="s">
        <v>74</v>
      </c>
      <c r="BB948" t="s">
        <v>74</v>
      </c>
      <c r="BC948" t="s">
        <v>74</v>
      </c>
      <c r="BD948">
        <v>31</v>
      </c>
      <c r="BE948" t="s">
        <v>18608</v>
      </c>
      <c r="BF948" t="str">
        <f>HYPERLINK("http://dx.doi.org/10.1145/2637285","http://dx.doi.org/10.1145/2637285")</f>
        <v>http://dx.doi.org/10.1145/2637285</v>
      </c>
      <c r="BG948" t="s">
        <v>74</v>
      </c>
      <c r="BH948" t="s">
        <v>74</v>
      </c>
      <c r="BI948">
        <v>23</v>
      </c>
      <c r="BJ948" t="s">
        <v>7997</v>
      </c>
      <c r="BK948" t="s">
        <v>902</v>
      </c>
      <c r="BL948" t="s">
        <v>103</v>
      </c>
      <c r="BM948" t="s">
        <v>18609</v>
      </c>
      <c r="BN948" t="s">
        <v>74</v>
      </c>
      <c r="BO948" t="s">
        <v>74</v>
      </c>
      <c r="BP948" t="s">
        <v>74</v>
      </c>
      <c r="BQ948" t="s">
        <v>74</v>
      </c>
      <c r="BR948" t="s">
        <v>106</v>
      </c>
      <c r="BS948" t="s">
        <v>18610</v>
      </c>
      <c r="BT948" t="str">
        <f>HYPERLINK("https%3A%2F%2Fwww.webofscience.com%2Fwos%2Fwoscc%2Ffull-record%2FWOS:000348308800008","View Full Record in Web of Science")</f>
        <v>View Full Record in Web of Science</v>
      </c>
    </row>
    <row r="949" spans="1:72" x14ac:dyDescent="0.25">
      <c r="A949" t="s">
        <v>72</v>
      </c>
      <c r="B949" t="s">
        <v>18611</v>
      </c>
      <c r="C949" t="s">
        <v>74</v>
      </c>
      <c r="D949" t="s">
        <v>74</v>
      </c>
      <c r="E949" t="s">
        <v>74</v>
      </c>
      <c r="F949" t="s">
        <v>18612</v>
      </c>
      <c r="G949" t="s">
        <v>74</v>
      </c>
      <c r="H949" t="s">
        <v>74</v>
      </c>
      <c r="I949" t="s">
        <v>18613</v>
      </c>
      <c r="J949" t="s">
        <v>17354</v>
      </c>
      <c r="K949" t="s">
        <v>74</v>
      </c>
      <c r="L949" t="s">
        <v>74</v>
      </c>
      <c r="M949" t="s">
        <v>78</v>
      </c>
      <c r="N949" t="s">
        <v>79</v>
      </c>
      <c r="O949" t="s">
        <v>74</v>
      </c>
      <c r="P949" t="s">
        <v>74</v>
      </c>
      <c r="Q949" t="s">
        <v>74</v>
      </c>
      <c r="R949" t="s">
        <v>74</v>
      </c>
      <c r="S949" t="s">
        <v>74</v>
      </c>
      <c r="T949" t="s">
        <v>74</v>
      </c>
      <c r="U949" t="s">
        <v>74</v>
      </c>
      <c r="V949" t="s">
        <v>18614</v>
      </c>
      <c r="W949" t="s">
        <v>18615</v>
      </c>
      <c r="X949" t="s">
        <v>18616</v>
      </c>
      <c r="Y949" t="s">
        <v>18617</v>
      </c>
      <c r="Z949" t="s">
        <v>18618</v>
      </c>
      <c r="AA949" t="s">
        <v>74</v>
      </c>
      <c r="AB949" t="s">
        <v>74</v>
      </c>
      <c r="AC949" t="s">
        <v>74</v>
      </c>
      <c r="AD949" t="s">
        <v>74</v>
      </c>
      <c r="AE949" t="s">
        <v>74</v>
      </c>
      <c r="AF949" t="s">
        <v>74</v>
      </c>
      <c r="AG949">
        <v>14</v>
      </c>
      <c r="AH949">
        <v>2</v>
      </c>
      <c r="AI949">
        <v>2</v>
      </c>
      <c r="AJ949">
        <v>0</v>
      </c>
      <c r="AK949">
        <v>3</v>
      </c>
      <c r="AL949" t="s">
        <v>1369</v>
      </c>
      <c r="AM949" t="s">
        <v>1320</v>
      </c>
      <c r="AN949" t="s">
        <v>1370</v>
      </c>
      <c r="AO949" t="s">
        <v>17363</v>
      </c>
      <c r="AP949" t="s">
        <v>17364</v>
      </c>
      <c r="AQ949" t="s">
        <v>74</v>
      </c>
      <c r="AR949" t="s">
        <v>17365</v>
      </c>
      <c r="AS949" t="s">
        <v>17366</v>
      </c>
      <c r="AT949" t="s">
        <v>16305</v>
      </c>
      <c r="AU949">
        <v>2007</v>
      </c>
      <c r="AV949">
        <v>34</v>
      </c>
      <c r="AW949">
        <v>1</v>
      </c>
      <c r="AX949" t="s">
        <v>74</v>
      </c>
      <c r="AY949" t="s">
        <v>74</v>
      </c>
      <c r="AZ949" t="s">
        <v>74</v>
      </c>
      <c r="BA949" t="s">
        <v>74</v>
      </c>
      <c r="BB949">
        <v>45</v>
      </c>
      <c r="BC949">
        <v>48</v>
      </c>
      <c r="BD949" t="s">
        <v>74</v>
      </c>
      <c r="BE949" t="s">
        <v>18619</v>
      </c>
      <c r="BF949" t="str">
        <f>HYPERLINK("http://dx.doi.org/10.1207/s15328023top3401_11","http://dx.doi.org/10.1207/s15328023top3401_11")</f>
        <v>http://dx.doi.org/10.1207/s15328023top3401_11</v>
      </c>
      <c r="BG949" t="s">
        <v>74</v>
      </c>
      <c r="BH949" t="s">
        <v>74</v>
      </c>
      <c r="BI949">
        <v>4</v>
      </c>
      <c r="BJ949" t="s">
        <v>17370</v>
      </c>
      <c r="BK949" t="s">
        <v>250</v>
      </c>
      <c r="BL949" t="s">
        <v>665</v>
      </c>
      <c r="BM949" t="s">
        <v>18620</v>
      </c>
      <c r="BN949" t="s">
        <v>74</v>
      </c>
      <c r="BO949" t="s">
        <v>74</v>
      </c>
      <c r="BP949" t="s">
        <v>74</v>
      </c>
      <c r="BQ949" t="s">
        <v>74</v>
      </c>
      <c r="BR949" t="s">
        <v>106</v>
      </c>
      <c r="BS949" t="s">
        <v>18621</v>
      </c>
      <c r="BT949" t="str">
        <f>HYPERLINK("https%3A%2F%2Fwww.webofscience.com%2Fwos%2Fwoscc%2Ffull-record%2FWOS:000244376200010","View Full Record in Web of Science")</f>
        <v>View Full Record in Web of Science</v>
      </c>
    </row>
    <row r="950" spans="1:72" x14ac:dyDescent="0.25">
      <c r="A950" t="s">
        <v>72</v>
      </c>
      <c r="B950" t="s">
        <v>18622</v>
      </c>
      <c r="C950" t="s">
        <v>74</v>
      </c>
      <c r="D950" t="s">
        <v>74</v>
      </c>
      <c r="E950" t="s">
        <v>74</v>
      </c>
      <c r="F950" t="s">
        <v>18623</v>
      </c>
      <c r="G950" t="s">
        <v>74</v>
      </c>
      <c r="H950" t="s">
        <v>74</v>
      </c>
      <c r="I950" t="s">
        <v>18624</v>
      </c>
      <c r="J950" t="s">
        <v>18625</v>
      </c>
      <c r="K950" t="s">
        <v>74</v>
      </c>
      <c r="L950" t="s">
        <v>74</v>
      </c>
      <c r="M950" t="s">
        <v>12912</v>
      </c>
      <c r="N950" t="s">
        <v>79</v>
      </c>
      <c r="O950" t="s">
        <v>74</v>
      </c>
      <c r="P950" t="s">
        <v>74</v>
      </c>
      <c r="Q950" t="s">
        <v>74</v>
      </c>
      <c r="R950" t="s">
        <v>74</v>
      </c>
      <c r="S950" t="s">
        <v>74</v>
      </c>
      <c r="T950" t="s">
        <v>18626</v>
      </c>
      <c r="U950" t="s">
        <v>18627</v>
      </c>
      <c r="V950" t="s">
        <v>18628</v>
      </c>
      <c r="W950" t="s">
        <v>18629</v>
      </c>
      <c r="X950" t="s">
        <v>18630</v>
      </c>
      <c r="Y950" t="s">
        <v>18631</v>
      </c>
      <c r="Z950" t="s">
        <v>18632</v>
      </c>
      <c r="AA950" t="s">
        <v>18633</v>
      </c>
      <c r="AB950" t="s">
        <v>74</v>
      </c>
      <c r="AC950" t="s">
        <v>74</v>
      </c>
      <c r="AD950" t="s">
        <v>74</v>
      </c>
      <c r="AE950" t="s">
        <v>74</v>
      </c>
      <c r="AF950" t="s">
        <v>74</v>
      </c>
      <c r="AG950">
        <v>20</v>
      </c>
      <c r="AH950">
        <v>0</v>
      </c>
      <c r="AI950">
        <v>0</v>
      </c>
      <c r="AJ950">
        <v>0</v>
      </c>
      <c r="AK950">
        <v>2</v>
      </c>
      <c r="AL950" t="s">
        <v>18634</v>
      </c>
      <c r="AM950" t="s">
        <v>18635</v>
      </c>
      <c r="AN950" t="s">
        <v>18636</v>
      </c>
      <c r="AO950" t="s">
        <v>18637</v>
      </c>
      <c r="AP950" t="s">
        <v>74</v>
      </c>
      <c r="AQ950" t="s">
        <v>74</v>
      </c>
      <c r="AR950" t="s">
        <v>18638</v>
      </c>
      <c r="AS950" t="s">
        <v>18639</v>
      </c>
      <c r="AT950" t="s">
        <v>11434</v>
      </c>
      <c r="AU950">
        <v>2024</v>
      </c>
      <c r="AV950">
        <v>20</v>
      </c>
      <c r="AW950">
        <v>100</v>
      </c>
      <c r="AX950" t="s">
        <v>74</v>
      </c>
      <c r="AY950" t="s">
        <v>74</v>
      </c>
      <c r="AZ950" t="s">
        <v>74</v>
      </c>
      <c r="BA950" t="s">
        <v>74</v>
      </c>
      <c r="BB950">
        <v>342</v>
      </c>
      <c r="BC950">
        <v>351</v>
      </c>
      <c r="BD950" t="s">
        <v>74</v>
      </c>
      <c r="BE950" t="s">
        <v>74</v>
      </c>
      <c r="BF950" t="s">
        <v>74</v>
      </c>
      <c r="BG950" t="s">
        <v>74</v>
      </c>
      <c r="BH950" t="s">
        <v>74</v>
      </c>
      <c r="BI950">
        <v>10</v>
      </c>
      <c r="BJ950" t="s">
        <v>318</v>
      </c>
      <c r="BK950" t="s">
        <v>102</v>
      </c>
      <c r="BL950" t="s">
        <v>318</v>
      </c>
      <c r="BM950" t="s">
        <v>18640</v>
      </c>
      <c r="BN950" t="s">
        <v>74</v>
      </c>
      <c r="BO950" t="s">
        <v>74</v>
      </c>
      <c r="BP950" t="s">
        <v>74</v>
      </c>
      <c r="BQ950" t="s">
        <v>74</v>
      </c>
      <c r="BR950" t="s">
        <v>106</v>
      </c>
      <c r="BS950" t="s">
        <v>18641</v>
      </c>
      <c r="BT950" t="str">
        <f>HYPERLINK("https%3A%2F%2Fwww.webofscience.com%2Fwos%2Fwoscc%2Ffull-record%2FWOS:001305555600016","View Full Record in Web of Science")</f>
        <v>View Full Record in Web of Science</v>
      </c>
    </row>
    <row r="951" spans="1:72" x14ac:dyDescent="0.25">
      <c r="A951" t="s">
        <v>108</v>
      </c>
      <c r="B951" t="s">
        <v>18642</v>
      </c>
      <c r="C951" t="s">
        <v>74</v>
      </c>
      <c r="D951" t="s">
        <v>74</v>
      </c>
      <c r="E951" t="s">
        <v>465</v>
      </c>
      <c r="F951" t="s">
        <v>18643</v>
      </c>
      <c r="G951" t="s">
        <v>74</v>
      </c>
      <c r="H951" t="s">
        <v>74</v>
      </c>
      <c r="I951" t="s">
        <v>18644</v>
      </c>
      <c r="J951" t="s">
        <v>18645</v>
      </c>
      <c r="K951" t="s">
        <v>6430</v>
      </c>
      <c r="L951" t="s">
        <v>74</v>
      </c>
      <c r="M951" t="s">
        <v>78</v>
      </c>
      <c r="N951" t="s">
        <v>115</v>
      </c>
      <c r="O951" t="s">
        <v>18646</v>
      </c>
      <c r="P951" t="s">
        <v>18647</v>
      </c>
      <c r="Q951" t="s">
        <v>18648</v>
      </c>
      <c r="R951" t="s">
        <v>18649</v>
      </c>
      <c r="S951" t="s">
        <v>74</v>
      </c>
      <c r="T951" t="s">
        <v>18650</v>
      </c>
      <c r="U951" t="s">
        <v>74</v>
      </c>
      <c r="V951" t="s">
        <v>18651</v>
      </c>
      <c r="W951" t="s">
        <v>18652</v>
      </c>
      <c r="X951" t="s">
        <v>18653</v>
      </c>
      <c r="Y951" t="s">
        <v>18654</v>
      </c>
      <c r="Z951" t="s">
        <v>18655</v>
      </c>
      <c r="AA951" t="s">
        <v>74</v>
      </c>
      <c r="AB951" t="s">
        <v>74</v>
      </c>
      <c r="AC951" t="s">
        <v>74</v>
      </c>
      <c r="AD951" t="s">
        <v>74</v>
      </c>
      <c r="AE951" t="s">
        <v>74</v>
      </c>
      <c r="AF951" t="s">
        <v>74</v>
      </c>
      <c r="AG951">
        <v>5</v>
      </c>
      <c r="AH951">
        <v>2</v>
      </c>
      <c r="AI951">
        <v>2</v>
      </c>
      <c r="AJ951">
        <v>0</v>
      </c>
      <c r="AK951">
        <v>1</v>
      </c>
      <c r="AL951" t="s">
        <v>465</v>
      </c>
      <c r="AM951" t="s">
        <v>92</v>
      </c>
      <c r="AN951" t="s">
        <v>480</v>
      </c>
      <c r="AO951" t="s">
        <v>6444</v>
      </c>
      <c r="AP951" t="s">
        <v>6445</v>
      </c>
      <c r="AQ951" t="s">
        <v>18656</v>
      </c>
      <c r="AR951" t="s">
        <v>6447</v>
      </c>
      <c r="AS951" t="s">
        <v>74</v>
      </c>
      <c r="AT951" t="s">
        <v>74</v>
      </c>
      <c r="AU951">
        <v>2016</v>
      </c>
      <c r="AV951" t="s">
        <v>74</v>
      </c>
      <c r="AW951" t="s">
        <v>74</v>
      </c>
      <c r="AX951" t="s">
        <v>74</v>
      </c>
      <c r="AY951" t="s">
        <v>74</v>
      </c>
      <c r="AZ951" t="s">
        <v>74</v>
      </c>
      <c r="BA951" t="s">
        <v>74</v>
      </c>
      <c r="BB951">
        <v>263</v>
      </c>
      <c r="BC951">
        <v>264</v>
      </c>
      <c r="BD951" t="s">
        <v>74</v>
      </c>
      <c r="BE951" t="s">
        <v>18657</v>
      </c>
      <c r="BF951" t="str">
        <f>HYPERLINK("http://dx.doi.org/10.1145/2910896.2925462","http://dx.doi.org/10.1145/2910896.2925462")</f>
        <v>http://dx.doi.org/10.1145/2910896.2925462</v>
      </c>
      <c r="BG951" t="s">
        <v>74</v>
      </c>
      <c r="BH951" t="s">
        <v>74</v>
      </c>
      <c r="BI951">
        <v>2</v>
      </c>
      <c r="BJ951" t="s">
        <v>101</v>
      </c>
      <c r="BK951" t="s">
        <v>203</v>
      </c>
      <c r="BL951" t="s">
        <v>103</v>
      </c>
      <c r="BM951" t="s">
        <v>18658</v>
      </c>
      <c r="BN951" t="s">
        <v>74</v>
      </c>
      <c r="BO951" t="s">
        <v>74</v>
      </c>
      <c r="BP951" t="s">
        <v>74</v>
      </c>
      <c r="BQ951" t="s">
        <v>74</v>
      </c>
      <c r="BR951" t="s">
        <v>106</v>
      </c>
      <c r="BS951" t="s">
        <v>18659</v>
      </c>
      <c r="BT951" t="str">
        <f>HYPERLINK("https%3A%2F%2Fwww.webofscience.com%2Fwos%2Fwoscc%2Ffull-record%2FWOS:000389502300061","View Full Record in Web of Science")</f>
        <v>View Full Record in Web of Science</v>
      </c>
    </row>
    <row r="952" spans="1:72" x14ac:dyDescent="0.25">
      <c r="A952" t="s">
        <v>108</v>
      </c>
      <c r="B952" t="s">
        <v>18660</v>
      </c>
      <c r="C952" t="s">
        <v>74</v>
      </c>
      <c r="D952" t="s">
        <v>74</v>
      </c>
      <c r="E952" t="s">
        <v>3191</v>
      </c>
      <c r="F952" t="s">
        <v>18661</v>
      </c>
      <c r="G952" t="s">
        <v>74</v>
      </c>
      <c r="H952" t="s">
        <v>74</v>
      </c>
      <c r="I952" t="s">
        <v>18662</v>
      </c>
      <c r="J952" t="s">
        <v>18663</v>
      </c>
      <c r="K952" t="s">
        <v>1509</v>
      </c>
      <c r="L952" t="s">
        <v>74</v>
      </c>
      <c r="M952" t="s">
        <v>78</v>
      </c>
      <c r="N952" t="s">
        <v>115</v>
      </c>
      <c r="O952" t="s">
        <v>18664</v>
      </c>
      <c r="P952" t="s">
        <v>18665</v>
      </c>
      <c r="Q952" t="s">
        <v>18666</v>
      </c>
      <c r="R952" t="s">
        <v>74</v>
      </c>
      <c r="S952" t="s">
        <v>18667</v>
      </c>
      <c r="T952" t="s">
        <v>74</v>
      </c>
      <c r="U952" t="s">
        <v>74</v>
      </c>
      <c r="V952" t="s">
        <v>18668</v>
      </c>
      <c r="W952" t="s">
        <v>18669</v>
      </c>
      <c r="X952" t="s">
        <v>18670</v>
      </c>
      <c r="Y952" t="s">
        <v>18671</v>
      </c>
      <c r="Z952" t="s">
        <v>18672</v>
      </c>
      <c r="AA952" t="s">
        <v>74</v>
      </c>
      <c r="AB952" t="s">
        <v>74</v>
      </c>
      <c r="AC952" t="s">
        <v>18673</v>
      </c>
      <c r="AD952" t="s">
        <v>18674</v>
      </c>
      <c r="AE952" t="s">
        <v>18675</v>
      </c>
      <c r="AF952" t="s">
        <v>74</v>
      </c>
      <c r="AG952">
        <v>19</v>
      </c>
      <c r="AH952">
        <v>0</v>
      </c>
      <c r="AI952">
        <v>1</v>
      </c>
      <c r="AJ952">
        <v>0</v>
      </c>
      <c r="AK952">
        <v>5</v>
      </c>
      <c r="AL952" t="s">
        <v>1518</v>
      </c>
      <c r="AM952" t="s">
        <v>1519</v>
      </c>
      <c r="AN952" t="s">
        <v>1520</v>
      </c>
      <c r="AO952" t="s">
        <v>1521</v>
      </c>
      <c r="AP952" t="s">
        <v>1522</v>
      </c>
      <c r="AQ952" t="s">
        <v>74</v>
      </c>
      <c r="AR952" t="s">
        <v>1523</v>
      </c>
      <c r="AS952" t="s">
        <v>74</v>
      </c>
      <c r="AT952" t="s">
        <v>74</v>
      </c>
      <c r="AU952">
        <v>2019</v>
      </c>
      <c r="AV952">
        <v>1168</v>
      </c>
      <c r="AW952" t="s">
        <v>74</v>
      </c>
      <c r="AX952" t="s">
        <v>74</v>
      </c>
      <c r="AY952" t="s">
        <v>74</v>
      </c>
      <c r="AZ952" t="s">
        <v>74</v>
      </c>
      <c r="BA952" t="s">
        <v>74</v>
      </c>
      <c r="BB952" t="s">
        <v>74</v>
      </c>
      <c r="BC952" t="s">
        <v>74</v>
      </c>
      <c r="BD952">
        <v>32066</v>
      </c>
      <c r="BE952" t="s">
        <v>18676</v>
      </c>
      <c r="BF952" t="str">
        <f>HYPERLINK("http://dx.doi.org/10.1088/1742-6596/1168/3/032066","http://dx.doi.org/10.1088/1742-6596/1168/3/032066")</f>
        <v>http://dx.doi.org/10.1088/1742-6596/1168/3/032066</v>
      </c>
      <c r="BG952" t="s">
        <v>74</v>
      </c>
      <c r="BH952" t="s">
        <v>74</v>
      </c>
      <c r="BI952">
        <v>10</v>
      </c>
      <c r="BJ952" t="s">
        <v>925</v>
      </c>
      <c r="BK952" t="s">
        <v>203</v>
      </c>
      <c r="BL952" t="s">
        <v>103</v>
      </c>
      <c r="BM952" t="s">
        <v>18677</v>
      </c>
      <c r="BN952" t="s">
        <v>74</v>
      </c>
      <c r="BO952" t="s">
        <v>372</v>
      </c>
      <c r="BP952" t="s">
        <v>74</v>
      </c>
      <c r="BQ952" t="s">
        <v>74</v>
      </c>
      <c r="BR952" t="s">
        <v>106</v>
      </c>
      <c r="BS952" t="s">
        <v>18678</v>
      </c>
      <c r="BT952" t="str">
        <f>HYPERLINK("https%3A%2F%2Fwww.webofscience.com%2Fwos%2Fwoscc%2Ffull-record%2FWOS:000471120700174","View Full Record in Web of Science")</f>
        <v>View Full Record in Web of Science</v>
      </c>
    </row>
    <row r="953" spans="1:72" x14ac:dyDescent="0.25">
      <c r="A953" t="s">
        <v>108</v>
      </c>
      <c r="B953" t="s">
        <v>18679</v>
      </c>
      <c r="C953" t="s">
        <v>74</v>
      </c>
      <c r="D953" t="s">
        <v>18680</v>
      </c>
      <c r="E953" t="s">
        <v>74</v>
      </c>
      <c r="F953" t="s">
        <v>18681</v>
      </c>
      <c r="G953" t="s">
        <v>74</v>
      </c>
      <c r="H953" t="s">
        <v>74</v>
      </c>
      <c r="I953" t="s">
        <v>18682</v>
      </c>
      <c r="J953" t="s">
        <v>18683</v>
      </c>
      <c r="K953" t="s">
        <v>147</v>
      </c>
      <c r="L953" t="s">
        <v>74</v>
      </c>
      <c r="M953" t="s">
        <v>78</v>
      </c>
      <c r="N953" t="s">
        <v>115</v>
      </c>
      <c r="O953" t="s">
        <v>18684</v>
      </c>
      <c r="P953" t="s">
        <v>18685</v>
      </c>
      <c r="Q953" t="s">
        <v>11111</v>
      </c>
      <c r="R953" t="s">
        <v>18686</v>
      </c>
      <c r="S953" t="s">
        <v>74</v>
      </c>
      <c r="T953" t="s">
        <v>74</v>
      </c>
      <c r="U953" t="s">
        <v>18687</v>
      </c>
      <c r="V953" t="s">
        <v>18688</v>
      </c>
      <c r="W953" t="s">
        <v>18689</v>
      </c>
      <c r="X953" t="s">
        <v>18690</v>
      </c>
      <c r="Y953" t="s">
        <v>18691</v>
      </c>
      <c r="Z953" t="s">
        <v>18692</v>
      </c>
      <c r="AA953" t="s">
        <v>18693</v>
      </c>
      <c r="AB953" t="s">
        <v>18694</v>
      </c>
      <c r="AC953" t="s">
        <v>74</v>
      </c>
      <c r="AD953" t="s">
        <v>74</v>
      </c>
      <c r="AE953" t="s">
        <v>74</v>
      </c>
      <c r="AF953" t="s">
        <v>74</v>
      </c>
      <c r="AG953">
        <v>8</v>
      </c>
      <c r="AH953">
        <v>1</v>
      </c>
      <c r="AI953">
        <v>1</v>
      </c>
      <c r="AJ953">
        <v>0</v>
      </c>
      <c r="AK953">
        <v>2</v>
      </c>
      <c r="AL953" t="s">
        <v>197</v>
      </c>
      <c r="AM953" t="s">
        <v>198</v>
      </c>
      <c r="AN953" t="s">
        <v>199</v>
      </c>
      <c r="AO953" t="s">
        <v>159</v>
      </c>
      <c r="AP953" t="s">
        <v>133</v>
      </c>
      <c r="AQ953" t="s">
        <v>18695</v>
      </c>
      <c r="AR953" t="s">
        <v>161</v>
      </c>
      <c r="AS953" t="s">
        <v>74</v>
      </c>
      <c r="AT953" t="s">
        <v>74</v>
      </c>
      <c r="AU953">
        <v>2010</v>
      </c>
      <c r="AV953" t="s">
        <v>18696</v>
      </c>
      <c r="AW953" t="s">
        <v>74</v>
      </c>
      <c r="AX953" t="s">
        <v>74</v>
      </c>
      <c r="AY953" t="s">
        <v>74</v>
      </c>
      <c r="AZ953" t="s">
        <v>74</v>
      </c>
      <c r="BA953" t="s">
        <v>74</v>
      </c>
      <c r="BB953">
        <v>199</v>
      </c>
      <c r="BC953">
        <v>210</v>
      </c>
      <c r="BD953" t="s">
        <v>74</v>
      </c>
      <c r="BE953" t="s">
        <v>74</v>
      </c>
      <c r="BF953" t="s">
        <v>74</v>
      </c>
      <c r="BG953" t="s">
        <v>74</v>
      </c>
      <c r="BH953" t="s">
        <v>74</v>
      </c>
      <c r="BI953">
        <v>12</v>
      </c>
      <c r="BJ953" t="s">
        <v>7997</v>
      </c>
      <c r="BK953" t="s">
        <v>203</v>
      </c>
      <c r="BL953" t="s">
        <v>103</v>
      </c>
      <c r="BM953" t="s">
        <v>18697</v>
      </c>
      <c r="BN953" t="s">
        <v>74</v>
      </c>
      <c r="BO953" t="s">
        <v>74</v>
      </c>
      <c r="BP953" t="s">
        <v>74</v>
      </c>
      <c r="BQ953" t="s">
        <v>74</v>
      </c>
      <c r="BR953" t="s">
        <v>106</v>
      </c>
      <c r="BS953" t="s">
        <v>18698</v>
      </c>
      <c r="BT953" t="str">
        <f>HYPERLINK("https%3A%2F%2Fwww.webofscience.com%2Fwos%2Fwoscc%2Ffull-record%2FWOS:000290453500018","View Full Record in Web of Science")</f>
        <v>View Full Record in Web of Science</v>
      </c>
    </row>
    <row r="954" spans="1:72" x14ac:dyDescent="0.25">
      <c r="A954" t="s">
        <v>108</v>
      </c>
      <c r="B954" t="s">
        <v>18699</v>
      </c>
      <c r="C954" t="s">
        <v>74</v>
      </c>
      <c r="D954" t="s">
        <v>74</v>
      </c>
      <c r="E954" t="s">
        <v>7337</v>
      </c>
      <c r="F954" t="s">
        <v>18700</v>
      </c>
      <c r="G954" t="s">
        <v>74</v>
      </c>
      <c r="H954" t="s">
        <v>74</v>
      </c>
      <c r="I954" t="s">
        <v>18701</v>
      </c>
      <c r="J954" t="s">
        <v>18702</v>
      </c>
      <c r="K954" t="s">
        <v>18703</v>
      </c>
      <c r="L954" t="s">
        <v>74</v>
      </c>
      <c r="M954" t="s">
        <v>78</v>
      </c>
      <c r="N954" t="s">
        <v>115</v>
      </c>
      <c r="O954" t="s">
        <v>18704</v>
      </c>
      <c r="P954" t="s">
        <v>18705</v>
      </c>
      <c r="Q954" t="s">
        <v>18706</v>
      </c>
      <c r="R954" t="s">
        <v>18707</v>
      </c>
      <c r="S954" t="s">
        <v>74</v>
      </c>
      <c r="T954" t="s">
        <v>18708</v>
      </c>
      <c r="U954" t="s">
        <v>74</v>
      </c>
      <c r="V954" t="s">
        <v>18709</v>
      </c>
      <c r="W954" t="s">
        <v>18710</v>
      </c>
      <c r="X954" t="s">
        <v>18711</v>
      </c>
      <c r="Y954" t="s">
        <v>18712</v>
      </c>
      <c r="Z954" t="s">
        <v>18713</v>
      </c>
      <c r="AA954" t="s">
        <v>74</v>
      </c>
      <c r="AB954" t="s">
        <v>74</v>
      </c>
      <c r="AC954" t="s">
        <v>74</v>
      </c>
      <c r="AD954" t="s">
        <v>74</v>
      </c>
      <c r="AE954" t="s">
        <v>74</v>
      </c>
      <c r="AF954" t="s">
        <v>74</v>
      </c>
      <c r="AG954">
        <v>12</v>
      </c>
      <c r="AH954">
        <v>2</v>
      </c>
      <c r="AI954">
        <v>4</v>
      </c>
      <c r="AJ954">
        <v>0</v>
      </c>
      <c r="AK954">
        <v>5</v>
      </c>
      <c r="AL954" t="s">
        <v>947</v>
      </c>
      <c r="AM954" t="s">
        <v>948</v>
      </c>
      <c r="AN954" t="s">
        <v>949</v>
      </c>
      <c r="AO954" t="s">
        <v>18714</v>
      </c>
      <c r="AP954" t="s">
        <v>74</v>
      </c>
      <c r="AQ954" t="s">
        <v>18715</v>
      </c>
      <c r="AR954" t="s">
        <v>18716</v>
      </c>
      <c r="AS954" t="s">
        <v>74</v>
      </c>
      <c r="AT954" t="s">
        <v>74</v>
      </c>
      <c r="AU954">
        <v>2010</v>
      </c>
      <c r="AV954" t="s">
        <v>74</v>
      </c>
      <c r="AW954" t="s">
        <v>74</v>
      </c>
      <c r="AX954" t="s">
        <v>74</v>
      </c>
      <c r="AY954" t="s">
        <v>74</v>
      </c>
      <c r="AZ954" t="s">
        <v>74</v>
      </c>
      <c r="BA954" t="s">
        <v>74</v>
      </c>
      <c r="BB954">
        <v>293</v>
      </c>
      <c r="BC954">
        <v>298</v>
      </c>
      <c r="BD954" t="s">
        <v>74</v>
      </c>
      <c r="BE954" t="s">
        <v>18717</v>
      </c>
      <c r="BF954" t="str">
        <f>HYPERLINK("http://dx.doi.org/10.1109/TAAI.2010.55","http://dx.doi.org/10.1109/TAAI.2010.55")</f>
        <v>http://dx.doi.org/10.1109/TAAI.2010.55</v>
      </c>
      <c r="BG954" t="s">
        <v>74</v>
      </c>
      <c r="BH954" t="s">
        <v>74</v>
      </c>
      <c r="BI954">
        <v>6</v>
      </c>
      <c r="BJ954" t="s">
        <v>807</v>
      </c>
      <c r="BK954" t="s">
        <v>203</v>
      </c>
      <c r="BL954" t="s">
        <v>103</v>
      </c>
      <c r="BM954" t="s">
        <v>18718</v>
      </c>
      <c r="BN954" t="s">
        <v>74</v>
      </c>
      <c r="BO954" t="s">
        <v>74</v>
      </c>
      <c r="BP954" t="s">
        <v>74</v>
      </c>
      <c r="BQ954" t="s">
        <v>74</v>
      </c>
      <c r="BR954" t="s">
        <v>106</v>
      </c>
      <c r="BS954" t="s">
        <v>18719</v>
      </c>
      <c r="BT954" t="str">
        <f>HYPERLINK("https%3A%2F%2Fwww.webofscience.com%2Fwos%2Fwoscc%2Ffull-record%2FWOS:000399726300044","View Full Record in Web of Science")</f>
        <v>View Full Record in Web of Science</v>
      </c>
    </row>
    <row r="955" spans="1:72" x14ac:dyDescent="0.25">
      <c r="A955" t="s">
        <v>72</v>
      </c>
      <c r="B955" t="s">
        <v>18720</v>
      </c>
      <c r="C955" t="s">
        <v>74</v>
      </c>
      <c r="D955" t="s">
        <v>74</v>
      </c>
      <c r="E955" t="s">
        <v>74</v>
      </c>
      <c r="F955" t="s">
        <v>18721</v>
      </c>
      <c r="G955" t="s">
        <v>74</v>
      </c>
      <c r="H955" t="s">
        <v>74</v>
      </c>
      <c r="I955" t="s">
        <v>18722</v>
      </c>
      <c r="J955" t="s">
        <v>18723</v>
      </c>
      <c r="K955" t="s">
        <v>74</v>
      </c>
      <c r="L955" t="s">
        <v>74</v>
      </c>
      <c r="M955" t="s">
        <v>78</v>
      </c>
      <c r="N955" t="s">
        <v>79</v>
      </c>
      <c r="O955" t="s">
        <v>74</v>
      </c>
      <c r="P955" t="s">
        <v>74</v>
      </c>
      <c r="Q955" t="s">
        <v>74</v>
      </c>
      <c r="R955" t="s">
        <v>74</v>
      </c>
      <c r="S955" t="s">
        <v>74</v>
      </c>
      <c r="T955" t="s">
        <v>18724</v>
      </c>
      <c r="U955" t="s">
        <v>18725</v>
      </c>
      <c r="V955" t="s">
        <v>18726</v>
      </c>
      <c r="W955" t="s">
        <v>18727</v>
      </c>
      <c r="X955" t="s">
        <v>18728</v>
      </c>
      <c r="Y955" t="s">
        <v>18729</v>
      </c>
      <c r="Z955" t="s">
        <v>18730</v>
      </c>
      <c r="AA955" t="s">
        <v>74</v>
      </c>
      <c r="AB955" t="s">
        <v>74</v>
      </c>
      <c r="AC955" t="s">
        <v>74</v>
      </c>
      <c r="AD955" t="s">
        <v>74</v>
      </c>
      <c r="AE955" t="s">
        <v>74</v>
      </c>
      <c r="AF955" t="s">
        <v>74</v>
      </c>
      <c r="AG955">
        <v>46</v>
      </c>
      <c r="AH955">
        <v>2</v>
      </c>
      <c r="AI955">
        <v>4</v>
      </c>
      <c r="AJ955">
        <v>0</v>
      </c>
      <c r="AK955">
        <v>7</v>
      </c>
      <c r="AL955" t="s">
        <v>631</v>
      </c>
      <c r="AM955" t="s">
        <v>632</v>
      </c>
      <c r="AN955" t="s">
        <v>633</v>
      </c>
      <c r="AO955" t="s">
        <v>18731</v>
      </c>
      <c r="AP955" t="s">
        <v>18732</v>
      </c>
      <c r="AQ955" t="s">
        <v>74</v>
      </c>
      <c r="AR955" t="s">
        <v>18733</v>
      </c>
      <c r="AS955" t="s">
        <v>18734</v>
      </c>
      <c r="AT955" t="s">
        <v>1251</v>
      </c>
      <c r="AU955">
        <v>2021</v>
      </c>
      <c r="AV955">
        <v>172</v>
      </c>
      <c r="AW955">
        <v>1</v>
      </c>
      <c r="AX955" t="s">
        <v>74</v>
      </c>
      <c r="AY955" t="s">
        <v>74</v>
      </c>
      <c r="AZ955" t="s">
        <v>74</v>
      </c>
      <c r="BA955" t="s">
        <v>74</v>
      </c>
      <c r="BB955">
        <v>19</v>
      </c>
      <c r="BC955">
        <v>33</v>
      </c>
      <c r="BD955" t="s">
        <v>74</v>
      </c>
      <c r="BE955" t="s">
        <v>18735</v>
      </c>
      <c r="BF955" t="str">
        <f>HYPERLINK("http://dx.doi.org/10.1111/j.1936-704X.2021.3352.x","http://dx.doi.org/10.1111/j.1936-704X.2021.3352.x")</f>
        <v>http://dx.doi.org/10.1111/j.1936-704X.2021.3352.x</v>
      </c>
      <c r="BG955" t="s">
        <v>74</v>
      </c>
      <c r="BH955" t="s">
        <v>74</v>
      </c>
      <c r="BI955">
        <v>15</v>
      </c>
      <c r="BJ955" t="s">
        <v>18736</v>
      </c>
      <c r="BK955" t="s">
        <v>102</v>
      </c>
      <c r="BL955" t="s">
        <v>18736</v>
      </c>
      <c r="BM955" t="s">
        <v>18737</v>
      </c>
      <c r="BN955" t="s">
        <v>74</v>
      </c>
      <c r="BO955" t="s">
        <v>74</v>
      </c>
      <c r="BP955" t="s">
        <v>74</v>
      </c>
      <c r="BQ955" t="s">
        <v>74</v>
      </c>
      <c r="BR955" t="s">
        <v>106</v>
      </c>
      <c r="BS955" t="s">
        <v>18738</v>
      </c>
      <c r="BT955" t="str">
        <f>HYPERLINK("https%3A%2F%2Fwww.webofscience.com%2Fwos%2Fwoscc%2Ffull-record%2FWOS:000659071700003","View Full Record in Web of Science")</f>
        <v>View Full Record in Web of Science</v>
      </c>
    </row>
    <row r="956" spans="1:72" x14ac:dyDescent="0.25">
      <c r="A956" t="s">
        <v>72</v>
      </c>
      <c r="B956" t="s">
        <v>18739</v>
      </c>
      <c r="C956" t="s">
        <v>74</v>
      </c>
      <c r="D956" t="s">
        <v>74</v>
      </c>
      <c r="E956" t="s">
        <v>74</v>
      </c>
      <c r="F956" t="s">
        <v>18740</v>
      </c>
      <c r="G956" t="s">
        <v>74</v>
      </c>
      <c r="H956" t="s">
        <v>74</v>
      </c>
      <c r="I956" t="s">
        <v>18741</v>
      </c>
      <c r="J956" t="s">
        <v>18742</v>
      </c>
      <c r="K956" t="s">
        <v>74</v>
      </c>
      <c r="L956" t="s">
        <v>74</v>
      </c>
      <c r="M956" t="s">
        <v>78</v>
      </c>
      <c r="N956" t="s">
        <v>726</v>
      </c>
      <c r="O956" t="s">
        <v>74</v>
      </c>
      <c r="P956" t="s">
        <v>74</v>
      </c>
      <c r="Q956" t="s">
        <v>74</v>
      </c>
      <c r="R956" t="s">
        <v>74</v>
      </c>
      <c r="S956" t="s">
        <v>74</v>
      </c>
      <c r="T956" t="s">
        <v>18743</v>
      </c>
      <c r="U956" t="s">
        <v>18744</v>
      </c>
      <c r="V956" t="s">
        <v>18745</v>
      </c>
      <c r="W956" t="s">
        <v>18746</v>
      </c>
      <c r="X956" t="s">
        <v>18747</v>
      </c>
      <c r="Y956" t="s">
        <v>18748</v>
      </c>
      <c r="Z956" t="s">
        <v>18749</v>
      </c>
      <c r="AA956" t="s">
        <v>18750</v>
      </c>
      <c r="AB956" t="s">
        <v>18751</v>
      </c>
      <c r="AC956" t="s">
        <v>74</v>
      </c>
      <c r="AD956" t="s">
        <v>74</v>
      </c>
      <c r="AE956" t="s">
        <v>74</v>
      </c>
      <c r="AF956" t="s">
        <v>74</v>
      </c>
      <c r="AG956">
        <v>314</v>
      </c>
      <c r="AH956">
        <v>69</v>
      </c>
      <c r="AI956">
        <v>89</v>
      </c>
      <c r="AJ956">
        <v>4</v>
      </c>
      <c r="AK956">
        <v>100</v>
      </c>
      <c r="AL956" t="s">
        <v>239</v>
      </c>
      <c r="AM956" t="s">
        <v>240</v>
      </c>
      <c r="AN956" t="s">
        <v>241</v>
      </c>
      <c r="AO956" t="s">
        <v>18752</v>
      </c>
      <c r="AP956" t="s">
        <v>18753</v>
      </c>
      <c r="AQ956" t="s">
        <v>74</v>
      </c>
      <c r="AR956" t="s">
        <v>18754</v>
      </c>
      <c r="AS956" t="s">
        <v>18755</v>
      </c>
      <c r="AT956" t="s">
        <v>509</v>
      </c>
      <c r="AU956">
        <v>2020</v>
      </c>
      <c r="AV956">
        <v>146</v>
      </c>
      <c r="AW956">
        <v>9</v>
      </c>
      <c r="AX956" t="s">
        <v>74</v>
      </c>
      <c r="AY956" t="s">
        <v>74</v>
      </c>
      <c r="AZ956" t="s">
        <v>74</v>
      </c>
      <c r="BA956" t="s">
        <v>74</v>
      </c>
      <c r="BB956">
        <v>765</v>
      </c>
      <c r="BC956">
        <v>796</v>
      </c>
      <c r="BD956" t="s">
        <v>74</v>
      </c>
      <c r="BE956" t="s">
        <v>18756</v>
      </c>
      <c r="BF956" t="str">
        <f>HYPERLINK("http://dx.doi.org/10.1037/bul0000269","http://dx.doi.org/10.1037/bul0000269")</f>
        <v>http://dx.doi.org/10.1037/bul0000269</v>
      </c>
      <c r="BG956" t="s">
        <v>74</v>
      </c>
      <c r="BH956" t="s">
        <v>74</v>
      </c>
      <c r="BI956">
        <v>32</v>
      </c>
      <c r="BJ956" t="s">
        <v>18757</v>
      </c>
      <c r="BK956" t="s">
        <v>745</v>
      </c>
      <c r="BL956" t="s">
        <v>251</v>
      </c>
      <c r="BM956" t="s">
        <v>18758</v>
      </c>
      <c r="BN956">
        <v>32686949</v>
      </c>
      <c r="BO956" t="s">
        <v>346</v>
      </c>
      <c r="BP956" t="s">
        <v>74</v>
      </c>
      <c r="BQ956" t="s">
        <v>74</v>
      </c>
      <c r="BR956" t="s">
        <v>106</v>
      </c>
      <c r="BS956" t="s">
        <v>18759</v>
      </c>
      <c r="BT956" t="str">
        <f>HYPERLINK("https%3A%2F%2Fwww.webofscience.com%2Fwos%2Fwoscc%2Ffull-record%2FWOS:000563799600002","View Full Record in Web of Science")</f>
        <v>View Full Record in Web of Science</v>
      </c>
    </row>
    <row r="957" spans="1:72" x14ac:dyDescent="0.25">
      <c r="A957" t="s">
        <v>108</v>
      </c>
      <c r="B957" t="s">
        <v>18760</v>
      </c>
      <c r="C957" t="s">
        <v>74</v>
      </c>
      <c r="D957" t="s">
        <v>74</v>
      </c>
      <c r="E957" t="s">
        <v>465</v>
      </c>
      <c r="F957" t="s">
        <v>18761</v>
      </c>
      <c r="G957" t="s">
        <v>74</v>
      </c>
      <c r="H957" t="s">
        <v>74</v>
      </c>
      <c r="I957" t="s">
        <v>18762</v>
      </c>
      <c r="J957" t="s">
        <v>18763</v>
      </c>
      <c r="K957" t="s">
        <v>74</v>
      </c>
      <c r="L957" t="s">
        <v>74</v>
      </c>
      <c r="M957" t="s">
        <v>78</v>
      </c>
      <c r="N957" t="s">
        <v>115</v>
      </c>
      <c r="O957" t="s">
        <v>18764</v>
      </c>
      <c r="P957" t="s">
        <v>18765</v>
      </c>
      <c r="Q957" t="s">
        <v>4669</v>
      </c>
      <c r="R957" t="s">
        <v>18766</v>
      </c>
      <c r="S957" t="s">
        <v>74</v>
      </c>
      <c r="T957" t="s">
        <v>18767</v>
      </c>
      <c r="U957" t="s">
        <v>74</v>
      </c>
      <c r="V957" t="s">
        <v>18768</v>
      </c>
      <c r="W957" t="s">
        <v>18769</v>
      </c>
      <c r="X957" t="s">
        <v>18653</v>
      </c>
      <c r="Y957" t="s">
        <v>18770</v>
      </c>
      <c r="Z957" t="s">
        <v>18771</v>
      </c>
      <c r="AA957" t="s">
        <v>18772</v>
      </c>
      <c r="AB957" t="s">
        <v>74</v>
      </c>
      <c r="AC957" t="s">
        <v>18773</v>
      </c>
      <c r="AD957" t="s">
        <v>18774</v>
      </c>
      <c r="AE957" t="s">
        <v>18775</v>
      </c>
      <c r="AF957" t="s">
        <v>74</v>
      </c>
      <c r="AG957">
        <v>11</v>
      </c>
      <c r="AH957">
        <v>0</v>
      </c>
      <c r="AI957">
        <v>0</v>
      </c>
      <c r="AJ957">
        <v>0</v>
      </c>
      <c r="AK957">
        <v>3</v>
      </c>
      <c r="AL957" t="s">
        <v>947</v>
      </c>
      <c r="AM957" t="s">
        <v>948</v>
      </c>
      <c r="AN957" t="s">
        <v>949</v>
      </c>
      <c r="AO957" t="s">
        <v>74</v>
      </c>
      <c r="AP957" t="s">
        <v>74</v>
      </c>
      <c r="AQ957" t="s">
        <v>18776</v>
      </c>
      <c r="AR957" t="s">
        <v>74</v>
      </c>
      <c r="AS957" t="s">
        <v>74</v>
      </c>
      <c r="AT957" t="s">
        <v>74</v>
      </c>
      <c r="AU957">
        <v>2022</v>
      </c>
      <c r="AV957" t="s">
        <v>74</v>
      </c>
      <c r="AW957" t="s">
        <v>74</v>
      </c>
      <c r="AX957" t="s">
        <v>74</v>
      </c>
      <c r="AY957" t="s">
        <v>74</v>
      </c>
      <c r="AZ957" t="s">
        <v>74</v>
      </c>
      <c r="BA957" t="s">
        <v>74</v>
      </c>
      <c r="BB957">
        <v>132</v>
      </c>
      <c r="BC957">
        <v>136</v>
      </c>
      <c r="BD957" t="s">
        <v>74</v>
      </c>
      <c r="BE957" t="s">
        <v>18777</v>
      </c>
      <c r="BF957" t="str">
        <f>HYPERLINK("http://dx.doi.org/10.1109/ISCSIC57216.2022.00037","http://dx.doi.org/10.1109/ISCSIC57216.2022.00037")</f>
        <v>http://dx.doi.org/10.1109/ISCSIC57216.2022.00037</v>
      </c>
      <c r="BG957" t="s">
        <v>74</v>
      </c>
      <c r="BH957" t="s">
        <v>74</v>
      </c>
      <c r="BI957">
        <v>5</v>
      </c>
      <c r="BJ957" t="s">
        <v>4845</v>
      </c>
      <c r="BK957" t="s">
        <v>203</v>
      </c>
      <c r="BL957" t="s">
        <v>2756</v>
      </c>
      <c r="BM957" t="s">
        <v>18778</v>
      </c>
      <c r="BN957" t="s">
        <v>74</v>
      </c>
      <c r="BO957" t="s">
        <v>74</v>
      </c>
      <c r="BP957" t="s">
        <v>74</v>
      </c>
      <c r="BQ957" t="s">
        <v>74</v>
      </c>
      <c r="BR957" t="s">
        <v>106</v>
      </c>
      <c r="BS957" t="s">
        <v>18779</v>
      </c>
      <c r="BT957" t="str">
        <f>HYPERLINK("https%3A%2F%2Fwww.webofscience.com%2Fwos%2Fwoscc%2Ffull-record%2FWOS:000995421300026","View Full Record in Web of Science")</f>
        <v>View Full Record in Web of Science</v>
      </c>
    </row>
    <row r="958" spans="1:72" x14ac:dyDescent="0.25">
      <c r="A958" t="s">
        <v>108</v>
      </c>
      <c r="B958" t="s">
        <v>18780</v>
      </c>
      <c r="C958" t="s">
        <v>74</v>
      </c>
      <c r="D958" t="s">
        <v>18781</v>
      </c>
      <c r="E958" t="s">
        <v>74</v>
      </c>
      <c r="F958" t="s">
        <v>18782</v>
      </c>
      <c r="G958" t="s">
        <v>74</v>
      </c>
      <c r="H958" t="s">
        <v>74</v>
      </c>
      <c r="I958" t="s">
        <v>18783</v>
      </c>
      <c r="J958" t="s">
        <v>18784</v>
      </c>
      <c r="K958" t="s">
        <v>4853</v>
      </c>
      <c r="L958" t="s">
        <v>74</v>
      </c>
      <c r="M958" t="s">
        <v>78</v>
      </c>
      <c r="N958" t="s">
        <v>115</v>
      </c>
      <c r="O958" t="s">
        <v>18785</v>
      </c>
      <c r="P958" t="s">
        <v>18786</v>
      </c>
      <c r="Q958" t="s">
        <v>8930</v>
      </c>
      <c r="R958" t="s">
        <v>18787</v>
      </c>
      <c r="S958" t="s">
        <v>74</v>
      </c>
      <c r="T958" t="s">
        <v>18788</v>
      </c>
      <c r="U958" t="s">
        <v>74</v>
      </c>
      <c r="V958" t="s">
        <v>18789</v>
      </c>
      <c r="W958" t="s">
        <v>18790</v>
      </c>
      <c r="X958" t="s">
        <v>18791</v>
      </c>
      <c r="Y958" t="s">
        <v>18792</v>
      </c>
      <c r="Z958" t="s">
        <v>18793</v>
      </c>
      <c r="AA958" t="s">
        <v>74</v>
      </c>
      <c r="AB958" t="s">
        <v>74</v>
      </c>
      <c r="AC958" t="s">
        <v>74</v>
      </c>
      <c r="AD958" t="s">
        <v>74</v>
      </c>
      <c r="AE958" t="s">
        <v>74</v>
      </c>
      <c r="AF958" t="s">
        <v>74</v>
      </c>
      <c r="AG958">
        <v>20</v>
      </c>
      <c r="AH958">
        <v>0</v>
      </c>
      <c r="AI958">
        <v>0</v>
      </c>
      <c r="AJ958">
        <v>0</v>
      </c>
      <c r="AK958">
        <v>2</v>
      </c>
      <c r="AL958" t="s">
        <v>129</v>
      </c>
      <c r="AM958" t="s">
        <v>130</v>
      </c>
      <c r="AN958" t="s">
        <v>131</v>
      </c>
      <c r="AO958" t="s">
        <v>4865</v>
      </c>
      <c r="AP958" t="s">
        <v>4866</v>
      </c>
      <c r="AQ958" t="s">
        <v>18794</v>
      </c>
      <c r="AR958" t="s">
        <v>4868</v>
      </c>
      <c r="AS958" t="s">
        <v>74</v>
      </c>
      <c r="AT958" t="s">
        <v>74</v>
      </c>
      <c r="AU958">
        <v>2022</v>
      </c>
      <c r="AV958">
        <v>1709</v>
      </c>
      <c r="AW958" t="s">
        <v>74</v>
      </c>
      <c r="AX958" t="s">
        <v>74</v>
      </c>
      <c r="AY958" t="s">
        <v>74</v>
      </c>
      <c r="AZ958" t="s">
        <v>74</v>
      </c>
      <c r="BA958" t="s">
        <v>74</v>
      </c>
      <c r="BB958">
        <v>124</v>
      </c>
      <c r="BC958">
        <v>138</v>
      </c>
      <c r="BD958" t="s">
        <v>74</v>
      </c>
      <c r="BE958" t="s">
        <v>18795</v>
      </c>
      <c r="BF958" t="str">
        <f>HYPERLINK("http://dx.doi.org/10.1007/978-981-19-8331-3_8","http://dx.doi.org/10.1007/978-981-19-8331-3_8")</f>
        <v>http://dx.doi.org/10.1007/978-981-19-8331-3_8</v>
      </c>
      <c r="BG958" t="s">
        <v>74</v>
      </c>
      <c r="BH958" t="s">
        <v>74</v>
      </c>
      <c r="BI958">
        <v>15</v>
      </c>
      <c r="BJ958" t="s">
        <v>202</v>
      </c>
      <c r="BK958" t="s">
        <v>203</v>
      </c>
      <c r="BL958" t="s">
        <v>103</v>
      </c>
      <c r="BM958" t="s">
        <v>18796</v>
      </c>
      <c r="BN958" t="s">
        <v>74</v>
      </c>
      <c r="BO958" t="s">
        <v>74</v>
      </c>
      <c r="BP958" t="s">
        <v>74</v>
      </c>
      <c r="BQ958" t="s">
        <v>74</v>
      </c>
      <c r="BR958" t="s">
        <v>106</v>
      </c>
      <c r="BS958" t="s">
        <v>18797</v>
      </c>
      <c r="BT958" t="str">
        <f>HYPERLINK("https%3A%2F%2Fwww.webofscience.com%2Fwos%2Fwoscc%2Ffull-record%2FWOS:000917930300008","View Full Record in Web of Science")</f>
        <v>View Full Record in Web of Science</v>
      </c>
    </row>
    <row r="959" spans="1:72" x14ac:dyDescent="0.25">
      <c r="A959" t="s">
        <v>72</v>
      </c>
      <c r="B959" t="s">
        <v>18798</v>
      </c>
      <c r="C959" t="s">
        <v>74</v>
      </c>
      <c r="D959" t="s">
        <v>74</v>
      </c>
      <c r="E959" t="s">
        <v>74</v>
      </c>
      <c r="F959" t="s">
        <v>18799</v>
      </c>
      <c r="G959" t="s">
        <v>74</v>
      </c>
      <c r="H959" t="s">
        <v>74</v>
      </c>
      <c r="I959" t="s">
        <v>18800</v>
      </c>
      <c r="J959" t="s">
        <v>18801</v>
      </c>
      <c r="K959" t="s">
        <v>74</v>
      </c>
      <c r="L959" t="s">
        <v>74</v>
      </c>
      <c r="M959" t="s">
        <v>78</v>
      </c>
      <c r="N959" t="s">
        <v>79</v>
      </c>
      <c r="O959" t="s">
        <v>74</v>
      </c>
      <c r="P959" t="s">
        <v>74</v>
      </c>
      <c r="Q959" t="s">
        <v>74</v>
      </c>
      <c r="R959" t="s">
        <v>74</v>
      </c>
      <c r="S959" t="s">
        <v>74</v>
      </c>
      <c r="T959" t="s">
        <v>74</v>
      </c>
      <c r="U959" t="s">
        <v>18802</v>
      </c>
      <c r="V959" t="s">
        <v>18803</v>
      </c>
      <c r="W959" t="s">
        <v>18804</v>
      </c>
      <c r="X959" t="s">
        <v>15366</v>
      </c>
      <c r="Y959" t="s">
        <v>18805</v>
      </c>
      <c r="Z959" t="s">
        <v>18806</v>
      </c>
      <c r="AA959" t="s">
        <v>18807</v>
      </c>
      <c r="AB959" t="s">
        <v>18808</v>
      </c>
      <c r="AC959" t="s">
        <v>74</v>
      </c>
      <c r="AD959" t="s">
        <v>74</v>
      </c>
      <c r="AE959" t="s">
        <v>74</v>
      </c>
      <c r="AF959" t="s">
        <v>74</v>
      </c>
      <c r="AG959">
        <v>32</v>
      </c>
      <c r="AH959">
        <v>10</v>
      </c>
      <c r="AI959">
        <v>11</v>
      </c>
      <c r="AJ959">
        <v>0</v>
      </c>
      <c r="AK959">
        <v>15</v>
      </c>
      <c r="AL959" t="s">
        <v>736</v>
      </c>
      <c r="AM959" t="s">
        <v>737</v>
      </c>
      <c r="AN959" t="s">
        <v>738</v>
      </c>
      <c r="AO959" t="s">
        <v>18809</v>
      </c>
      <c r="AP959" t="s">
        <v>18810</v>
      </c>
      <c r="AQ959" t="s">
        <v>74</v>
      </c>
      <c r="AR959" t="s">
        <v>18811</v>
      </c>
      <c r="AS959" t="s">
        <v>18812</v>
      </c>
      <c r="AT959" t="s">
        <v>4318</v>
      </c>
      <c r="AU959">
        <v>2014</v>
      </c>
      <c r="AV959">
        <v>40</v>
      </c>
      <c r="AW959">
        <v>7</v>
      </c>
      <c r="AX959" t="s">
        <v>74</v>
      </c>
      <c r="AY959" t="s">
        <v>74</v>
      </c>
      <c r="AZ959" t="s">
        <v>74</v>
      </c>
      <c r="BA959" t="s">
        <v>74</v>
      </c>
      <c r="BB959">
        <v>2062</v>
      </c>
      <c r="BC959">
        <v>2071</v>
      </c>
      <c r="BD959" t="s">
        <v>74</v>
      </c>
      <c r="BE959" t="s">
        <v>18813</v>
      </c>
      <c r="BF959" t="str">
        <f>HYPERLINK("http://dx.doi.org/10.1016/j.compeleceng.2014.07.008","http://dx.doi.org/10.1016/j.compeleceng.2014.07.008")</f>
        <v>http://dx.doi.org/10.1016/j.compeleceng.2014.07.008</v>
      </c>
      <c r="BG959" t="s">
        <v>74</v>
      </c>
      <c r="BH959" t="s">
        <v>74</v>
      </c>
      <c r="BI959">
        <v>10</v>
      </c>
      <c r="BJ959" t="s">
        <v>18814</v>
      </c>
      <c r="BK959" t="s">
        <v>902</v>
      </c>
      <c r="BL959" t="s">
        <v>953</v>
      </c>
      <c r="BM959" t="s">
        <v>18815</v>
      </c>
      <c r="BN959" t="s">
        <v>74</v>
      </c>
      <c r="BO959" t="s">
        <v>74</v>
      </c>
      <c r="BP959" t="s">
        <v>74</v>
      </c>
      <c r="BQ959" t="s">
        <v>74</v>
      </c>
      <c r="BR959" t="s">
        <v>106</v>
      </c>
      <c r="BS959" t="s">
        <v>18816</v>
      </c>
      <c r="BT959" t="str">
        <f>HYPERLINK("https%3A%2F%2Fwww.webofscience.com%2Fwos%2Fwoscc%2Ffull-record%2FWOS:000345722000004","View Full Record in Web of Science")</f>
        <v>View Full Record in Web of Science</v>
      </c>
    </row>
    <row r="960" spans="1:72" x14ac:dyDescent="0.25">
      <c r="A960" t="s">
        <v>108</v>
      </c>
      <c r="B960" t="s">
        <v>18817</v>
      </c>
      <c r="C960" t="s">
        <v>74</v>
      </c>
      <c r="D960" t="s">
        <v>74</v>
      </c>
      <c r="E960" t="s">
        <v>322</v>
      </c>
      <c r="F960" t="s">
        <v>18818</v>
      </c>
      <c r="G960" t="s">
        <v>74</v>
      </c>
      <c r="H960" t="s">
        <v>74</v>
      </c>
      <c r="I960" t="s">
        <v>18819</v>
      </c>
      <c r="J960" t="s">
        <v>18820</v>
      </c>
      <c r="K960" t="s">
        <v>74</v>
      </c>
      <c r="L960" t="s">
        <v>74</v>
      </c>
      <c r="M960" t="s">
        <v>78</v>
      </c>
      <c r="N960" t="s">
        <v>115</v>
      </c>
      <c r="O960" t="s">
        <v>18821</v>
      </c>
      <c r="P960" t="s">
        <v>18822</v>
      </c>
      <c r="Q960" t="s">
        <v>18823</v>
      </c>
      <c r="R960" t="s">
        <v>1052</v>
      </c>
      <c r="S960" t="s">
        <v>74</v>
      </c>
      <c r="T960" t="s">
        <v>18824</v>
      </c>
      <c r="U960" t="s">
        <v>18825</v>
      </c>
      <c r="V960" t="s">
        <v>18826</v>
      </c>
      <c r="W960" t="s">
        <v>18827</v>
      </c>
      <c r="X960" t="s">
        <v>74</v>
      </c>
      <c r="Y960" t="s">
        <v>18828</v>
      </c>
      <c r="Z960" t="s">
        <v>18829</v>
      </c>
      <c r="AA960" t="s">
        <v>74</v>
      </c>
      <c r="AB960" t="s">
        <v>18830</v>
      </c>
      <c r="AC960" t="s">
        <v>74</v>
      </c>
      <c r="AD960" t="s">
        <v>74</v>
      </c>
      <c r="AE960" t="s">
        <v>74</v>
      </c>
      <c r="AF960" t="s">
        <v>74</v>
      </c>
      <c r="AG960">
        <v>42</v>
      </c>
      <c r="AH960">
        <v>20</v>
      </c>
      <c r="AI960">
        <v>22</v>
      </c>
      <c r="AJ960">
        <v>0</v>
      </c>
      <c r="AK960">
        <v>2</v>
      </c>
      <c r="AL960" t="s">
        <v>291</v>
      </c>
      <c r="AM960" t="s">
        <v>92</v>
      </c>
      <c r="AN960" t="s">
        <v>341</v>
      </c>
      <c r="AO960" t="s">
        <v>74</v>
      </c>
      <c r="AP960" t="s">
        <v>74</v>
      </c>
      <c r="AQ960" t="s">
        <v>18831</v>
      </c>
      <c r="AR960" t="s">
        <v>74</v>
      </c>
      <c r="AS960" t="s">
        <v>74</v>
      </c>
      <c r="AT960" t="s">
        <v>74</v>
      </c>
      <c r="AU960">
        <v>2023</v>
      </c>
      <c r="AV960" t="s">
        <v>74</v>
      </c>
      <c r="AW960" t="s">
        <v>74</v>
      </c>
      <c r="AX960" t="s">
        <v>74</v>
      </c>
      <c r="AY960" t="s">
        <v>74</v>
      </c>
      <c r="AZ960" t="s">
        <v>74</v>
      </c>
      <c r="BA960" t="s">
        <v>74</v>
      </c>
      <c r="BB960">
        <v>5249</v>
      </c>
      <c r="BC960">
        <v>5259</v>
      </c>
      <c r="BD960" t="s">
        <v>74</v>
      </c>
      <c r="BE960" t="s">
        <v>18832</v>
      </c>
      <c r="BF960" t="str">
        <f>HYPERLINK("http://dx.doi.org/10.1145/3580305.3599918","http://dx.doi.org/10.1145/3580305.3599918")</f>
        <v>http://dx.doi.org/10.1145/3580305.3599918</v>
      </c>
      <c r="BG960" t="s">
        <v>74</v>
      </c>
      <c r="BH960" t="s">
        <v>74</v>
      </c>
      <c r="BI960">
        <v>11</v>
      </c>
      <c r="BJ960" t="s">
        <v>2902</v>
      </c>
      <c r="BK960" t="s">
        <v>203</v>
      </c>
      <c r="BL960" t="s">
        <v>103</v>
      </c>
      <c r="BM960" t="s">
        <v>18833</v>
      </c>
      <c r="BN960" t="s">
        <v>74</v>
      </c>
      <c r="BO960" t="s">
        <v>372</v>
      </c>
      <c r="BP960" t="s">
        <v>74</v>
      </c>
      <c r="BQ960" t="s">
        <v>74</v>
      </c>
      <c r="BR960" t="s">
        <v>106</v>
      </c>
      <c r="BS960" t="s">
        <v>18834</v>
      </c>
      <c r="BT960" t="str">
        <f>HYPERLINK("https%3A%2F%2Fwww.webofscience.com%2Fwos%2Fwoscc%2Ffull-record%2FWOS:001118896305026","View Full Record in Web of Science")</f>
        <v>View Full Record in Web of Science</v>
      </c>
    </row>
    <row r="961" spans="1:72" x14ac:dyDescent="0.25">
      <c r="A961" t="s">
        <v>108</v>
      </c>
      <c r="B961" t="s">
        <v>18835</v>
      </c>
      <c r="C961" t="s">
        <v>74</v>
      </c>
      <c r="D961" t="s">
        <v>74</v>
      </c>
      <c r="E961" t="s">
        <v>291</v>
      </c>
      <c r="F961" t="s">
        <v>18836</v>
      </c>
      <c r="G961" t="s">
        <v>74</v>
      </c>
      <c r="H961" t="s">
        <v>74</v>
      </c>
      <c r="I961" t="s">
        <v>18837</v>
      </c>
      <c r="J961" t="s">
        <v>18838</v>
      </c>
      <c r="K961" t="s">
        <v>74</v>
      </c>
      <c r="L961" t="s">
        <v>74</v>
      </c>
      <c r="M961" t="s">
        <v>78</v>
      </c>
      <c r="N961" t="s">
        <v>115</v>
      </c>
      <c r="O961" t="s">
        <v>18839</v>
      </c>
      <c r="P961" t="s">
        <v>18840</v>
      </c>
      <c r="Q961" t="s">
        <v>3379</v>
      </c>
      <c r="R961" t="s">
        <v>520</v>
      </c>
      <c r="S961" t="s">
        <v>74</v>
      </c>
      <c r="T961" t="s">
        <v>18841</v>
      </c>
      <c r="U961" t="s">
        <v>74</v>
      </c>
      <c r="V961" t="s">
        <v>18842</v>
      </c>
      <c r="W961" t="s">
        <v>18843</v>
      </c>
      <c r="X961" t="s">
        <v>18844</v>
      </c>
      <c r="Y961" t="s">
        <v>18845</v>
      </c>
      <c r="Z961" t="s">
        <v>18846</v>
      </c>
      <c r="AA961" t="s">
        <v>18847</v>
      </c>
      <c r="AB961" t="s">
        <v>18848</v>
      </c>
      <c r="AC961" t="s">
        <v>18849</v>
      </c>
      <c r="AD961" t="s">
        <v>18850</v>
      </c>
      <c r="AE961" t="s">
        <v>18851</v>
      </c>
      <c r="AF961" t="s">
        <v>74</v>
      </c>
      <c r="AG961">
        <v>48</v>
      </c>
      <c r="AH961">
        <v>8</v>
      </c>
      <c r="AI961">
        <v>8</v>
      </c>
      <c r="AJ961">
        <v>0</v>
      </c>
      <c r="AK961">
        <v>4</v>
      </c>
      <c r="AL961" t="s">
        <v>291</v>
      </c>
      <c r="AM961" t="s">
        <v>92</v>
      </c>
      <c r="AN961" t="s">
        <v>341</v>
      </c>
      <c r="AO961" t="s">
        <v>74</v>
      </c>
      <c r="AP961" t="s">
        <v>74</v>
      </c>
      <c r="AQ961" t="s">
        <v>18852</v>
      </c>
      <c r="AR961" t="s">
        <v>74</v>
      </c>
      <c r="AS961" t="s">
        <v>74</v>
      </c>
      <c r="AT961" t="s">
        <v>74</v>
      </c>
      <c r="AU961">
        <v>2024</v>
      </c>
      <c r="AV961" t="s">
        <v>74</v>
      </c>
      <c r="AW961" t="s">
        <v>74</v>
      </c>
      <c r="AX961" t="s">
        <v>74</v>
      </c>
      <c r="AY961" t="s">
        <v>74</v>
      </c>
      <c r="AZ961" t="s">
        <v>74</v>
      </c>
      <c r="BA961" t="s">
        <v>74</v>
      </c>
      <c r="BB961">
        <v>1861</v>
      </c>
      <c r="BC961">
        <v>1871</v>
      </c>
      <c r="BD961" t="s">
        <v>74</v>
      </c>
      <c r="BE961" t="s">
        <v>18853</v>
      </c>
      <c r="BF961" t="str">
        <f>HYPERLINK("http://dx.doi.org/10.1145/3626772.3657736","http://dx.doi.org/10.1145/3626772.3657736")</f>
        <v>http://dx.doi.org/10.1145/3626772.3657736</v>
      </c>
      <c r="BG961" t="s">
        <v>74</v>
      </c>
      <c r="BH961" t="s">
        <v>74</v>
      </c>
      <c r="BI961">
        <v>11</v>
      </c>
      <c r="BJ961" t="s">
        <v>461</v>
      </c>
      <c r="BK961" t="s">
        <v>203</v>
      </c>
      <c r="BL961" t="s">
        <v>103</v>
      </c>
      <c r="BM961" t="s">
        <v>18854</v>
      </c>
      <c r="BN961" t="s">
        <v>74</v>
      </c>
      <c r="BO961" t="s">
        <v>346</v>
      </c>
      <c r="BP961" t="s">
        <v>74</v>
      </c>
      <c r="BQ961" t="s">
        <v>74</v>
      </c>
      <c r="BR961" t="s">
        <v>106</v>
      </c>
      <c r="BS961" t="s">
        <v>18855</v>
      </c>
      <c r="BT961" t="str">
        <f>HYPERLINK("https%3A%2F%2Fwww.webofscience.com%2Fwos%2Fwoscc%2Ffull-record%2FWOS:001273410001091","View Full Record in Web of Science")</f>
        <v>View Full Record in Web of Science</v>
      </c>
    </row>
    <row r="962" spans="1:72" x14ac:dyDescent="0.25">
      <c r="A962" t="s">
        <v>108</v>
      </c>
      <c r="B962" t="s">
        <v>18856</v>
      </c>
      <c r="C962" t="s">
        <v>74</v>
      </c>
      <c r="D962" t="s">
        <v>74</v>
      </c>
      <c r="E962" t="s">
        <v>465</v>
      </c>
      <c r="F962" t="s">
        <v>18857</v>
      </c>
      <c r="G962" t="s">
        <v>74</v>
      </c>
      <c r="H962" t="s">
        <v>74</v>
      </c>
      <c r="I962" t="s">
        <v>18858</v>
      </c>
      <c r="J962" t="s">
        <v>18859</v>
      </c>
      <c r="K962" t="s">
        <v>74</v>
      </c>
      <c r="L962" t="s">
        <v>74</v>
      </c>
      <c r="M962" t="s">
        <v>78</v>
      </c>
      <c r="N962" t="s">
        <v>115</v>
      </c>
      <c r="O962" t="s">
        <v>18860</v>
      </c>
      <c r="P962" t="s">
        <v>18861</v>
      </c>
      <c r="Q962" t="s">
        <v>18862</v>
      </c>
      <c r="R962" t="s">
        <v>18863</v>
      </c>
      <c r="S962" t="s">
        <v>74</v>
      </c>
      <c r="T962" t="s">
        <v>18864</v>
      </c>
      <c r="U962" t="s">
        <v>74</v>
      </c>
      <c r="V962" t="s">
        <v>18865</v>
      </c>
      <c r="W962" t="s">
        <v>18866</v>
      </c>
      <c r="X962" t="s">
        <v>18867</v>
      </c>
      <c r="Y962" t="s">
        <v>18868</v>
      </c>
      <c r="Z962" t="s">
        <v>18869</v>
      </c>
      <c r="AA962" t="s">
        <v>18870</v>
      </c>
      <c r="AB962" t="s">
        <v>18871</v>
      </c>
      <c r="AC962" t="s">
        <v>74</v>
      </c>
      <c r="AD962" t="s">
        <v>74</v>
      </c>
      <c r="AE962" t="s">
        <v>74</v>
      </c>
      <c r="AF962" t="s">
        <v>74</v>
      </c>
      <c r="AG962">
        <v>14</v>
      </c>
      <c r="AH962">
        <v>2</v>
      </c>
      <c r="AI962">
        <v>3</v>
      </c>
      <c r="AJ962">
        <v>0</v>
      </c>
      <c r="AK962">
        <v>9</v>
      </c>
      <c r="AL962" t="s">
        <v>465</v>
      </c>
      <c r="AM962" t="s">
        <v>92</v>
      </c>
      <c r="AN962" t="s">
        <v>480</v>
      </c>
      <c r="AO962" t="s">
        <v>74</v>
      </c>
      <c r="AP962" t="s">
        <v>74</v>
      </c>
      <c r="AQ962" t="s">
        <v>18872</v>
      </c>
      <c r="AR962" t="s">
        <v>74</v>
      </c>
      <c r="AS962" t="s">
        <v>74</v>
      </c>
      <c r="AT962" t="s">
        <v>74</v>
      </c>
      <c r="AU962">
        <v>2016</v>
      </c>
      <c r="AV962" t="s">
        <v>74</v>
      </c>
      <c r="AW962" t="s">
        <v>74</v>
      </c>
      <c r="AX962" t="s">
        <v>74</v>
      </c>
      <c r="AY962" t="s">
        <v>74</v>
      </c>
      <c r="AZ962" t="s">
        <v>74</v>
      </c>
      <c r="BA962" t="s">
        <v>74</v>
      </c>
      <c r="BB962">
        <v>188</v>
      </c>
      <c r="BC962">
        <v>197</v>
      </c>
      <c r="BD962" t="s">
        <v>74</v>
      </c>
      <c r="BE962" t="s">
        <v>18873</v>
      </c>
      <c r="BF962" t="str">
        <f>HYPERLINK("http://dx.doi.org/10.1109/IRI.2016.32","http://dx.doi.org/10.1109/IRI.2016.32")</f>
        <v>http://dx.doi.org/10.1109/IRI.2016.32</v>
      </c>
      <c r="BG962" t="s">
        <v>74</v>
      </c>
      <c r="BH962" t="s">
        <v>74</v>
      </c>
      <c r="BI962">
        <v>10</v>
      </c>
      <c r="BJ962" t="s">
        <v>972</v>
      </c>
      <c r="BK962" t="s">
        <v>203</v>
      </c>
      <c r="BL962" t="s">
        <v>953</v>
      </c>
      <c r="BM962" t="s">
        <v>18874</v>
      </c>
      <c r="BN962" t="s">
        <v>74</v>
      </c>
      <c r="BO962" t="s">
        <v>74</v>
      </c>
      <c r="BP962" t="s">
        <v>74</v>
      </c>
      <c r="BQ962" t="s">
        <v>74</v>
      </c>
      <c r="BR962" t="s">
        <v>106</v>
      </c>
      <c r="BS962" t="s">
        <v>18875</v>
      </c>
      <c r="BT962" t="str">
        <f>HYPERLINK("https%3A%2F%2Fwww.webofscience.com%2Fwos%2Fwoscc%2Ffull-record%2FWOS:000391397100023","View Full Record in Web of Science")</f>
        <v>View Full Record in Web of Science</v>
      </c>
    </row>
    <row r="963" spans="1:72" x14ac:dyDescent="0.25">
      <c r="A963" t="s">
        <v>108</v>
      </c>
      <c r="B963" t="s">
        <v>18876</v>
      </c>
      <c r="C963" t="s">
        <v>74</v>
      </c>
      <c r="D963" t="s">
        <v>1977</v>
      </c>
      <c r="E963" t="s">
        <v>74</v>
      </c>
      <c r="F963" t="s">
        <v>18877</v>
      </c>
      <c r="G963" t="s">
        <v>74</v>
      </c>
      <c r="H963" t="s">
        <v>74</v>
      </c>
      <c r="I963" t="s">
        <v>18878</v>
      </c>
      <c r="J963" t="s">
        <v>18879</v>
      </c>
      <c r="K963" t="s">
        <v>74</v>
      </c>
      <c r="L963" t="s">
        <v>74</v>
      </c>
      <c r="M963" t="s">
        <v>78</v>
      </c>
      <c r="N963" t="s">
        <v>115</v>
      </c>
      <c r="O963" t="s">
        <v>1981</v>
      </c>
      <c r="P963" t="s">
        <v>1982</v>
      </c>
      <c r="Q963" t="s">
        <v>1983</v>
      </c>
      <c r="R963" t="s">
        <v>1984</v>
      </c>
      <c r="S963" t="s">
        <v>74</v>
      </c>
      <c r="T963" t="s">
        <v>18880</v>
      </c>
      <c r="U963" t="s">
        <v>74</v>
      </c>
      <c r="V963" t="s">
        <v>18881</v>
      </c>
      <c r="W963" t="s">
        <v>18882</v>
      </c>
      <c r="X963" t="s">
        <v>13844</v>
      </c>
      <c r="Y963" t="s">
        <v>18883</v>
      </c>
      <c r="Z963" t="s">
        <v>18884</v>
      </c>
      <c r="AA963" t="s">
        <v>18885</v>
      </c>
      <c r="AB963" t="s">
        <v>18886</v>
      </c>
      <c r="AC963" t="s">
        <v>74</v>
      </c>
      <c r="AD963" t="s">
        <v>74</v>
      </c>
      <c r="AE963" t="s">
        <v>74</v>
      </c>
      <c r="AF963" t="s">
        <v>74</v>
      </c>
      <c r="AG963">
        <v>12</v>
      </c>
      <c r="AH963">
        <v>5</v>
      </c>
      <c r="AI963">
        <v>6</v>
      </c>
      <c r="AJ963">
        <v>0</v>
      </c>
      <c r="AK963">
        <v>4</v>
      </c>
      <c r="AL963" t="s">
        <v>465</v>
      </c>
      <c r="AM963" t="s">
        <v>92</v>
      </c>
      <c r="AN963" t="s">
        <v>480</v>
      </c>
      <c r="AO963" t="s">
        <v>74</v>
      </c>
      <c r="AP963" t="s">
        <v>74</v>
      </c>
      <c r="AQ963" t="s">
        <v>1988</v>
      </c>
      <c r="AR963" t="s">
        <v>74</v>
      </c>
      <c r="AS963" t="s">
        <v>74</v>
      </c>
      <c r="AT963" t="s">
        <v>74</v>
      </c>
      <c r="AU963">
        <v>2013</v>
      </c>
      <c r="AV963" t="s">
        <v>74</v>
      </c>
      <c r="AW963" t="s">
        <v>74</v>
      </c>
      <c r="AX963" t="s">
        <v>74</v>
      </c>
      <c r="AY963" t="s">
        <v>74</v>
      </c>
      <c r="AZ963" t="s">
        <v>74</v>
      </c>
      <c r="BA963" t="s">
        <v>74</v>
      </c>
      <c r="BB963">
        <v>5</v>
      </c>
      <c r="BC963">
        <v>8</v>
      </c>
      <c r="BD963" t="s">
        <v>74</v>
      </c>
      <c r="BE963" t="s">
        <v>18887</v>
      </c>
      <c r="BF963" t="str">
        <f>HYPERLINK("http://dx.doi.org/10.1109/WI-IAT.2013.140","http://dx.doi.org/10.1109/WI-IAT.2013.140")</f>
        <v>http://dx.doi.org/10.1109/WI-IAT.2013.140</v>
      </c>
      <c r="BG963" t="s">
        <v>74</v>
      </c>
      <c r="BH963" t="s">
        <v>74</v>
      </c>
      <c r="BI963">
        <v>4</v>
      </c>
      <c r="BJ963" t="s">
        <v>972</v>
      </c>
      <c r="BK963" t="s">
        <v>203</v>
      </c>
      <c r="BL963" t="s">
        <v>953</v>
      </c>
      <c r="BM963" t="s">
        <v>18888</v>
      </c>
      <c r="BN963" t="s">
        <v>74</v>
      </c>
      <c r="BO963" t="s">
        <v>74</v>
      </c>
      <c r="BP963" t="s">
        <v>74</v>
      </c>
      <c r="BQ963" t="s">
        <v>74</v>
      </c>
      <c r="BR963" t="s">
        <v>106</v>
      </c>
      <c r="BS963" t="s">
        <v>18889</v>
      </c>
      <c r="BT963" t="str">
        <f>HYPERLINK("https%3A%2F%2Fwww.webofscience.com%2Fwos%2Fwoscc%2Ffull-record%2FWOS:000331078300002","View Full Record in Web of Science")</f>
        <v>View Full Record in Web of Science</v>
      </c>
    </row>
    <row r="964" spans="1:72" x14ac:dyDescent="0.25">
      <c r="A964" t="s">
        <v>108</v>
      </c>
      <c r="B964" t="s">
        <v>18890</v>
      </c>
      <c r="C964" t="s">
        <v>74</v>
      </c>
      <c r="D964" t="s">
        <v>16935</v>
      </c>
      <c r="E964" t="s">
        <v>74</v>
      </c>
      <c r="F964" t="s">
        <v>18891</v>
      </c>
      <c r="G964" t="s">
        <v>74</v>
      </c>
      <c r="H964" t="s">
        <v>74</v>
      </c>
      <c r="I964" t="s">
        <v>18892</v>
      </c>
      <c r="J964" t="s">
        <v>16938</v>
      </c>
      <c r="K964" t="s">
        <v>6162</v>
      </c>
      <c r="L964" t="s">
        <v>74</v>
      </c>
      <c r="M964" t="s">
        <v>78</v>
      </c>
      <c r="N964" t="s">
        <v>115</v>
      </c>
      <c r="O964" t="s">
        <v>16939</v>
      </c>
      <c r="P964" t="s">
        <v>16940</v>
      </c>
      <c r="Q964" t="s">
        <v>2503</v>
      </c>
      <c r="R964" t="s">
        <v>16941</v>
      </c>
      <c r="S964" t="s">
        <v>74</v>
      </c>
      <c r="T964" t="s">
        <v>18893</v>
      </c>
      <c r="U964" t="s">
        <v>74</v>
      </c>
      <c r="V964" t="s">
        <v>18894</v>
      </c>
      <c r="W964" t="s">
        <v>18895</v>
      </c>
      <c r="X964" t="s">
        <v>18896</v>
      </c>
      <c r="Y964" t="s">
        <v>18897</v>
      </c>
      <c r="Z964" t="s">
        <v>18898</v>
      </c>
      <c r="AA964" t="s">
        <v>18899</v>
      </c>
      <c r="AB964" t="s">
        <v>74</v>
      </c>
      <c r="AC964" t="s">
        <v>18900</v>
      </c>
      <c r="AD964" t="s">
        <v>10082</v>
      </c>
      <c r="AE964" t="s">
        <v>18901</v>
      </c>
      <c r="AF964" t="s">
        <v>74</v>
      </c>
      <c r="AG964">
        <v>14</v>
      </c>
      <c r="AH964">
        <v>6</v>
      </c>
      <c r="AI964">
        <v>7</v>
      </c>
      <c r="AJ964">
        <v>0</v>
      </c>
      <c r="AK964">
        <v>3</v>
      </c>
      <c r="AL964" t="s">
        <v>465</v>
      </c>
      <c r="AM964" t="s">
        <v>92</v>
      </c>
      <c r="AN964" t="s">
        <v>480</v>
      </c>
      <c r="AO964" t="s">
        <v>6859</v>
      </c>
      <c r="AP964" t="s">
        <v>74</v>
      </c>
      <c r="AQ964" t="s">
        <v>16953</v>
      </c>
      <c r="AR964" t="s">
        <v>6861</v>
      </c>
      <c r="AS964" t="s">
        <v>74</v>
      </c>
      <c r="AT964" t="s">
        <v>74</v>
      </c>
      <c r="AU964">
        <v>2017</v>
      </c>
      <c r="AV964" t="s">
        <v>74</v>
      </c>
      <c r="AW964" t="s">
        <v>74</v>
      </c>
      <c r="AX964" t="s">
        <v>74</v>
      </c>
      <c r="AY964" t="s">
        <v>74</v>
      </c>
      <c r="AZ964" t="s">
        <v>74</v>
      </c>
      <c r="BA964" t="s">
        <v>74</v>
      </c>
      <c r="BB964">
        <v>4429</v>
      </c>
      <c r="BC964">
        <v>4434</v>
      </c>
      <c r="BD964" t="s">
        <v>74</v>
      </c>
      <c r="BE964" t="s">
        <v>74</v>
      </c>
      <c r="BF964" t="s">
        <v>74</v>
      </c>
      <c r="BG964" t="s">
        <v>74</v>
      </c>
      <c r="BH964" t="s">
        <v>74</v>
      </c>
      <c r="BI964">
        <v>6</v>
      </c>
      <c r="BJ964" t="s">
        <v>202</v>
      </c>
      <c r="BK964" t="s">
        <v>203</v>
      </c>
      <c r="BL964" t="s">
        <v>103</v>
      </c>
      <c r="BM964" t="s">
        <v>16954</v>
      </c>
      <c r="BN964" t="s">
        <v>74</v>
      </c>
      <c r="BO964" t="s">
        <v>74</v>
      </c>
      <c r="BP964" t="s">
        <v>74</v>
      </c>
      <c r="BQ964" t="s">
        <v>74</v>
      </c>
      <c r="BR964" t="s">
        <v>106</v>
      </c>
      <c r="BS964" t="s">
        <v>18902</v>
      </c>
      <c r="BT964" t="str">
        <f>HYPERLINK("https%3A%2F%2Fwww.webofscience.com%2Fwos%2Fwoscc%2Ffull-record%2FWOS:000428073704062","View Full Record in Web of Science")</f>
        <v>View Full Record in Web of Science</v>
      </c>
    </row>
    <row r="965" spans="1:72" x14ac:dyDescent="0.25">
      <c r="A965" t="s">
        <v>108</v>
      </c>
      <c r="B965" t="s">
        <v>18903</v>
      </c>
      <c r="C965" t="s">
        <v>74</v>
      </c>
      <c r="D965" t="s">
        <v>18904</v>
      </c>
      <c r="E965" t="s">
        <v>74</v>
      </c>
      <c r="F965" t="s">
        <v>18905</v>
      </c>
      <c r="G965" t="s">
        <v>74</v>
      </c>
      <c r="H965" t="s">
        <v>74</v>
      </c>
      <c r="I965" t="s">
        <v>18906</v>
      </c>
      <c r="J965" t="s">
        <v>18907</v>
      </c>
      <c r="K965" t="s">
        <v>18908</v>
      </c>
      <c r="L965" t="s">
        <v>74</v>
      </c>
      <c r="M965" t="s">
        <v>78</v>
      </c>
      <c r="N965" t="s">
        <v>115</v>
      </c>
      <c r="O965" t="s">
        <v>18909</v>
      </c>
      <c r="P965" t="s">
        <v>18910</v>
      </c>
      <c r="Q965" t="s">
        <v>6002</v>
      </c>
      <c r="R965" t="s">
        <v>18911</v>
      </c>
      <c r="S965" t="s">
        <v>74</v>
      </c>
      <c r="T965" t="s">
        <v>18912</v>
      </c>
      <c r="U965" t="s">
        <v>74</v>
      </c>
      <c r="V965" t="s">
        <v>18913</v>
      </c>
      <c r="W965" t="s">
        <v>18914</v>
      </c>
      <c r="X965" t="s">
        <v>18915</v>
      </c>
      <c r="Y965" t="s">
        <v>18916</v>
      </c>
      <c r="Z965" t="s">
        <v>18917</v>
      </c>
      <c r="AA965" t="s">
        <v>18918</v>
      </c>
      <c r="AB965" t="s">
        <v>74</v>
      </c>
      <c r="AC965" t="s">
        <v>74</v>
      </c>
      <c r="AD965" t="s">
        <v>74</v>
      </c>
      <c r="AE965" t="s">
        <v>74</v>
      </c>
      <c r="AF965" t="s">
        <v>74</v>
      </c>
      <c r="AG965">
        <v>6</v>
      </c>
      <c r="AH965">
        <v>0</v>
      </c>
      <c r="AI965">
        <v>0</v>
      </c>
      <c r="AJ965">
        <v>0</v>
      </c>
      <c r="AK965">
        <v>2</v>
      </c>
      <c r="AL965" t="s">
        <v>2605</v>
      </c>
      <c r="AM965" t="s">
        <v>2606</v>
      </c>
      <c r="AN965" t="s">
        <v>2607</v>
      </c>
      <c r="AO965" t="s">
        <v>18919</v>
      </c>
      <c r="AP965" t="s">
        <v>74</v>
      </c>
      <c r="AQ965" t="s">
        <v>18920</v>
      </c>
      <c r="AR965" t="s">
        <v>18921</v>
      </c>
      <c r="AS965" t="s">
        <v>74</v>
      </c>
      <c r="AT965" t="s">
        <v>74</v>
      </c>
      <c r="AU965">
        <v>2016</v>
      </c>
      <c r="AV965">
        <v>88</v>
      </c>
      <c r="AW965" t="s">
        <v>74</v>
      </c>
      <c r="AX965" t="s">
        <v>74</v>
      </c>
      <c r="AY965" t="s">
        <v>74</v>
      </c>
      <c r="AZ965" t="s">
        <v>74</v>
      </c>
      <c r="BA965" t="s">
        <v>74</v>
      </c>
      <c r="BB965">
        <v>1436</v>
      </c>
      <c r="BC965">
        <v>1439</v>
      </c>
      <c r="BD965" t="s">
        <v>74</v>
      </c>
      <c r="BE965" t="s">
        <v>74</v>
      </c>
      <c r="BF965" t="s">
        <v>74</v>
      </c>
      <c r="BG965" t="s">
        <v>74</v>
      </c>
      <c r="BH965" t="s">
        <v>74</v>
      </c>
      <c r="BI965">
        <v>4</v>
      </c>
      <c r="BJ965" t="s">
        <v>18922</v>
      </c>
      <c r="BK965" t="s">
        <v>203</v>
      </c>
      <c r="BL965" t="s">
        <v>18923</v>
      </c>
      <c r="BM965" t="s">
        <v>18924</v>
      </c>
      <c r="BN965" t="s">
        <v>74</v>
      </c>
      <c r="BO965" t="s">
        <v>74</v>
      </c>
      <c r="BP965" t="s">
        <v>74</v>
      </c>
      <c r="BQ965" t="s">
        <v>74</v>
      </c>
      <c r="BR965" t="s">
        <v>106</v>
      </c>
      <c r="BS965" t="s">
        <v>18925</v>
      </c>
      <c r="BT965" t="str">
        <f>HYPERLINK("https%3A%2F%2Fwww.webofscience.com%2Fwos%2Fwoscc%2Ffull-record%2FWOS:000390720000293","View Full Record in Web of Science")</f>
        <v>View Full Record in Web of Science</v>
      </c>
    </row>
    <row r="966" spans="1:72" x14ac:dyDescent="0.25">
      <c r="A966" t="s">
        <v>108</v>
      </c>
      <c r="B966" t="s">
        <v>18926</v>
      </c>
      <c r="C966" t="s">
        <v>74</v>
      </c>
      <c r="D966" t="s">
        <v>74</v>
      </c>
      <c r="E966" t="s">
        <v>3191</v>
      </c>
      <c r="F966" t="s">
        <v>18927</v>
      </c>
      <c r="G966" t="s">
        <v>74</v>
      </c>
      <c r="H966" t="s">
        <v>74</v>
      </c>
      <c r="I966" t="s">
        <v>18928</v>
      </c>
      <c r="J966" t="s">
        <v>18929</v>
      </c>
      <c r="K966" t="s">
        <v>1509</v>
      </c>
      <c r="L966" t="s">
        <v>74</v>
      </c>
      <c r="M966" t="s">
        <v>78</v>
      </c>
      <c r="N966" t="s">
        <v>115</v>
      </c>
      <c r="O966" t="s">
        <v>18930</v>
      </c>
      <c r="P966" t="s">
        <v>18931</v>
      </c>
      <c r="Q966" t="s">
        <v>4669</v>
      </c>
      <c r="R966" t="s">
        <v>74</v>
      </c>
      <c r="S966" t="s">
        <v>74</v>
      </c>
      <c r="T966" t="s">
        <v>74</v>
      </c>
      <c r="U966" t="s">
        <v>17144</v>
      </c>
      <c r="V966" t="s">
        <v>18932</v>
      </c>
      <c r="W966" t="s">
        <v>18933</v>
      </c>
      <c r="X966" t="s">
        <v>18934</v>
      </c>
      <c r="Y966" t="s">
        <v>18935</v>
      </c>
      <c r="Z966" t="s">
        <v>18936</v>
      </c>
      <c r="AA966" t="s">
        <v>74</v>
      </c>
      <c r="AB966" t="s">
        <v>18937</v>
      </c>
      <c r="AC966" t="s">
        <v>74</v>
      </c>
      <c r="AD966" t="s">
        <v>74</v>
      </c>
      <c r="AE966" t="s">
        <v>74</v>
      </c>
      <c r="AF966" t="s">
        <v>74</v>
      </c>
      <c r="AG966">
        <v>17</v>
      </c>
      <c r="AH966">
        <v>2</v>
      </c>
      <c r="AI966">
        <v>3</v>
      </c>
      <c r="AJ966">
        <v>0</v>
      </c>
      <c r="AK966">
        <v>8</v>
      </c>
      <c r="AL966" t="s">
        <v>1518</v>
      </c>
      <c r="AM966" t="s">
        <v>1519</v>
      </c>
      <c r="AN966" t="s">
        <v>1520</v>
      </c>
      <c r="AO966" t="s">
        <v>1521</v>
      </c>
      <c r="AP966" t="s">
        <v>1522</v>
      </c>
      <c r="AQ966" t="s">
        <v>74</v>
      </c>
      <c r="AR966" t="s">
        <v>1523</v>
      </c>
      <c r="AS966" t="s">
        <v>74</v>
      </c>
      <c r="AT966" t="s">
        <v>74</v>
      </c>
      <c r="AU966">
        <v>2021</v>
      </c>
      <c r="AV966">
        <v>1806</v>
      </c>
      <c r="AW966" t="s">
        <v>74</v>
      </c>
      <c r="AX966" t="s">
        <v>74</v>
      </c>
      <c r="AY966" t="s">
        <v>74</v>
      </c>
      <c r="AZ966" t="s">
        <v>74</v>
      </c>
      <c r="BA966" t="s">
        <v>74</v>
      </c>
      <c r="BB966" t="s">
        <v>74</v>
      </c>
      <c r="BC966" t="s">
        <v>74</v>
      </c>
      <c r="BD966">
        <v>12178</v>
      </c>
      <c r="BE966" t="s">
        <v>18938</v>
      </c>
      <c r="BF966" t="str">
        <f>HYPERLINK("http://dx.doi.org/10.1088/1742-6596/1806/1/012178","http://dx.doi.org/10.1088/1742-6596/1806/1/012178")</f>
        <v>http://dx.doi.org/10.1088/1742-6596/1806/1/012178</v>
      </c>
      <c r="BG966" t="s">
        <v>74</v>
      </c>
      <c r="BH966" t="s">
        <v>74</v>
      </c>
      <c r="BI966">
        <v>6</v>
      </c>
      <c r="BJ966" t="s">
        <v>2397</v>
      </c>
      <c r="BK966" t="s">
        <v>203</v>
      </c>
      <c r="BL966" t="s">
        <v>318</v>
      </c>
      <c r="BM966" t="s">
        <v>18939</v>
      </c>
      <c r="BN966" t="s">
        <v>74</v>
      </c>
      <c r="BO966" t="s">
        <v>372</v>
      </c>
      <c r="BP966" t="s">
        <v>74</v>
      </c>
      <c r="BQ966" t="s">
        <v>74</v>
      </c>
      <c r="BR966" t="s">
        <v>106</v>
      </c>
      <c r="BS966" t="s">
        <v>18940</v>
      </c>
      <c r="BT966" t="str">
        <f>HYPERLINK("https%3A%2F%2Fwww.webofscience.com%2Fwos%2Fwoscc%2Ffull-record%2FWOS:000664182600177","View Full Record in Web of Science")</f>
        <v>View Full Record in Web of Science</v>
      </c>
    </row>
    <row r="967" spans="1:72" x14ac:dyDescent="0.25">
      <c r="A967" t="s">
        <v>108</v>
      </c>
      <c r="B967" t="s">
        <v>18941</v>
      </c>
      <c r="C967" t="s">
        <v>74</v>
      </c>
      <c r="D967" t="s">
        <v>18942</v>
      </c>
      <c r="E967" t="s">
        <v>74</v>
      </c>
      <c r="F967" t="s">
        <v>18943</v>
      </c>
      <c r="G967" t="s">
        <v>74</v>
      </c>
      <c r="H967" t="s">
        <v>74</v>
      </c>
      <c r="I967" t="s">
        <v>18944</v>
      </c>
      <c r="J967" t="s">
        <v>18945</v>
      </c>
      <c r="K967" t="s">
        <v>16158</v>
      </c>
      <c r="L967" t="s">
        <v>74</v>
      </c>
      <c r="M967" t="s">
        <v>78</v>
      </c>
      <c r="N967" t="s">
        <v>115</v>
      </c>
      <c r="O967" t="s">
        <v>18946</v>
      </c>
      <c r="P967" t="s">
        <v>18947</v>
      </c>
      <c r="Q967" t="s">
        <v>4622</v>
      </c>
      <c r="R967" t="s">
        <v>18948</v>
      </c>
      <c r="S967" t="s">
        <v>4624</v>
      </c>
      <c r="T967" t="s">
        <v>74</v>
      </c>
      <c r="U967" t="s">
        <v>74</v>
      </c>
      <c r="V967" t="s">
        <v>18949</v>
      </c>
      <c r="W967" t="s">
        <v>18950</v>
      </c>
      <c r="X967" t="s">
        <v>18951</v>
      </c>
      <c r="Y967" t="s">
        <v>18952</v>
      </c>
      <c r="Z967" t="s">
        <v>74</v>
      </c>
      <c r="AA967" t="s">
        <v>74</v>
      </c>
      <c r="AB967" t="s">
        <v>74</v>
      </c>
      <c r="AC967" t="s">
        <v>74</v>
      </c>
      <c r="AD967" t="s">
        <v>74</v>
      </c>
      <c r="AE967" t="s">
        <v>74</v>
      </c>
      <c r="AF967" t="s">
        <v>74</v>
      </c>
      <c r="AG967">
        <v>1</v>
      </c>
      <c r="AH967">
        <v>0</v>
      </c>
      <c r="AI967">
        <v>0</v>
      </c>
      <c r="AJ967">
        <v>0</v>
      </c>
      <c r="AK967">
        <v>1</v>
      </c>
      <c r="AL967" t="s">
        <v>16167</v>
      </c>
      <c r="AM967" t="s">
        <v>8511</v>
      </c>
      <c r="AN967" t="s">
        <v>16168</v>
      </c>
      <c r="AO967" t="s">
        <v>74</v>
      </c>
      <c r="AP967" t="s">
        <v>74</v>
      </c>
      <c r="AQ967" t="s">
        <v>18953</v>
      </c>
      <c r="AR967" t="s">
        <v>16170</v>
      </c>
      <c r="AS967" t="s">
        <v>74</v>
      </c>
      <c r="AT967" t="s">
        <v>74</v>
      </c>
      <c r="AU967">
        <v>2014</v>
      </c>
      <c r="AV967">
        <v>483</v>
      </c>
      <c r="AW967" t="s">
        <v>74</v>
      </c>
      <c r="AX967" t="s">
        <v>74</v>
      </c>
      <c r="AY967" t="s">
        <v>74</v>
      </c>
      <c r="AZ967" t="s">
        <v>74</v>
      </c>
      <c r="BA967" t="s">
        <v>74</v>
      </c>
      <c r="BB967">
        <v>173</v>
      </c>
      <c r="BC967">
        <v>185</v>
      </c>
      <c r="BD967" t="s">
        <v>74</v>
      </c>
      <c r="BE967" t="s">
        <v>74</v>
      </c>
      <c r="BF967" t="s">
        <v>74</v>
      </c>
      <c r="BG967" t="s">
        <v>74</v>
      </c>
      <c r="BH967" t="s">
        <v>74</v>
      </c>
      <c r="BI967">
        <v>13</v>
      </c>
      <c r="BJ967" t="s">
        <v>18954</v>
      </c>
      <c r="BK967" t="s">
        <v>138</v>
      </c>
      <c r="BL967" t="s">
        <v>18955</v>
      </c>
      <c r="BM967" t="s">
        <v>18956</v>
      </c>
      <c r="BN967" t="s">
        <v>74</v>
      </c>
      <c r="BO967" t="s">
        <v>74</v>
      </c>
      <c r="BP967" t="s">
        <v>74</v>
      </c>
      <c r="BQ967" t="s">
        <v>74</v>
      </c>
      <c r="BR967" t="s">
        <v>106</v>
      </c>
      <c r="BS967" t="s">
        <v>18957</v>
      </c>
      <c r="BT967" t="str">
        <f>HYPERLINK("https%3A%2F%2Fwww.webofscience.com%2Fwos%2Fwoscc%2Ffull-record%2FWOS:000376047500023","View Full Record in Web of Science")</f>
        <v>View Full Record in Web of Science</v>
      </c>
    </row>
    <row r="968" spans="1:72" x14ac:dyDescent="0.25">
      <c r="A968" t="s">
        <v>72</v>
      </c>
      <c r="B968" t="s">
        <v>18958</v>
      </c>
      <c r="C968" t="s">
        <v>74</v>
      </c>
      <c r="D968" t="s">
        <v>74</v>
      </c>
      <c r="E968" t="s">
        <v>74</v>
      </c>
      <c r="F968" t="s">
        <v>18959</v>
      </c>
      <c r="G968" t="s">
        <v>74</v>
      </c>
      <c r="H968" t="s">
        <v>74</v>
      </c>
      <c r="I968" t="s">
        <v>18960</v>
      </c>
      <c r="J968" t="s">
        <v>18961</v>
      </c>
      <c r="K968" t="s">
        <v>74</v>
      </c>
      <c r="L968" t="s">
        <v>74</v>
      </c>
      <c r="M968" t="s">
        <v>78</v>
      </c>
      <c r="N968" t="s">
        <v>79</v>
      </c>
      <c r="O968" t="s">
        <v>74</v>
      </c>
      <c r="P968" t="s">
        <v>74</v>
      </c>
      <c r="Q968" t="s">
        <v>74</v>
      </c>
      <c r="R968" t="s">
        <v>74</v>
      </c>
      <c r="S968" t="s">
        <v>74</v>
      </c>
      <c r="T968" t="s">
        <v>18962</v>
      </c>
      <c r="U968" t="s">
        <v>74</v>
      </c>
      <c r="V968" t="s">
        <v>18963</v>
      </c>
      <c r="W968" t="s">
        <v>18964</v>
      </c>
      <c r="X968" t="s">
        <v>74</v>
      </c>
      <c r="Y968" t="s">
        <v>18965</v>
      </c>
      <c r="Z968" t="s">
        <v>18966</v>
      </c>
      <c r="AA968" t="s">
        <v>74</v>
      </c>
      <c r="AB968" t="s">
        <v>74</v>
      </c>
      <c r="AC968" t="s">
        <v>74</v>
      </c>
      <c r="AD968" t="s">
        <v>74</v>
      </c>
      <c r="AE968" t="s">
        <v>74</v>
      </c>
      <c r="AF968" t="s">
        <v>74</v>
      </c>
      <c r="AG968">
        <v>5</v>
      </c>
      <c r="AH968">
        <v>1</v>
      </c>
      <c r="AI968">
        <v>3</v>
      </c>
      <c r="AJ968">
        <v>2</v>
      </c>
      <c r="AK968">
        <v>29</v>
      </c>
      <c r="AL968" t="s">
        <v>310</v>
      </c>
      <c r="AM968" t="s">
        <v>311</v>
      </c>
      <c r="AN968" t="s">
        <v>312</v>
      </c>
      <c r="AO968" t="s">
        <v>18967</v>
      </c>
      <c r="AP968" t="s">
        <v>18968</v>
      </c>
      <c r="AQ968" t="s">
        <v>74</v>
      </c>
      <c r="AR968" t="s">
        <v>18969</v>
      </c>
      <c r="AS968" t="s">
        <v>18970</v>
      </c>
      <c r="AT968" t="s">
        <v>74</v>
      </c>
      <c r="AU968">
        <v>2010</v>
      </c>
      <c r="AV968">
        <v>47</v>
      </c>
      <c r="AW968">
        <v>1</v>
      </c>
      <c r="AX968" t="s">
        <v>74</v>
      </c>
      <c r="AY968" t="s">
        <v>74</v>
      </c>
      <c r="AZ968" t="s">
        <v>74</v>
      </c>
      <c r="BA968" t="s">
        <v>74</v>
      </c>
      <c r="BB968">
        <v>8</v>
      </c>
      <c r="BC968">
        <v>14</v>
      </c>
      <c r="BD968" t="s">
        <v>74</v>
      </c>
      <c r="BE968" t="s">
        <v>18971</v>
      </c>
      <c r="BF968" t="str">
        <f>HYPERLINK("http://dx.doi.org/10.1080/00368120903280735","http://dx.doi.org/10.1080/00368120903280735")</f>
        <v>http://dx.doi.org/10.1080/00368120903280735</v>
      </c>
      <c r="BG968" t="s">
        <v>74</v>
      </c>
      <c r="BH968" t="s">
        <v>74</v>
      </c>
      <c r="BI968">
        <v>7</v>
      </c>
      <c r="BJ968" t="s">
        <v>318</v>
      </c>
      <c r="BK968" t="s">
        <v>102</v>
      </c>
      <c r="BL968" t="s">
        <v>318</v>
      </c>
      <c r="BM968" t="s">
        <v>18972</v>
      </c>
      <c r="BN968" t="s">
        <v>74</v>
      </c>
      <c r="BO968" t="s">
        <v>74</v>
      </c>
      <c r="BP968" t="s">
        <v>74</v>
      </c>
      <c r="BQ968" t="s">
        <v>74</v>
      </c>
      <c r="BR968" t="s">
        <v>106</v>
      </c>
      <c r="BS968" t="s">
        <v>18973</v>
      </c>
      <c r="BT968" t="str">
        <f>HYPERLINK("https%3A%2F%2Fwww.webofscience.com%2Fwos%2Fwoscc%2Ffull-record%2FWOS:000218383500002","View Full Record in Web of Science")</f>
        <v>View Full Record in Web of Science</v>
      </c>
    </row>
    <row r="969" spans="1:72" x14ac:dyDescent="0.25">
      <c r="A969" t="s">
        <v>108</v>
      </c>
      <c r="B969" t="s">
        <v>18974</v>
      </c>
      <c r="C969" t="s">
        <v>74</v>
      </c>
      <c r="D969" t="s">
        <v>74</v>
      </c>
      <c r="E969" t="s">
        <v>322</v>
      </c>
      <c r="F969" t="s">
        <v>18975</v>
      </c>
      <c r="G969" t="s">
        <v>74</v>
      </c>
      <c r="H969" t="s">
        <v>74</v>
      </c>
      <c r="I969" t="s">
        <v>18976</v>
      </c>
      <c r="J969" t="s">
        <v>18977</v>
      </c>
      <c r="K969" t="s">
        <v>74</v>
      </c>
      <c r="L969" t="s">
        <v>74</v>
      </c>
      <c r="M969" t="s">
        <v>78</v>
      </c>
      <c r="N969" t="s">
        <v>115</v>
      </c>
      <c r="O969" t="s">
        <v>18978</v>
      </c>
      <c r="P969" t="s">
        <v>18979</v>
      </c>
      <c r="Q969" t="s">
        <v>18980</v>
      </c>
      <c r="R969" t="s">
        <v>18981</v>
      </c>
      <c r="S969" t="s">
        <v>74</v>
      </c>
      <c r="T969" t="s">
        <v>18982</v>
      </c>
      <c r="U969" t="s">
        <v>74</v>
      </c>
      <c r="V969" t="s">
        <v>18983</v>
      </c>
      <c r="W969" t="s">
        <v>18984</v>
      </c>
      <c r="X969" t="s">
        <v>18985</v>
      </c>
      <c r="Y969" t="s">
        <v>18986</v>
      </c>
      <c r="Z969" t="s">
        <v>18987</v>
      </c>
      <c r="AA969" t="s">
        <v>74</v>
      </c>
      <c r="AB969" t="s">
        <v>74</v>
      </c>
      <c r="AC969" t="s">
        <v>74</v>
      </c>
      <c r="AD969" t="s">
        <v>74</v>
      </c>
      <c r="AE969" t="s">
        <v>74</v>
      </c>
      <c r="AF969" t="s">
        <v>74</v>
      </c>
      <c r="AG969">
        <v>13</v>
      </c>
      <c r="AH969">
        <v>1</v>
      </c>
      <c r="AI969">
        <v>1</v>
      </c>
      <c r="AJ969">
        <v>0</v>
      </c>
      <c r="AK969">
        <v>3</v>
      </c>
      <c r="AL969" t="s">
        <v>291</v>
      </c>
      <c r="AM969" t="s">
        <v>92</v>
      </c>
      <c r="AN969" t="s">
        <v>292</v>
      </c>
      <c r="AO969" t="s">
        <v>74</v>
      </c>
      <c r="AP969" t="s">
        <v>74</v>
      </c>
      <c r="AQ969" t="s">
        <v>18988</v>
      </c>
      <c r="AR969" t="s">
        <v>74</v>
      </c>
      <c r="AS969" t="s">
        <v>74</v>
      </c>
      <c r="AT969" t="s">
        <v>74</v>
      </c>
      <c r="AU969">
        <v>2015</v>
      </c>
      <c r="AV969" t="s">
        <v>74</v>
      </c>
      <c r="AW969" t="s">
        <v>74</v>
      </c>
      <c r="AX969" t="s">
        <v>74</v>
      </c>
      <c r="AY969" t="s">
        <v>74</v>
      </c>
      <c r="AZ969" t="s">
        <v>74</v>
      </c>
      <c r="BA969" t="s">
        <v>74</v>
      </c>
      <c r="BB969">
        <v>863</v>
      </c>
      <c r="BC969">
        <v>866</v>
      </c>
      <c r="BD969" t="s">
        <v>74</v>
      </c>
      <c r="BE969" t="s">
        <v>18989</v>
      </c>
      <c r="BF969" t="str">
        <f>HYPERLINK("http://dx.doi.org/10.1145/2766462.2767797","http://dx.doi.org/10.1145/2766462.2767797")</f>
        <v>http://dx.doi.org/10.1145/2766462.2767797</v>
      </c>
      <c r="BG969" t="s">
        <v>74</v>
      </c>
      <c r="BH969" t="s">
        <v>74</v>
      </c>
      <c r="BI969">
        <v>4</v>
      </c>
      <c r="BJ969" t="s">
        <v>972</v>
      </c>
      <c r="BK969" t="s">
        <v>203</v>
      </c>
      <c r="BL969" t="s">
        <v>953</v>
      </c>
      <c r="BM969" t="s">
        <v>18990</v>
      </c>
      <c r="BN969" t="s">
        <v>74</v>
      </c>
      <c r="BO969" t="s">
        <v>74</v>
      </c>
      <c r="BP969" t="s">
        <v>74</v>
      </c>
      <c r="BQ969" t="s">
        <v>74</v>
      </c>
      <c r="BR969" t="s">
        <v>106</v>
      </c>
      <c r="BS969" t="s">
        <v>18991</v>
      </c>
      <c r="BT969" t="str">
        <f>HYPERLINK("https%3A%2F%2Fwww.webofscience.com%2Fwos%2Fwoscc%2Ffull-record%2FWOS:000382307300111","View Full Record in Web of Science")</f>
        <v>View Full Record in Web of Science</v>
      </c>
    </row>
    <row r="970" spans="1:72" x14ac:dyDescent="0.25">
      <c r="A970" t="s">
        <v>108</v>
      </c>
      <c r="B970" t="s">
        <v>18992</v>
      </c>
      <c r="C970" t="s">
        <v>74</v>
      </c>
      <c r="D970" t="s">
        <v>74</v>
      </c>
      <c r="E970" t="s">
        <v>322</v>
      </c>
      <c r="F970" t="s">
        <v>18993</v>
      </c>
      <c r="G970" t="s">
        <v>74</v>
      </c>
      <c r="H970" t="s">
        <v>74</v>
      </c>
      <c r="I970" t="s">
        <v>18994</v>
      </c>
      <c r="J970" t="s">
        <v>18995</v>
      </c>
      <c r="K970" t="s">
        <v>74</v>
      </c>
      <c r="L970" t="s">
        <v>74</v>
      </c>
      <c r="M970" t="s">
        <v>78</v>
      </c>
      <c r="N970" t="s">
        <v>115</v>
      </c>
      <c r="O970" t="s">
        <v>18996</v>
      </c>
      <c r="P970" t="s">
        <v>18997</v>
      </c>
      <c r="Q970" t="s">
        <v>18998</v>
      </c>
      <c r="R970" t="s">
        <v>322</v>
      </c>
      <c r="S970" t="s">
        <v>74</v>
      </c>
      <c r="T970" t="s">
        <v>18999</v>
      </c>
      <c r="U970" t="s">
        <v>74</v>
      </c>
      <c r="V970" t="s">
        <v>19000</v>
      </c>
      <c r="W970" t="s">
        <v>19001</v>
      </c>
      <c r="X970" t="s">
        <v>19002</v>
      </c>
      <c r="Y970" t="s">
        <v>19003</v>
      </c>
      <c r="Z970" t="s">
        <v>19004</v>
      </c>
      <c r="AA970" t="s">
        <v>19005</v>
      </c>
      <c r="AB970" t="s">
        <v>19006</v>
      </c>
      <c r="AC970" t="s">
        <v>19007</v>
      </c>
      <c r="AD970" t="s">
        <v>19007</v>
      </c>
      <c r="AE970" t="s">
        <v>19008</v>
      </c>
      <c r="AF970" t="s">
        <v>74</v>
      </c>
      <c r="AG970">
        <v>5</v>
      </c>
      <c r="AH970">
        <v>0</v>
      </c>
      <c r="AI970">
        <v>0</v>
      </c>
      <c r="AJ970">
        <v>0</v>
      </c>
      <c r="AK970">
        <v>5</v>
      </c>
      <c r="AL970" t="s">
        <v>291</v>
      </c>
      <c r="AM970" t="s">
        <v>92</v>
      </c>
      <c r="AN970" t="s">
        <v>292</v>
      </c>
      <c r="AO970" t="s">
        <v>74</v>
      </c>
      <c r="AP970" t="s">
        <v>74</v>
      </c>
      <c r="AQ970" t="s">
        <v>19009</v>
      </c>
      <c r="AR970" t="s">
        <v>74</v>
      </c>
      <c r="AS970" t="s">
        <v>74</v>
      </c>
      <c r="AT970" t="s">
        <v>74</v>
      </c>
      <c r="AU970">
        <v>2020</v>
      </c>
      <c r="AV970" t="s">
        <v>74</v>
      </c>
      <c r="AW970" t="s">
        <v>74</v>
      </c>
      <c r="AX970" t="s">
        <v>74</v>
      </c>
      <c r="AY970" t="s">
        <v>74</v>
      </c>
      <c r="AZ970" t="s">
        <v>74</v>
      </c>
      <c r="BA970" t="s">
        <v>74</v>
      </c>
      <c r="BB970">
        <v>57</v>
      </c>
      <c r="BC970">
        <v>58</v>
      </c>
      <c r="BD970" t="s">
        <v>74</v>
      </c>
      <c r="BE970" t="s">
        <v>19010</v>
      </c>
      <c r="BF970" t="str">
        <f>HYPERLINK("http://dx.doi.org/10.1145/3379336.3381454","http://dx.doi.org/10.1145/3379336.3381454")</f>
        <v>http://dx.doi.org/10.1145/3379336.3381454</v>
      </c>
      <c r="BG970" t="s">
        <v>74</v>
      </c>
      <c r="BH970" t="s">
        <v>74</v>
      </c>
      <c r="BI970">
        <v>2</v>
      </c>
      <c r="BJ970" t="s">
        <v>19011</v>
      </c>
      <c r="BK970" t="s">
        <v>203</v>
      </c>
      <c r="BL970" t="s">
        <v>103</v>
      </c>
      <c r="BM970" t="s">
        <v>19012</v>
      </c>
      <c r="BN970" t="s">
        <v>74</v>
      </c>
      <c r="BO970" t="s">
        <v>74</v>
      </c>
      <c r="BP970" t="s">
        <v>74</v>
      </c>
      <c r="BQ970" t="s">
        <v>74</v>
      </c>
      <c r="BR970" t="s">
        <v>106</v>
      </c>
      <c r="BS970" t="s">
        <v>19013</v>
      </c>
      <c r="BT970" t="str">
        <f>HYPERLINK("https%3A%2F%2Fwww.webofscience.com%2Fwos%2Fwoscc%2Ffull-record%2FWOS:000629492200029","View Full Record in Web of Science")</f>
        <v>View Full Record in Web of Science</v>
      </c>
    </row>
    <row r="971" spans="1:72" x14ac:dyDescent="0.25">
      <c r="A971" t="s">
        <v>108</v>
      </c>
      <c r="B971" t="s">
        <v>19014</v>
      </c>
      <c r="C971" t="s">
        <v>74</v>
      </c>
      <c r="D971" t="s">
        <v>19015</v>
      </c>
      <c r="E971" t="s">
        <v>74</v>
      </c>
      <c r="F971" t="s">
        <v>19016</v>
      </c>
      <c r="G971" t="s">
        <v>74</v>
      </c>
      <c r="H971" t="s">
        <v>74</v>
      </c>
      <c r="I971" t="s">
        <v>19017</v>
      </c>
      <c r="J971" t="s">
        <v>19018</v>
      </c>
      <c r="K971" t="s">
        <v>74</v>
      </c>
      <c r="L971" t="s">
        <v>74</v>
      </c>
      <c r="M971" t="s">
        <v>78</v>
      </c>
      <c r="N971" t="s">
        <v>115</v>
      </c>
      <c r="O971" t="s">
        <v>19019</v>
      </c>
      <c r="P971" t="s">
        <v>19020</v>
      </c>
      <c r="Q971" t="s">
        <v>10980</v>
      </c>
      <c r="R971" t="s">
        <v>19021</v>
      </c>
      <c r="S971" t="s">
        <v>74</v>
      </c>
      <c r="T971" t="s">
        <v>19022</v>
      </c>
      <c r="U971" t="s">
        <v>74</v>
      </c>
      <c r="V971" t="s">
        <v>19023</v>
      </c>
      <c r="W971" t="s">
        <v>19024</v>
      </c>
      <c r="X971" t="s">
        <v>19025</v>
      </c>
      <c r="Y971" t="s">
        <v>74</v>
      </c>
      <c r="Z971" t="s">
        <v>19026</v>
      </c>
      <c r="AA971" t="s">
        <v>19027</v>
      </c>
      <c r="AB971" t="s">
        <v>19028</v>
      </c>
      <c r="AC971" t="s">
        <v>19029</v>
      </c>
      <c r="AD971" t="s">
        <v>19030</v>
      </c>
      <c r="AE971" t="s">
        <v>19031</v>
      </c>
      <c r="AF971" t="s">
        <v>74</v>
      </c>
      <c r="AG971">
        <v>26</v>
      </c>
      <c r="AH971">
        <v>2</v>
      </c>
      <c r="AI971">
        <v>2</v>
      </c>
      <c r="AJ971">
        <v>0</v>
      </c>
      <c r="AK971">
        <v>6</v>
      </c>
      <c r="AL971" t="s">
        <v>947</v>
      </c>
      <c r="AM971" t="s">
        <v>948</v>
      </c>
      <c r="AN971" t="s">
        <v>949</v>
      </c>
      <c r="AO971" t="s">
        <v>74</v>
      </c>
      <c r="AP971" t="s">
        <v>74</v>
      </c>
      <c r="AQ971" t="s">
        <v>19032</v>
      </c>
      <c r="AR971" t="s">
        <v>74</v>
      </c>
      <c r="AS971" t="s">
        <v>74</v>
      </c>
      <c r="AT971" t="s">
        <v>74</v>
      </c>
      <c r="AU971">
        <v>2009</v>
      </c>
      <c r="AV971" t="s">
        <v>74</v>
      </c>
      <c r="AW971" t="s">
        <v>74</v>
      </c>
      <c r="AX971" t="s">
        <v>74</v>
      </c>
      <c r="AY971" t="s">
        <v>74</v>
      </c>
      <c r="AZ971" t="s">
        <v>74</v>
      </c>
      <c r="BA971" t="s">
        <v>74</v>
      </c>
      <c r="BB971">
        <v>1025</v>
      </c>
      <c r="BC971" t="s">
        <v>5459</v>
      </c>
      <c r="BD971" t="s">
        <v>74</v>
      </c>
      <c r="BE971" t="s">
        <v>19033</v>
      </c>
      <c r="BF971" t="str">
        <f>HYPERLINK("http://dx.doi.org/10.1109/ETCS.2009.492","http://dx.doi.org/10.1109/ETCS.2009.492")</f>
        <v>http://dx.doi.org/10.1109/ETCS.2009.492</v>
      </c>
      <c r="BG971" t="s">
        <v>74</v>
      </c>
      <c r="BH971" t="s">
        <v>74</v>
      </c>
      <c r="BI971">
        <v>3</v>
      </c>
      <c r="BJ971" t="s">
        <v>344</v>
      </c>
      <c r="BK971" t="s">
        <v>138</v>
      </c>
      <c r="BL971" t="s">
        <v>139</v>
      </c>
      <c r="BM971" t="s">
        <v>19034</v>
      </c>
      <c r="BN971" t="s">
        <v>74</v>
      </c>
      <c r="BO971" t="s">
        <v>74</v>
      </c>
      <c r="BP971" t="s">
        <v>74</v>
      </c>
      <c r="BQ971" t="s">
        <v>74</v>
      </c>
      <c r="BR971" t="s">
        <v>106</v>
      </c>
      <c r="BS971" t="s">
        <v>19035</v>
      </c>
      <c r="BT971" t="str">
        <f>HYPERLINK("https%3A%2F%2Fwww.webofscience.com%2Fwos%2Fwoscc%2Ffull-record%2FWOS:000268238400230","View Full Record in Web of Science")</f>
        <v>View Full Record in Web of Science</v>
      </c>
    </row>
    <row r="972" spans="1:72" x14ac:dyDescent="0.25">
      <c r="A972" t="s">
        <v>108</v>
      </c>
      <c r="B972" t="s">
        <v>19036</v>
      </c>
      <c r="C972" t="s">
        <v>74</v>
      </c>
      <c r="D972" t="s">
        <v>19037</v>
      </c>
      <c r="E972" t="s">
        <v>74</v>
      </c>
      <c r="F972" t="s">
        <v>19038</v>
      </c>
      <c r="G972" t="s">
        <v>74</v>
      </c>
      <c r="H972" t="s">
        <v>74</v>
      </c>
      <c r="I972" t="s">
        <v>19039</v>
      </c>
      <c r="J972" t="s">
        <v>19040</v>
      </c>
      <c r="K972" t="s">
        <v>74</v>
      </c>
      <c r="L972" t="s">
        <v>74</v>
      </c>
      <c r="M972" t="s">
        <v>78</v>
      </c>
      <c r="N972" t="s">
        <v>115</v>
      </c>
      <c r="O972" t="s">
        <v>19041</v>
      </c>
      <c r="P972" t="s">
        <v>19042</v>
      </c>
      <c r="Q972" t="s">
        <v>13839</v>
      </c>
      <c r="R972" t="s">
        <v>19043</v>
      </c>
      <c r="S972" t="s">
        <v>74</v>
      </c>
      <c r="T972" t="s">
        <v>19044</v>
      </c>
      <c r="U972" t="s">
        <v>74</v>
      </c>
      <c r="V972" t="s">
        <v>19045</v>
      </c>
      <c r="W972" t="s">
        <v>19046</v>
      </c>
      <c r="X972" t="s">
        <v>4232</v>
      </c>
      <c r="Y972" t="s">
        <v>74</v>
      </c>
      <c r="Z972" t="s">
        <v>74</v>
      </c>
      <c r="AA972" t="s">
        <v>19047</v>
      </c>
      <c r="AB972" t="s">
        <v>74</v>
      </c>
      <c r="AC972" t="s">
        <v>74</v>
      </c>
      <c r="AD972" t="s">
        <v>74</v>
      </c>
      <c r="AE972" t="s">
        <v>74</v>
      </c>
      <c r="AF972" t="s">
        <v>74</v>
      </c>
      <c r="AG972">
        <v>10</v>
      </c>
      <c r="AH972">
        <v>0</v>
      </c>
      <c r="AI972">
        <v>0</v>
      </c>
      <c r="AJ972">
        <v>0</v>
      </c>
      <c r="AK972">
        <v>1</v>
      </c>
      <c r="AL972" t="s">
        <v>947</v>
      </c>
      <c r="AM972" t="s">
        <v>948</v>
      </c>
      <c r="AN972" t="s">
        <v>949</v>
      </c>
      <c r="AO972" t="s">
        <v>74</v>
      </c>
      <c r="AP972" t="s">
        <v>74</v>
      </c>
      <c r="AQ972" t="s">
        <v>19048</v>
      </c>
      <c r="AR972" t="s">
        <v>74</v>
      </c>
      <c r="AS972" t="s">
        <v>74</v>
      </c>
      <c r="AT972" t="s">
        <v>74</v>
      </c>
      <c r="AU972">
        <v>2007</v>
      </c>
      <c r="AV972" t="s">
        <v>74</v>
      </c>
      <c r="AW972" t="s">
        <v>74</v>
      </c>
      <c r="AX972" t="s">
        <v>74</v>
      </c>
      <c r="AY972" t="s">
        <v>74</v>
      </c>
      <c r="AZ972" t="s">
        <v>74</v>
      </c>
      <c r="BA972" t="s">
        <v>74</v>
      </c>
      <c r="BB972">
        <v>618</v>
      </c>
      <c r="BC972">
        <v>623</v>
      </c>
      <c r="BD972" t="s">
        <v>74</v>
      </c>
      <c r="BE972" t="s">
        <v>74</v>
      </c>
      <c r="BF972" t="s">
        <v>74</v>
      </c>
      <c r="BG972" t="s">
        <v>74</v>
      </c>
      <c r="BH972" t="s">
        <v>74</v>
      </c>
      <c r="BI972">
        <v>6</v>
      </c>
      <c r="BJ972" t="s">
        <v>19049</v>
      </c>
      <c r="BK972" t="s">
        <v>138</v>
      </c>
      <c r="BL972" t="s">
        <v>19050</v>
      </c>
      <c r="BM972" t="s">
        <v>19051</v>
      </c>
      <c r="BN972" t="s">
        <v>74</v>
      </c>
      <c r="BO972" t="s">
        <v>74</v>
      </c>
      <c r="BP972" t="s">
        <v>74</v>
      </c>
      <c r="BQ972" t="s">
        <v>74</v>
      </c>
      <c r="BR972" t="s">
        <v>106</v>
      </c>
      <c r="BS972" t="s">
        <v>19052</v>
      </c>
      <c r="BT972" t="str">
        <f>HYPERLINK("https%3A%2F%2Fwww.webofscience.com%2Fwos%2Fwoscc%2Ffull-record%2FWOS:000254692200134","View Full Record in Web of Science")</f>
        <v>View Full Record in Web of Science</v>
      </c>
    </row>
    <row r="973" spans="1:72" x14ac:dyDescent="0.25">
      <c r="A973" t="s">
        <v>108</v>
      </c>
      <c r="B973" t="s">
        <v>19053</v>
      </c>
      <c r="C973" t="s">
        <v>74</v>
      </c>
      <c r="D973" t="s">
        <v>19054</v>
      </c>
      <c r="E973" t="s">
        <v>74</v>
      </c>
      <c r="F973" t="s">
        <v>19055</v>
      </c>
      <c r="G973" t="s">
        <v>74</v>
      </c>
      <c r="H973" t="s">
        <v>74</v>
      </c>
      <c r="I973" t="s">
        <v>19056</v>
      </c>
      <c r="J973" t="s">
        <v>19057</v>
      </c>
      <c r="K973" t="s">
        <v>74</v>
      </c>
      <c r="L973" t="s">
        <v>74</v>
      </c>
      <c r="M973" t="s">
        <v>78</v>
      </c>
      <c r="N973" t="s">
        <v>115</v>
      </c>
      <c r="O973" t="s">
        <v>5871</v>
      </c>
      <c r="P973" t="s">
        <v>19058</v>
      </c>
      <c r="Q973" t="s">
        <v>19059</v>
      </c>
      <c r="R973" t="s">
        <v>19060</v>
      </c>
      <c r="S973" t="s">
        <v>74</v>
      </c>
      <c r="T973" t="s">
        <v>74</v>
      </c>
      <c r="U973" t="s">
        <v>74</v>
      </c>
      <c r="V973" t="s">
        <v>19061</v>
      </c>
      <c r="W973" t="s">
        <v>19062</v>
      </c>
      <c r="X973" t="s">
        <v>19063</v>
      </c>
      <c r="Y973" t="s">
        <v>19064</v>
      </c>
      <c r="Z973" t="s">
        <v>19065</v>
      </c>
      <c r="AA973" t="s">
        <v>74</v>
      </c>
      <c r="AB973" t="s">
        <v>74</v>
      </c>
      <c r="AC973" t="s">
        <v>74</v>
      </c>
      <c r="AD973" t="s">
        <v>74</v>
      </c>
      <c r="AE973" t="s">
        <v>74</v>
      </c>
      <c r="AF973" t="s">
        <v>74</v>
      </c>
      <c r="AG973">
        <v>24</v>
      </c>
      <c r="AH973">
        <v>5</v>
      </c>
      <c r="AI973">
        <v>5</v>
      </c>
      <c r="AJ973">
        <v>0</v>
      </c>
      <c r="AK973">
        <v>2</v>
      </c>
      <c r="AL973" t="s">
        <v>465</v>
      </c>
      <c r="AM973" t="s">
        <v>92</v>
      </c>
      <c r="AN973" t="s">
        <v>480</v>
      </c>
      <c r="AO973" t="s">
        <v>74</v>
      </c>
      <c r="AP973" t="s">
        <v>74</v>
      </c>
      <c r="AQ973" t="s">
        <v>19066</v>
      </c>
      <c r="AR973" t="s">
        <v>74</v>
      </c>
      <c r="AS973" t="s">
        <v>74</v>
      </c>
      <c r="AT973" t="s">
        <v>74</v>
      </c>
      <c r="AU973">
        <v>2013</v>
      </c>
      <c r="AV973" t="s">
        <v>74</v>
      </c>
      <c r="AW973" t="s">
        <v>74</v>
      </c>
      <c r="AX973" t="s">
        <v>74</v>
      </c>
      <c r="AY973" t="s">
        <v>74</v>
      </c>
      <c r="AZ973" t="s">
        <v>74</v>
      </c>
      <c r="BA973" t="s">
        <v>74</v>
      </c>
      <c r="BB973">
        <v>690</v>
      </c>
      <c r="BC973">
        <v>697</v>
      </c>
      <c r="BD973" t="s">
        <v>74</v>
      </c>
      <c r="BE973" t="s">
        <v>74</v>
      </c>
      <c r="BF973" t="s">
        <v>74</v>
      </c>
      <c r="BG973" t="s">
        <v>74</v>
      </c>
      <c r="BH973" t="s">
        <v>74</v>
      </c>
      <c r="BI973">
        <v>8</v>
      </c>
      <c r="BJ973" t="s">
        <v>696</v>
      </c>
      <c r="BK973" t="s">
        <v>203</v>
      </c>
      <c r="BL973" t="s">
        <v>103</v>
      </c>
      <c r="BM973" t="s">
        <v>19067</v>
      </c>
      <c r="BN973" t="s">
        <v>74</v>
      </c>
      <c r="BO973" t="s">
        <v>74</v>
      </c>
      <c r="BP973" t="s">
        <v>74</v>
      </c>
      <c r="BQ973" t="s">
        <v>74</v>
      </c>
      <c r="BR973" t="s">
        <v>106</v>
      </c>
      <c r="BS973" t="s">
        <v>19068</v>
      </c>
      <c r="BT973" t="str">
        <f>HYPERLINK("https%3A%2F%2Fwww.webofscience.com%2Fwos%2Fwoscc%2Ffull-record%2FWOS:000353639700100","View Full Record in Web of Science")</f>
        <v>View Full Record in Web of Science</v>
      </c>
    </row>
    <row r="974" spans="1:72" x14ac:dyDescent="0.25">
      <c r="A974" t="s">
        <v>72</v>
      </c>
      <c r="B974" t="s">
        <v>19069</v>
      </c>
      <c r="C974" t="s">
        <v>74</v>
      </c>
      <c r="D974" t="s">
        <v>74</v>
      </c>
      <c r="E974" t="s">
        <v>74</v>
      </c>
      <c r="F974" t="s">
        <v>19070</v>
      </c>
      <c r="G974" t="s">
        <v>74</v>
      </c>
      <c r="H974" t="s">
        <v>74</v>
      </c>
      <c r="I974" t="s">
        <v>19071</v>
      </c>
      <c r="J974" t="s">
        <v>5801</v>
      </c>
      <c r="K974" t="s">
        <v>74</v>
      </c>
      <c r="L974" t="s">
        <v>74</v>
      </c>
      <c r="M974" t="s">
        <v>78</v>
      </c>
      <c r="N974" t="s">
        <v>79</v>
      </c>
      <c r="O974" t="s">
        <v>74</v>
      </c>
      <c r="P974" t="s">
        <v>74</v>
      </c>
      <c r="Q974" t="s">
        <v>74</v>
      </c>
      <c r="R974" t="s">
        <v>74</v>
      </c>
      <c r="S974" t="s">
        <v>74</v>
      </c>
      <c r="T974" t="s">
        <v>19072</v>
      </c>
      <c r="U974" t="s">
        <v>19073</v>
      </c>
      <c r="V974" t="s">
        <v>19074</v>
      </c>
      <c r="W974" t="s">
        <v>19075</v>
      </c>
      <c r="X974" t="s">
        <v>19076</v>
      </c>
      <c r="Y974" t="s">
        <v>19077</v>
      </c>
      <c r="Z974" t="s">
        <v>19078</v>
      </c>
      <c r="AA974" t="s">
        <v>19079</v>
      </c>
      <c r="AB974" t="s">
        <v>19080</v>
      </c>
      <c r="AC974" t="s">
        <v>74</v>
      </c>
      <c r="AD974" t="s">
        <v>74</v>
      </c>
      <c r="AE974" t="s">
        <v>74</v>
      </c>
      <c r="AF974" t="s">
        <v>74</v>
      </c>
      <c r="AG974">
        <v>35</v>
      </c>
      <c r="AH974">
        <v>22</v>
      </c>
      <c r="AI974">
        <v>25</v>
      </c>
      <c r="AJ974">
        <v>0</v>
      </c>
      <c r="AK974">
        <v>11</v>
      </c>
      <c r="AL974" t="s">
        <v>178</v>
      </c>
      <c r="AM974" t="s">
        <v>1005</v>
      </c>
      <c r="AN974" t="s">
        <v>1006</v>
      </c>
      <c r="AO974" t="s">
        <v>5808</v>
      </c>
      <c r="AP974" t="s">
        <v>5809</v>
      </c>
      <c r="AQ974" t="s">
        <v>74</v>
      </c>
      <c r="AR974" t="s">
        <v>5810</v>
      </c>
      <c r="AS974" t="s">
        <v>5811</v>
      </c>
      <c r="AT974" t="s">
        <v>223</v>
      </c>
      <c r="AU974">
        <v>2018</v>
      </c>
      <c r="AV974">
        <v>28</v>
      </c>
      <c r="AW974">
        <v>1</v>
      </c>
      <c r="AX974" t="s">
        <v>74</v>
      </c>
      <c r="AY974" t="s">
        <v>74</v>
      </c>
      <c r="AZ974" t="s">
        <v>74</v>
      </c>
      <c r="BA974" t="s">
        <v>74</v>
      </c>
      <c r="BB974">
        <v>67</v>
      </c>
      <c r="BC974">
        <v>83</v>
      </c>
      <c r="BD974" t="s">
        <v>74</v>
      </c>
      <c r="BE974" t="s">
        <v>19081</v>
      </c>
      <c r="BF974" t="str">
        <f>HYPERLINK("http://dx.doi.org/10.1007/s10798-016-9392-x","http://dx.doi.org/10.1007/s10798-016-9392-x")</f>
        <v>http://dx.doi.org/10.1007/s10798-016-9392-x</v>
      </c>
      <c r="BG974" t="s">
        <v>74</v>
      </c>
      <c r="BH974" t="s">
        <v>74</v>
      </c>
      <c r="BI974">
        <v>17</v>
      </c>
      <c r="BJ974" t="s">
        <v>5813</v>
      </c>
      <c r="BK974" t="s">
        <v>745</v>
      </c>
      <c r="BL974" t="s">
        <v>486</v>
      </c>
      <c r="BM974" t="s">
        <v>19082</v>
      </c>
      <c r="BN974" t="s">
        <v>74</v>
      </c>
      <c r="BO974" t="s">
        <v>1331</v>
      </c>
      <c r="BP974" t="s">
        <v>74</v>
      </c>
      <c r="BQ974" t="s">
        <v>74</v>
      </c>
      <c r="BR974" t="s">
        <v>106</v>
      </c>
      <c r="BS974" t="s">
        <v>19083</v>
      </c>
      <c r="BT974" t="str">
        <f>HYPERLINK("https%3A%2F%2Fwww.webofscience.com%2Fwos%2Fwoscc%2Ffull-record%2FWOS:000425323800004","View Full Record in Web of Science")</f>
        <v>View Full Record in Web of Science</v>
      </c>
    </row>
    <row r="975" spans="1:72" x14ac:dyDescent="0.25">
      <c r="A975" t="s">
        <v>72</v>
      </c>
      <c r="B975" t="s">
        <v>19084</v>
      </c>
      <c r="C975" t="s">
        <v>74</v>
      </c>
      <c r="D975" t="s">
        <v>74</v>
      </c>
      <c r="E975" t="s">
        <v>74</v>
      </c>
      <c r="F975" t="s">
        <v>19085</v>
      </c>
      <c r="G975" t="s">
        <v>74</v>
      </c>
      <c r="H975" t="s">
        <v>74</v>
      </c>
      <c r="I975" t="s">
        <v>19086</v>
      </c>
      <c r="J975" t="s">
        <v>6807</v>
      </c>
      <c r="K975" t="s">
        <v>74</v>
      </c>
      <c r="L975" t="s">
        <v>74</v>
      </c>
      <c r="M975" t="s">
        <v>78</v>
      </c>
      <c r="N975" t="s">
        <v>79</v>
      </c>
      <c r="O975" t="s">
        <v>74</v>
      </c>
      <c r="P975" t="s">
        <v>74</v>
      </c>
      <c r="Q975" t="s">
        <v>74</v>
      </c>
      <c r="R975" t="s">
        <v>74</v>
      </c>
      <c r="S975" t="s">
        <v>74</v>
      </c>
      <c r="T975" t="s">
        <v>19087</v>
      </c>
      <c r="U975" t="s">
        <v>74</v>
      </c>
      <c r="V975" t="s">
        <v>19088</v>
      </c>
      <c r="W975" t="s">
        <v>19089</v>
      </c>
      <c r="X975" t="s">
        <v>19090</v>
      </c>
      <c r="Y975" t="s">
        <v>19091</v>
      </c>
      <c r="Z975" t="s">
        <v>19092</v>
      </c>
      <c r="AA975" t="s">
        <v>19093</v>
      </c>
      <c r="AB975" t="s">
        <v>19094</v>
      </c>
      <c r="AC975" t="s">
        <v>74</v>
      </c>
      <c r="AD975" t="s">
        <v>74</v>
      </c>
      <c r="AE975" t="s">
        <v>74</v>
      </c>
      <c r="AF975" t="s">
        <v>74</v>
      </c>
      <c r="AG975">
        <v>25</v>
      </c>
      <c r="AH975">
        <v>2</v>
      </c>
      <c r="AI975">
        <v>2</v>
      </c>
      <c r="AJ975">
        <v>6</v>
      </c>
      <c r="AK975">
        <v>9</v>
      </c>
      <c r="AL975" t="s">
        <v>91</v>
      </c>
      <c r="AM975" t="s">
        <v>92</v>
      </c>
      <c r="AN975" t="s">
        <v>2307</v>
      </c>
      <c r="AO975" t="s">
        <v>6819</v>
      </c>
      <c r="AP975" t="s">
        <v>6820</v>
      </c>
      <c r="AQ975" t="s">
        <v>74</v>
      </c>
      <c r="AR975" t="s">
        <v>6821</v>
      </c>
      <c r="AS975" t="s">
        <v>6822</v>
      </c>
      <c r="AT975" t="s">
        <v>1278</v>
      </c>
      <c r="AU975">
        <v>2026</v>
      </c>
      <c r="AV975">
        <v>724</v>
      </c>
      <c r="AW975" t="s">
        <v>74</v>
      </c>
      <c r="AX975" t="s">
        <v>74</v>
      </c>
      <c r="AY975" t="s">
        <v>74</v>
      </c>
      <c r="AZ975" t="s">
        <v>74</v>
      </c>
      <c r="BA975" t="s">
        <v>74</v>
      </c>
      <c r="BB975" t="s">
        <v>74</v>
      </c>
      <c r="BC975" t="s">
        <v>74</v>
      </c>
      <c r="BD975">
        <v>122745</v>
      </c>
      <c r="BE975" t="s">
        <v>19095</v>
      </c>
      <c r="BF975" t="str">
        <f>HYPERLINK("http://dx.doi.org/10.1016/j.ins.2025.122745","http://dx.doi.org/10.1016/j.ins.2025.122745")</f>
        <v>http://dx.doi.org/10.1016/j.ins.2025.122745</v>
      </c>
      <c r="BG975" t="s">
        <v>74</v>
      </c>
      <c r="BH975" t="s">
        <v>19096</v>
      </c>
      <c r="BI975">
        <v>21</v>
      </c>
      <c r="BJ975" t="s">
        <v>852</v>
      </c>
      <c r="BK975" t="s">
        <v>902</v>
      </c>
      <c r="BL975" t="s">
        <v>103</v>
      </c>
      <c r="BM975" t="s">
        <v>19097</v>
      </c>
      <c r="BN975" t="s">
        <v>74</v>
      </c>
      <c r="BO975" t="s">
        <v>74</v>
      </c>
      <c r="BP975" t="s">
        <v>74</v>
      </c>
      <c r="BQ975" t="s">
        <v>74</v>
      </c>
      <c r="BR975" t="s">
        <v>106</v>
      </c>
      <c r="BS975" t="s">
        <v>19098</v>
      </c>
      <c r="BT975" t="str">
        <f>HYPERLINK("https%3A%2F%2Fwww.webofscience.com%2Fwos%2Fwoscc%2Ffull-record%2FWOS:001590405400002","View Full Record in Web of Science")</f>
        <v>View Full Record in Web of Science</v>
      </c>
    </row>
    <row r="976" spans="1:72" x14ac:dyDescent="0.25">
      <c r="A976" t="s">
        <v>72</v>
      </c>
      <c r="B976" t="s">
        <v>19099</v>
      </c>
      <c r="C976" t="s">
        <v>74</v>
      </c>
      <c r="D976" t="s">
        <v>74</v>
      </c>
      <c r="E976" t="s">
        <v>74</v>
      </c>
      <c r="F976" t="s">
        <v>19100</v>
      </c>
      <c r="G976" t="s">
        <v>74</v>
      </c>
      <c r="H976" t="s">
        <v>74</v>
      </c>
      <c r="I976" t="s">
        <v>19101</v>
      </c>
      <c r="J976" t="s">
        <v>19102</v>
      </c>
      <c r="K976" t="s">
        <v>74</v>
      </c>
      <c r="L976" t="s">
        <v>74</v>
      </c>
      <c r="M976" t="s">
        <v>78</v>
      </c>
      <c r="N976" t="s">
        <v>79</v>
      </c>
      <c r="O976" t="s">
        <v>74</v>
      </c>
      <c r="P976" t="s">
        <v>74</v>
      </c>
      <c r="Q976" t="s">
        <v>74</v>
      </c>
      <c r="R976" t="s">
        <v>74</v>
      </c>
      <c r="S976" t="s">
        <v>74</v>
      </c>
      <c r="T976" t="s">
        <v>19103</v>
      </c>
      <c r="U976" t="s">
        <v>19104</v>
      </c>
      <c r="V976" t="s">
        <v>19105</v>
      </c>
      <c r="W976" t="s">
        <v>19106</v>
      </c>
      <c r="X976" t="s">
        <v>15865</v>
      </c>
      <c r="Y976" t="s">
        <v>19107</v>
      </c>
      <c r="Z976" t="s">
        <v>19108</v>
      </c>
      <c r="AA976" t="s">
        <v>19109</v>
      </c>
      <c r="AB976" t="s">
        <v>19110</v>
      </c>
      <c r="AC976" t="s">
        <v>74</v>
      </c>
      <c r="AD976" t="s">
        <v>74</v>
      </c>
      <c r="AE976" t="s">
        <v>74</v>
      </c>
      <c r="AF976" t="s">
        <v>74</v>
      </c>
      <c r="AG976">
        <v>93</v>
      </c>
      <c r="AH976">
        <v>0</v>
      </c>
      <c r="AI976">
        <v>0</v>
      </c>
      <c r="AJ976">
        <v>0</v>
      </c>
      <c r="AK976">
        <v>1</v>
      </c>
      <c r="AL976" t="s">
        <v>1369</v>
      </c>
      <c r="AM976" t="s">
        <v>1320</v>
      </c>
      <c r="AN976" t="s">
        <v>1370</v>
      </c>
      <c r="AO976" t="s">
        <v>19111</v>
      </c>
      <c r="AP976" t="s">
        <v>19112</v>
      </c>
      <c r="AQ976" t="s">
        <v>74</v>
      </c>
      <c r="AR976" t="s">
        <v>19113</v>
      </c>
      <c r="AS976" t="s">
        <v>19114</v>
      </c>
      <c r="AT976" t="s">
        <v>1278</v>
      </c>
      <c r="AU976">
        <v>2026</v>
      </c>
      <c r="AV976">
        <v>40</v>
      </c>
      <c r="AW976">
        <v>1</v>
      </c>
      <c r="AX976" t="s">
        <v>74</v>
      </c>
      <c r="AY976" t="s">
        <v>74</v>
      </c>
      <c r="AZ976" t="s">
        <v>74</v>
      </c>
      <c r="BA976" t="s">
        <v>74</v>
      </c>
      <c r="BB976">
        <v>123</v>
      </c>
      <c r="BC976">
        <v>142</v>
      </c>
      <c r="BD976" t="s">
        <v>74</v>
      </c>
      <c r="BE976" t="s">
        <v>19115</v>
      </c>
      <c r="BF976" t="str">
        <f>HYPERLINK("http://dx.doi.org/10.1177/02692155251393560","http://dx.doi.org/10.1177/02692155251393560")</f>
        <v>http://dx.doi.org/10.1177/02692155251393560</v>
      </c>
      <c r="BG976" t="s">
        <v>74</v>
      </c>
      <c r="BH976" t="s">
        <v>19116</v>
      </c>
      <c r="BI976">
        <v>20</v>
      </c>
      <c r="BJ976" t="s">
        <v>19117</v>
      </c>
      <c r="BK976" t="s">
        <v>902</v>
      </c>
      <c r="BL976" t="s">
        <v>19117</v>
      </c>
      <c r="BM976" t="s">
        <v>19118</v>
      </c>
      <c r="BN976">
        <v>41223061</v>
      </c>
      <c r="BO976" t="s">
        <v>1014</v>
      </c>
      <c r="BP976" t="s">
        <v>74</v>
      </c>
      <c r="BQ976" t="s">
        <v>74</v>
      </c>
      <c r="BR976" t="s">
        <v>106</v>
      </c>
      <c r="BS976" t="s">
        <v>19119</v>
      </c>
      <c r="BT976" t="str">
        <f>HYPERLINK("https%3A%2F%2Fwww.webofscience.com%2Fwos%2Fwoscc%2Ffull-record%2FWOS:001613517100001","View Full Record in Web of Science")</f>
        <v>View Full Record in Web of Science</v>
      </c>
    </row>
    <row r="977" spans="1:72" x14ac:dyDescent="0.25">
      <c r="A977" t="s">
        <v>72</v>
      </c>
      <c r="B977" t="s">
        <v>19120</v>
      </c>
      <c r="C977" t="s">
        <v>74</v>
      </c>
      <c r="D977" t="s">
        <v>74</v>
      </c>
      <c r="E977" t="s">
        <v>74</v>
      </c>
      <c r="F977" t="s">
        <v>19121</v>
      </c>
      <c r="G977" t="s">
        <v>74</v>
      </c>
      <c r="H977" t="s">
        <v>74</v>
      </c>
      <c r="I977" t="s">
        <v>19122</v>
      </c>
      <c r="J977" t="s">
        <v>19123</v>
      </c>
      <c r="K977" t="s">
        <v>74</v>
      </c>
      <c r="L977" t="s">
        <v>74</v>
      </c>
      <c r="M977" t="s">
        <v>78</v>
      </c>
      <c r="N977" t="s">
        <v>79</v>
      </c>
      <c r="O977" t="s">
        <v>74</v>
      </c>
      <c r="P977" t="s">
        <v>74</v>
      </c>
      <c r="Q977" t="s">
        <v>74</v>
      </c>
      <c r="R977" t="s">
        <v>74</v>
      </c>
      <c r="S977" t="s">
        <v>74</v>
      </c>
      <c r="T977" t="s">
        <v>19124</v>
      </c>
      <c r="U977" t="s">
        <v>19125</v>
      </c>
      <c r="V977" t="s">
        <v>19126</v>
      </c>
      <c r="W977" t="s">
        <v>19127</v>
      </c>
      <c r="X977" t="s">
        <v>19128</v>
      </c>
      <c r="Y977" t="s">
        <v>19129</v>
      </c>
      <c r="Z977" t="s">
        <v>19130</v>
      </c>
      <c r="AA977" t="s">
        <v>19131</v>
      </c>
      <c r="AB977" t="s">
        <v>19132</v>
      </c>
      <c r="AC977" t="s">
        <v>19133</v>
      </c>
      <c r="AD977" t="s">
        <v>19134</v>
      </c>
      <c r="AE977" t="s">
        <v>19135</v>
      </c>
      <c r="AF977" t="s">
        <v>74</v>
      </c>
      <c r="AG977">
        <v>59</v>
      </c>
      <c r="AH977">
        <v>2</v>
      </c>
      <c r="AI977">
        <v>2</v>
      </c>
      <c r="AJ977">
        <v>0</v>
      </c>
      <c r="AK977">
        <v>4</v>
      </c>
      <c r="AL977" t="s">
        <v>631</v>
      </c>
      <c r="AM977" t="s">
        <v>632</v>
      </c>
      <c r="AN977" t="s">
        <v>633</v>
      </c>
      <c r="AO977" t="s">
        <v>19136</v>
      </c>
      <c r="AP977" t="s">
        <v>19137</v>
      </c>
      <c r="AQ977" t="s">
        <v>74</v>
      </c>
      <c r="AR977" t="s">
        <v>19138</v>
      </c>
      <c r="AS977" t="s">
        <v>19139</v>
      </c>
      <c r="AT977" t="s">
        <v>509</v>
      </c>
      <c r="AU977">
        <v>2021</v>
      </c>
      <c r="AV977">
        <v>68</v>
      </c>
      <c r="AW977" t="s">
        <v>1476</v>
      </c>
      <c r="AX977" t="s">
        <v>74</v>
      </c>
      <c r="AY977" t="s">
        <v>74</v>
      </c>
      <c r="AZ977" t="s">
        <v>74</v>
      </c>
      <c r="BA977" t="s">
        <v>74</v>
      </c>
      <c r="BB977">
        <v>61</v>
      </c>
      <c r="BC977">
        <v>72</v>
      </c>
      <c r="BD977" t="s">
        <v>74</v>
      </c>
      <c r="BE977" t="s">
        <v>19140</v>
      </c>
      <c r="BF977" t="str">
        <f>HYPERLINK("http://dx.doi.org/10.1002/ajcp.12494","http://dx.doi.org/10.1002/ajcp.12494")</f>
        <v>http://dx.doi.org/10.1002/ajcp.12494</v>
      </c>
      <c r="BG977" t="s">
        <v>74</v>
      </c>
      <c r="BH977" t="s">
        <v>4501</v>
      </c>
      <c r="BI977">
        <v>12</v>
      </c>
      <c r="BJ977" t="s">
        <v>19141</v>
      </c>
      <c r="BK977" t="s">
        <v>250</v>
      </c>
      <c r="BL977" t="s">
        <v>19142</v>
      </c>
      <c r="BM977" t="s">
        <v>19143</v>
      </c>
      <c r="BN977">
        <v>33325541</v>
      </c>
      <c r="BO977" t="s">
        <v>74</v>
      </c>
      <c r="BP977" t="s">
        <v>74</v>
      </c>
      <c r="BQ977" t="s">
        <v>74</v>
      </c>
      <c r="BR977" t="s">
        <v>106</v>
      </c>
      <c r="BS977" t="s">
        <v>19144</v>
      </c>
      <c r="BT977" t="str">
        <f>HYPERLINK("https%3A%2F%2Fwww.webofscience.com%2Fwos%2Fwoscc%2Ffull-record%2FWOS:000598917900001","View Full Record in Web of Science")</f>
        <v>View Full Record in Web of Science</v>
      </c>
    </row>
    <row r="978" spans="1:72" x14ac:dyDescent="0.25">
      <c r="A978" t="s">
        <v>108</v>
      </c>
      <c r="B978" t="s">
        <v>19145</v>
      </c>
      <c r="C978" t="s">
        <v>74</v>
      </c>
      <c r="D978" t="s">
        <v>19146</v>
      </c>
      <c r="E978" t="s">
        <v>74</v>
      </c>
      <c r="F978" t="s">
        <v>19147</v>
      </c>
      <c r="G978" t="s">
        <v>74</v>
      </c>
      <c r="H978" t="s">
        <v>74</v>
      </c>
      <c r="I978" t="s">
        <v>19148</v>
      </c>
      <c r="J978" t="s">
        <v>19149</v>
      </c>
      <c r="K978" t="s">
        <v>2682</v>
      </c>
      <c r="L978" t="s">
        <v>74</v>
      </c>
      <c r="M978" t="s">
        <v>78</v>
      </c>
      <c r="N978" t="s">
        <v>115</v>
      </c>
      <c r="O978" t="s">
        <v>19150</v>
      </c>
      <c r="P978" t="s">
        <v>19151</v>
      </c>
      <c r="Q978" t="s">
        <v>19152</v>
      </c>
      <c r="R978" t="s">
        <v>19153</v>
      </c>
      <c r="S978" t="s">
        <v>19154</v>
      </c>
      <c r="T978" t="s">
        <v>19155</v>
      </c>
      <c r="U978" t="s">
        <v>74</v>
      </c>
      <c r="V978" t="s">
        <v>19156</v>
      </c>
      <c r="W978" t="s">
        <v>19157</v>
      </c>
      <c r="X978" t="s">
        <v>19158</v>
      </c>
      <c r="Y978" t="s">
        <v>19159</v>
      </c>
      <c r="Z978" t="s">
        <v>19160</v>
      </c>
      <c r="AA978" t="s">
        <v>74</v>
      </c>
      <c r="AB978" t="s">
        <v>74</v>
      </c>
      <c r="AC978" t="s">
        <v>74</v>
      </c>
      <c r="AD978" t="s">
        <v>74</v>
      </c>
      <c r="AE978" t="s">
        <v>74</v>
      </c>
      <c r="AF978" t="s">
        <v>74</v>
      </c>
      <c r="AG978">
        <v>13</v>
      </c>
      <c r="AH978">
        <v>2</v>
      </c>
      <c r="AI978">
        <v>2</v>
      </c>
      <c r="AJ978">
        <v>0</v>
      </c>
      <c r="AK978">
        <v>1</v>
      </c>
      <c r="AL978" t="s">
        <v>2695</v>
      </c>
      <c r="AM978" t="s">
        <v>363</v>
      </c>
      <c r="AN978" t="s">
        <v>2696</v>
      </c>
      <c r="AO978" t="s">
        <v>2697</v>
      </c>
      <c r="AP978" t="s">
        <v>74</v>
      </c>
      <c r="AQ978" t="s">
        <v>74</v>
      </c>
      <c r="AR978" t="s">
        <v>2698</v>
      </c>
      <c r="AS978" t="s">
        <v>74</v>
      </c>
      <c r="AT978" t="s">
        <v>74</v>
      </c>
      <c r="AU978">
        <v>2014</v>
      </c>
      <c r="AV978">
        <v>35</v>
      </c>
      <c r="AW978" t="s">
        <v>74</v>
      </c>
      <c r="AX978" t="s">
        <v>74</v>
      </c>
      <c r="AY978" t="s">
        <v>74</v>
      </c>
      <c r="AZ978" t="s">
        <v>74</v>
      </c>
      <c r="BA978" t="s">
        <v>74</v>
      </c>
      <c r="BB978">
        <v>929</v>
      </c>
      <c r="BC978">
        <v>936</v>
      </c>
      <c r="BD978" t="s">
        <v>74</v>
      </c>
      <c r="BE978" t="s">
        <v>19161</v>
      </c>
      <c r="BF978" t="str">
        <f>HYPERLINK("http://dx.doi.org/10.1016/j.procs.2014.08.168","http://dx.doi.org/10.1016/j.procs.2014.08.168")</f>
        <v>http://dx.doi.org/10.1016/j.procs.2014.08.168</v>
      </c>
      <c r="BG978" t="s">
        <v>74</v>
      </c>
      <c r="BH978" t="s">
        <v>74</v>
      </c>
      <c r="BI978">
        <v>8</v>
      </c>
      <c r="BJ978" t="s">
        <v>1236</v>
      </c>
      <c r="BK978" t="s">
        <v>203</v>
      </c>
      <c r="BL978" t="s">
        <v>103</v>
      </c>
      <c r="BM978" t="s">
        <v>19162</v>
      </c>
      <c r="BN978" t="s">
        <v>74</v>
      </c>
      <c r="BO978" t="s">
        <v>372</v>
      </c>
      <c r="BP978" t="s">
        <v>74</v>
      </c>
      <c r="BQ978" t="s">
        <v>74</v>
      </c>
      <c r="BR978" t="s">
        <v>106</v>
      </c>
      <c r="BS978" t="s">
        <v>19163</v>
      </c>
      <c r="BT978" t="str">
        <f>HYPERLINK("https%3A%2F%2Fwww.webofscience.com%2Fwos%2Fwoscc%2Ffull-record%2FWOS:000345394100097","View Full Record in Web of Science")</f>
        <v>View Full Record in Web of Science</v>
      </c>
    </row>
    <row r="979" spans="1:72" x14ac:dyDescent="0.25">
      <c r="A979" t="s">
        <v>108</v>
      </c>
      <c r="B979" t="s">
        <v>19164</v>
      </c>
      <c r="C979" t="s">
        <v>74</v>
      </c>
      <c r="D979" t="s">
        <v>10211</v>
      </c>
      <c r="E979" t="s">
        <v>74</v>
      </c>
      <c r="F979" t="s">
        <v>19165</v>
      </c>
      <c r="G979" t="s">
        <v>74</v>
      </c>
      <c r="H979" t="s">
        <v>74</v>
      </c>
      <c r="I979" t="s">
        <v>19166</v>
      </c>
      <c r="J979" t="s">
        <v>10214</v>
      </c>
      <c r="K979" t="s">
        <v>147</v>
      </c>
      <c r="L979" t="s">
        <v>74</v>
      </c>
      <c r="M979" t="s">
        <v>78</v>
      </c>
      <c r="N979" t="s">
        <v>115</v>
      </c>
      <c r="O979" t="s">
        <v>10215</v>
      </c>
      <c r="P979" t="s">
        <v>10216</v>
      </c>
      <c r="Q979" t="s">
        <v>10217</v>
      </c>
      <c r="R979" t="s">
        <v>10218</v>
      </c>
      <c r="S979" t="s">
        <v>74</v>
      </c>
      <c r="T979" t="s">
        <v>19167</v>
      </c>
      <c r="U979" t="s">
        <v>19168</v>
      </c>
      <c r="V979" t="s">
        <v>19169</v>
      </c>
      <c r="W979" t="s">
        <v>19170</v>
      </c>
      <c r="X979" t="s">
        <v>19171</v>
      </c>
      <c r="Y979" t="s">
        <v>19172</v>
      </c>
      <c r="Z979" t="s">
        <v>19173</v>
      </c>
      <c r="AA979" t="s">
        <v>19174</v>
      </c>
      <c r="AB979" t="s">
        <v>19175</v>
      </c>
      <c r="AC979" t="s">
        <v>74</v>
      </c>
      <c r="AD979" t="s">
        <v>74</v>
      </c>
      <c r="AE979" t="s">
        <v>74</v>
      </c>
      <c r="AF979" t="s">
        <v>74</v>
      </c>
      <c r="AG979">
        <v>30</v>
      </c>
      <c r="AH979">
        <v>6</v>
      </c>
      <c r="AI979">
        <v>8</v>
      </c>
      <c r="AJ979">
        <v>0</v>
      </c>
      <c r="AK979">
        <v>6</v>
      </c>
      <c r="AL979" t="s">
        <v>197</v>
      </c>
      <c r="AM979" t="s">
        <v>198</v>
      </c>
      <c r="AN979" t="s">
        <v>199</v>
      </c>
      <c r="AO979" t="s">
        <v>159</v>
      </c>
      <c r="AP979" t="s">
        <v>133</v>
      </c>
      <c r="AQ979" t="s">
        <v>10224</v>
      </c>
      <c r="AR979" t="s">
        <v>161</v>
      </c>
      <c r="AS979" t="s">
        <v>74</v>
      </c>
      <c r="AT979" t="s">
        <v>74</v>
      </c>
      <c r="AU979">
        <v>2014</v>
      </c>
      <c r="AV979">
        <v>8538</v>
      </c>
      <c r="AW979" t="s">
        <v>74</v>
      </c>
      <c r="AX979" t="s">
        <v>74</v>
      </c>
      <c r="AY979" t="s">
        <v>74</v>
      </c>
      <c r="AZ979" t="s">
        <v>74</v>
      </c>
      <c r="BA979" t="s">
        <v>74</v>
      </c>
      <c r="BB979">
        <v>111</v>
      </c>
      <c r="BC979">
        <v>121</v>
      </c>
      <c r="BD979" t="s">
        <v>74</v>
      </c>
      <c r="BE979" t="s">
        <v>74</v>
      </c>
      <c r="BF979" t="s">
        <v>74</v>
      </c>
      <c r="BG979" t="s">
        <v>74</v>
      </c>
      <c r="BH979" t="s">
        <v>74</v>
      </c>
      <c r="BI979">
        <v>11</v>
      </c>
      <c r="BJ979" t="s">
        <v>461</v>
      </c>
      <c r="BK979" t="s">
        <v>203</v>
      </c>
      <c r="BL979" t="s">
        <v>103</v>
      </c>
      <c r="BM979" t="s">
        <v>10225</v>
      </c>
      <c r="BN979" t="s">
        <v>74</v>
      </c>
      <c r="BO979" t="s">
        <v>74</v>
      </c>
      <c r="BP979" t="s">
        <v>74</v>
      </c>
      <c r="BQ979" t="s">
        <v>74</v>
      </c>
      <c r="BR979" t="s">
        <v>106</v>
      </c>
      <c r="BS979" t="s">
        <v>19176</v>
      </c>
      <c r="BT979" t="str">
        <f>HYPERLINK("https%3A%2F%2Fwww.webofscience.com%2Fwos%2Fwoscc%2Ffull-record%2FWOS:000345647000013","View Full Record in Web of Science")</f>
        <v>View Full Record in Web of Science</v>
      </c>
    </row>
    <row r="980" spans="1:72" x14ac:dyDescent="0.25">
      <c r="A980" t="s">
        <v>72</v>
      </c>
      <c r="B980" t="s">
        <v>19177</v>
      </c>
      <c r="C980" t="s">
        <v>74</v>
      </c>
      <c r="D980" t="s">
        <v>74</v>
      </c>
      <c r="E980" t="s">
        <v>74</v>
      </c>
      <c r="F980" t="s">
        <v>19178</v>
      </c>
      <c r="G980" t="s">
        <v>74</v>
      </c>
      <c r="H980" t="s">
        <v>74</v>
      </c>
      <c r="I980" t="s">
        <v>19179</v>
      </c>
      <c r="J980" t="s">
        <v>19180</v>
      </c>
      <c r="K980" t="s">
        <v>74</v>
      </c>
      <c r="L980" t="s">
        <v>74</v>
      </c>
      <c r="M980" t="s">
        <v>78</v>
      </c>
      <c r="N980" t="s">
        <v>79</v>
      </c>
      <c r="O980" t="s">
        <v>74</v>
      </c>
      <c r="P980" t="s">
        <v>74</v>
      </c>
      <c r="Q980" t="s">
        <v>74</v>
      </c>
      <c r="R980" t="s">
        <v>74</v>
      </c>
      <c r="S980" t="s">
        <v>74</v>
      </c>
      <c r="T980" t="s">
        <v>74</v>
      </c>
      <c r="U980" t="s">
        <v>19181</v>
      </c>
      <c r="V980" t="s">
        <v>19182</v>
      </c>
      <c r="W980" t="s">
        <v>19183</v>
      </c>
      <c r="X980" t="s">
        <v>19184</v>
      </c>
      <c r="Y980" t="s">
        <v>19185</v>
      </c>
      <c r="Z980" t="s">
        <v>74</v>
      </c>
      <c r="AA980" t="s">
        <v>74</v>
      </c>
      <c r="AB980" t="s">
        <v>19186</v>
      </c>
      <c r="AC980" t="s">
        <v>19187</v>
      </c>
      <c r="AD980" t="s">
        <v>19188</v>
      </c>
      <c r="AE980" t="s">
        <v>19189</v>
      </c>
      <c r="AF980" t="s">
        <v>74</v>
      </c>
      <c r="AG980">
        <v>47</v>
      </c>
      <c r="AH980">
        <v>62</v>
      </c>
      <c r="AI980">
        <v>68</v>
      </c>
      <c r="AJ980">
        <v>1</v>
      </c>
      <c r="AK980">
        <v>29</v>
      </c>
      <c r="AL980" t="s">
        <v>19190</v>
      </c>
      <c r="AM980" t="s">
        <v>19191</v>
      </c>
      <c r="AN980" t="s">
        <v>19192</v>
      </c>
      <c r="AO980" t="s">
        <v>19193</v>
      </c>
      <c r="AP980" t="s">
        <v>74</v>
      </c>
      <c r="AQ980" t="s">
        <v>74</v>
      </c>
      <c r="AR980" t="s">
        <v>19194</v>
      </c>
      <c r="AS980" t="s">
        <v>19195</v>
      </c>
      <c r="AT980" t="s">
        <v>19196</v>
      </c>
      <c r="AU980">
        <v>2010</v>
      </c>
      <c r="AV980">
        <v>6</v>
      </c>
      <c r="AW980">
        <v>2</v>
      </c>
      <c r="AX980" t="s">
        <v>74</v>
      </c>
      <c r="AY980" t="s">
        <v>74</v>
      </c>
      <c r="AZ980" t="s">
        <v>74</v>
      </c>
      <c r="BA980" t="s">
        <v>74</v>
      </c>
      <c r="BB980" t="s">
        <v>74</v>
      </c>
      <c r="BC980" t="s">
        <v>74</v>
      </c>
      <c r="BD980">
        <v>20112</v>
      </c>
      <c r="BE980" t="s">
        <v>19197</v>
      </c>
      <c r="BF980" t="str">
        <f>HYPERLINK("http://dx.doi.org/10.1103/PhysRevSTPER.6.020112","http://dx.doi.org/10.1103/PhysRevSTPER.6.020112")</f>
        <v>http://dx.doi.org/10.1103/PhysRevSTPER.6.020112</v>
      </c>
      <c r="BG980" t="s">
        <v>74</v>
      </c>
      <c r="BH980" t="s">
        <v>74</v>
      </c>
      <c r="BI980">
        <v>17</v>
      </c>
      <c r="BJ980" t="s">
        <v>5740</v>
      </c>
      <c r="BK980" t="s">
        <v>745</v>
      </c>
      <c r="BL980" t="s">
        <v>318</v>
      </c>
      <c r="BM980" t="s">
        <v>19198</v>
      </c>
      <c r="BN980" t="s">
        <v>74</v>
      </c>
      <c r="BO980" t="s">
        <v>398</v>
      </c>
      <c r="BP980" t="s">
        <v>74</v>
      </c>
      <c r="BQ980" t="s">
        <v>74</v>
      </c>
      <c r="BR980" t="s">
        <v>106</v>
      </c>
      <c r="BS980" t="s">
        <v>19199</v>
      </c>
      <c r="BT980" t="str">
        <f>HYPERLINK("https%3A%2F%2Fwww.webofscience.com%2Fwos%2Fwoscc%2Ffull-record%2FWOS:000281519100001","View Full Record in Web of Science")</f>
        <v>View Full Record in Web of Science</v>
      </c>
    </row>
    <row r="981" spans="1:72" x14ac:dyDescent="0.25">
      <c r="A981" t="s">
        <v>72</v>
      </c>
      <c r="B981" t="s">
        <v>19200</v>
      </c>
      <c r="C981" t="s">
        <v>74</v>
      </c>
      <c r="D981" t="s">
        <v>74</v>
      </c>
      <c r="E981" t="s">
        <v>74</v>
      </c>
      <c r="F981" t="s">
        <v>19201</v>
      </c>
      <c r="G981" t="s">
        <v>74</v>
      </c>
      <c r="H981" t="s">
        <v>74</v>
      </c>
      <c r="I981" t="s">
        <v>19202</v>
      </c>
      <c r="J981" t="s">
        <v>19203</v>
      </c>
      <c r="K981" t="s">
        <v>74</v>
      </c>
      <c r="L981" t="s">
        <v>74</v>
      </c>
      <c r="M981" t="s">
        <v>78</v>
      </c>
      <c r="N981" t="s">
        <v>79</v>
      </c>
      <c r="O981" t="s">
        <v>74</v>
      </c>
      <c r="P981" t="s">
        <v>74</v>
      </c>
      <c r="Q981" t="s">
        <v>74</v>
      </c>
      <c r="R981" t="s">
        <v>74</v>
      </c>
      <c r="S981" t="s">
        <v>74</v>
      </c>
      <c r="T981" t="s">
        <v>19204</v>
      </c>
      <c r="U981" t="s">
        <v>19205</v>
      </c>
      <c r="V981" t="s">
        <v>19206</v>
      </c>
      <c r="W981" t="s">
        <v>19207</v>
      </c>
      <c r="X981" t="s">
        <v>19208</v>
      </c>
      <c r="Y981" t="s">
        <v>19209</v>
      </c>
      <c r="Z981" t="s">
        <v>19210</v>
      </c>
      <c r="AA981" t="s">
        <v>19211</v>
      </c>
      <c r="AB981" t="s">
        <v>19212</v>
      </c>
      <c r="AC981" t="s">
        <v>19213</v>
      </c>
      <c r="AD981" t="s">
        <v>19214</v>
      </c>
      <c r="AE981" t="s">
        <v>19215</v>
      </c>
      <c r="AF981" t="s">
        <v>74</v>
      </c>
      <c r="AG981">
        <v>79</v>
      </c>
      <c r="AH981">
        <v>24</v>
      </c>
      <c r="AI981">
        <v>32</v>
      </c>
      <c r="AJ981">
        <v>0</v>
      </c>
      <c r="AK981">
        <v>7</v>
      </c>
      <c r="AL981" t="s">
        <v>19216</v>
      </c>
      <c r="AM981" t="s">
        <v>1320</v>
      </c>
      <c r="AN981" t="s">
        <v>19217</v>
      </c>
      <c r="AO981" t="s">
        <v>19218</v>
      </c>
      <c r="AP981" t="s">
        <v>19219</v>
      </c>
      <c r="AQ981" t="s">
        <v>74</v>
      </c>
      <c r="AR981" t="s">
        <v>19220</v>
      </c>
      <c r="AS981" t="s">
        <v>19221</v>
      </c>
      <c r="AT981" t="s">
        <v>1251</v>
      </c>
      <c r="AU981">
        <v>2016</v>
      </c>
      <c r="AV981">
        <v>145</v>
      </c>
      <c r="AW981" t="s">
        <v>74</v>
      </c>
      <c r="AX981" t="s">
        <v>74</v>
      </c>
      <c r="AY981" t="s">
        <v>74</v>
      </c>
      <c r="AZ981" t="s">
        <v>74</v>
      </c>
      <c r="BA981" t="s">
        <v>74</v>
      </c>
      <c r="BB981">
        <v>173</v>
      </c>
      <c r="BC981">
        <v>186</v>
      </c>
      <c r="BD981" t="s">
        <v>74</v>
      </c>
      <c r="BE981" t="s">
        <v>19222</v>
      </c>
      <c r="BF981" t="str">
        <f>HYPERLINK("http://dx.doi.org/10.1016/j.exer.2015.10.014","http://dx.doi.org/10.1016/j.exer.2015.10.014")</f>
        <v>http://dx.doi.org/10.1016/j.exer.2015.10.014</v>
      </c>
      <c r="BG981" t="s">
        <v>74</v>
      </c>
      <c r="BH981" t="s">
        <v>74</v>
      </c>
      <c r="BI981">
        <v>14</v>
      </c>
      <c r="BJ981" t="s">
        <v>19223</v>
      </c>
      <c r="BK981" t="s">
        <v>902</v>
      </c>
      <c r="BL981" t="s">
        <v>19223</v>
      </c>
      <c r="BM981" t="s">
        <v>19224</v>
      </c>
      <c r="BN981">
        <v>26500195</v>
      </c>
      <c r="BO981" t="s">
        <v>346</v>
      </c>
      <c r="BP981" t="s">
        <v>74</v>
      </c>
      <c r="BQ981" t="s">
        <v>74</v>
      </c>
      <c r="BR981" t="s">
        <v>106</v>
      </c>
      <c r="BS981" t="s">
        <v>19225</v>
      </c>
      <c r="BT981" t="str">
        <f>HYPERLINK("https%3A%2F%2Fwww.webofscience.com%2Fwos%2Fwoscc%2Ffull-record%2FWOS:000375372300021","View Full Record in Web of Science")</f>
        <v>View Full Record in Web of Science</v>
      </c>
    </row>
    <row r="982" spans="1:72" x14ac:dyDescent="0.25">
      <c r="A982" t="s">
        <v>72</v>
      </c>
      <c r="B982" t="s">
        <v>19226</v>
      </c>
      <c r="C982" t="s">
        <v>74</v>
      </c>
      <c r="D982" t="s">
        <v>74</v>
      </c>
      <c r="E982" t="s">
        <v>74</v>
      </c>
      <c r="F982" t="s">
        <v>19227</v>
      </c>
      <c r="G982" t="s">
        <v>74</v>
      </c>
      <c r="H982" t="s">
        <v>74</v>
      </c>
      <c r="I982" t="s">
        <v>19228</v>
      </c>
      <c r="J982" t="s">
        <v>19229</v>
      </c>
      <c r="K982" t="s">
        <v>74</v>
      </c>
      <c r="L982" t="s">
        <v>74</v>
      </c>
      <c r="M982" t="s">
        <v>78</v>
      </c>
      <c r="N982" t="s">
        <v>79</v>
      </c>
      <c r="O982" t="s">
        <v>74</v>
      </c>
      <c r="P982" t="s">
        <v>74</v>
      </c>
      <c r="Q982" t="s">
        <v>74</v>
      </c>
      <c r="R982" t="s">
        <v>74</v>
      </c>
      <c r="S982" t="s">
        <v>74</v>
      </c>
      <c r="T982" t="s">
        <v>19230</v>
      </c>
      <c r="U982" t="s">
        <v>19231</v>
      </c>
      <c r="V982" t="s">
        <v>19232</v>
      </c>
      <c r="W982" t="s">
        <v>19233</v>
      </c>
      <c r="X982" t="s">
        <v>19234</v>
      </c>
      <c r="Y982" t="s">
        <v>19235</v>
      </c>
      <c r="Z982" t="s">
        <v>19236</v>
      </c>
      <c r="AA982" t="s">
        <v>19237</v>
      </c>
      <c r="AB982" t="s">
        <v>19238</v>
      </c>
      <c r="AC982" t="s">
        <v>19239</v>
      </c>
      <c r="AD982" t="s">
        <v>19240</v>
      </c>
      <c r="AE982" t="s">
        <v>19241</v>
      </c>
      <c r="AF982" t="s">
        <v>74</v>
      </c>
      <c r="AG982">
        <v>44</v>
      </c>
      <c r="AH982">
        <v>13</v>
      </c>
      <c r="AI982">
        <v>16</v>
      </c>
      <c r="AJ982">
        <v>0</v>
      </c>
      <c r="AK982">
        <v>17</v>
      </c>
      <c r="AL982" t="s">
        <v>2127</v>
      </c>
      <c r="AM982" t="s">
        <v>737</v>
      </c>
      <c r="AN982" t="s">
        <v>4533</v>
      </c>
      <c r="AO982" t="s">
        <v>19242</v>
      </c>
      <c r="AP982" t="s">
        <v>19243</v>
      </c>
      <c r="AQ982" t="s">
        <v>74</v>
      </c>
      <c r="AR982" t="s">
        <v>19244</v>
      </c>
      <c r="AS982" t="s">
        <v>19245</v>
      </c>
      <c r="AT982" t="s">
        <v>565</v>
      </c>
      <c r="AU982">
        <v>2015</v>
      </c>
      <c r="AV982">
        <v>29</v>
      </c>
      <c r="AW982">
        <v>3</v>
      </c>
      <c r="AX982" t="s">
        <v>74</v>
      </c>
      <c r="AY982" t="s">
        <v>74</v>
      </c>
      <c r="AZ982" t="s">
        <v>74</v>
      </c>
      <c r="BA982" t="s">
        <v>74</v>
      </c>
      <c r="BB982">
        <v>366</v>
      </c>
      <c r="BC982">
        <v>379</v>
      </c>
      <c r="BD982" t="s">
        <v>74</v>
      </c>
      <c r="BE982" t="s">
        <v>19246</v>
      </c>
      <c r="BF982" t="str">
        <f>HYPERLINK("http://dx.doi.org/10.1016/j.aei.2015.01.003","http://dx.doi.org/10.1016/j.aei.2015.01.003")</f>
        <v>http://dx.doi.org/10.1016/j.aei.2015.01.003</v>
      </c>
      <c r="BG982" t="s">
        <v>74</v>
      </c>
      <c r="BH982" t="s">
        <v>74</v>
      </c>
      <c r="BI982">
        <v>14</v>
      </c>
      <c r="BJ982" t="s">
        <v>19247</v>
      </c>
      <c r="BK982" t="s">
        <v>745</v>
      </c>
      <c r="BL982" t="s">
        <v>953</v>
      </c>
      <c r="BM982" t="s">
        <v>19248</v>
      </c>
      <c r="BN982" t="s">
        <v>74</v>
      </c>
      <c r="BO982" t="s">
        <v>74</v>
      </c>
      <c r="BP982" t="s">
        <v>74</v>
      </c>
      <c r="BQ982" t="s">
        <v>74</v>
      </c>
      <c r="BR982" t="s">
        <v>106</v>
      </c>
      <c r="BS982" t="s">
        <v>19249</v>
      </c>
      <c r="BT982" t="str">
        <f>HYPERLINK("https%3A%2F%2Fwww.webofscience.com%2Fwos%2Fwoscc%2Ffull-record%2FWOS:000361253200009","View Full Record in Web of Science")</f>
        <v>View Full Record in Web of Science</v>
      </c>
    </row>
    <row r="983" spans="1:72" x14ac:dyDescent="0.25">
      <c r="A983" t="s">
        <v>72</v>
      </c>
      <c r="B983" t="s">
        <v>19250</v>
      </c>
      <c r="C983" t="s">
        <v>74</v>
      </c>
      <c r="D983" t="s">
        <v>74</v>
      </c>
      <c r="E983" t="s">
        <v>74</v>
      </c>
      <c r="F983" t="s">
        <v>19251</v>
      </c>
      <c r="G983" t="s">
        <v>74</v>
      </c>
      <c r="H983" t="s">
        <v>74</v>
      </c>
      <c r="I983" t="s">
        <v>19252</v>
      </c>
      <c r="J983" t="s">
        <v>19253</v>
      </c>
      <c r="K983" t="s">
        <v>74</v>
      </c>
      <c r="L983" t="s">
        <v>74</v>
      </c>
      <c r="M983" t="s">
        <v>78</v>
      </c>
      <c r="N983" t="s">
        <v>79</v>
      </c>
      <c r="O983" t="s">
        <v>74</v>
      </c>
      <c r="P983" t="s">
        <v>74</v>
      </c>
      <c r="Q983" t="s">
        <v>74</v>
      </c>
      <c r="R983" t="s">
        <v>74</v>
      </c>
      <c r="S983" t="s">
        <v>74</v>
      </c>
      <c r="T983" t="s">
        <v>19254</v>
      </c>
      <c r="U983" t="s">
        <v>74</v>
      </c>
      <c r="V983" t="s">
        <v>19255</v>
      </c>
      <c r="W983" t="s">
        <v>19256</v>
      </c>
      <c r="X983" t="s">
        <v>74</v>
      </c>
      <c r="Y983" t="s">
        <v>19257</v>
      </c>
      <c r="Z983" t="s">
        <v>19258</v>
      </c>
      <c r="AA983" t="s">
        <v>19259</v>
      </c>
      <c r="AB983" t="s">
        <v>74</v>
      </c>
      <c r="AC983" t="s">
        <v>74</v>
      </c>
      <c r="AD983" t="s">
        <v>74</v>
      </c>
      <c r="AE983" t="s">
        <v>74</v>
      </c>
      <c r="AF983" t="s">
        <v>74</v>
      </c>
      <c r="AG983">
        <v>20</v>
      </c>
      <c r="AH983">
        <v>1</v>
      </c>
      <c r="AI983">
        <v>1</v>
      </c>
      <c r="AJ983">
        <v>0</v>
      </c>
      <c r="AK983">
        <v>1</v>
      </c>
      <c r="AL983" t="s">
        <v>19260</v>
      </c>
      <c r="AM983" t="s">
        <v>19261</v>
      </c>
      <c r="AN983" t="s">
        <v>19262</v>
      </c>
      <c r="AO983" t="s">
        <v>19263</v>
      </c>
      <c r="AP983" t="s">
        <v>19264</v>
      </c>
      <c r="AQ983" t="s">
        <v>74</v>
      </c>
      <c r="AR983" t="s">
        <v>19265</v>
      </c>
      <c r="AS983" t="s">
        <v>19266</v>
      </c>
      <c r="AT983" t="s">
        <v>1950</v>
      </c>
      <c r="AU983">
        <v>2011</v>
      </c>
      <c r="AV983">
        <v>2</v>
      </c>
      <c r="AW983">
        <v>2</v>
      </c>
      <c r="AX983" t="s">
        <v>74</v>
      </c>
      <c r="AY983" t="s">
        <v>74</v>
      </c>
      <c r="AZ983" t="s">
        <v>74</v>
      </c>
      <c r="BA983" t="s">
        <v>74</v>
      </c>
      <c r="BB983">
        <v>117</v>
      </c>
      <c r="BC983">
        <v>123</v>
      </c>
      <c r="BD983" t="s">
        <v>74</v>
      </c>
      <c r="BE983" t="s">
        <v>74</v>
      </c>
      <c r="BF983" t="s">
        <v>74</v>
      </c>
      <c r="BG983" t="s">
        <v>74</v>
      </c>
      <c r="BH983" t="s">
        <v>74</v>
      </c>
      <c r="BI983">
        <v>7</v>
      </c>
      <c r="BJ983" t="s">
        <v>925</v>
      </c>
      <c r="BK983" t="s">
        <v>102</v>
      </c>
      <c r="BL983" t="s">
        <v>103</v>
      </c>
      <c r="BM983" t="s">
        <v>19267</v>
      </c>
      <c r="BN983" t="s">
        <v>74</v>
      </c>
      <c r="BO983" t="s">
        <v>1331</v>
      </c>
      <c r="BP983" t="s">
        <v>74</v>
      </c>
      <c r="BQ983" t="s">
        <v>74</v>
      </c>
      <c r="BR983" t="s">
        <v>106</v>
      </c>
      <c r="BS983" t="s">
        <v>19268</v>
      </c>
      <c r="BT983" t="str">
        <f>HYPERLINK("https%3A%2F%2Fwww.webofscience.com%2Fwos%2Fwoscc%2Ffull-record%2FWOS:000219127000019","View Full Record in Web of Science")</f>
        <v>View Full Record in Web of Science</v>
      </c>
    </row>
    <row r="984" spans="1:72" x14ac:dyDescent="0.25">
      <c r="A984" t="s">
        <v>72</v>
      </c>
      <c r="B984" t="s">
        <v>19269</v>
      </c>
      <c r="C984" t="s">
        <v>74</v>
      </c>
      <c r="D984" t="s">
        <v>74</v>
      </c>
      <c r="E984" t="s">
        <v>74</v>
      </c>
      <c r="F984" t="s">
        <v>19270</v>
      </c>
      <c r="G984" t="s">
        <v>74</v>
      </c>
      <c r="H984" t="s">
        <v>74</v>
      </c>
      <c r="I984" t="s">
        <v>19271</v>
      </c>
      <c r="J984" t="s">
        <v>5263</v>
      </c>
      <c r="K984" t="s">
        <v>74</v>
      </c>
      <c r="L984" t="s">
        <v>74</v>
      </c>
      <c r="M984" t="s">
        <v>78</v>
      </c>
      <c r="N984" t="s">
        <v>79</v>
      </c>
      <c r="O984" t="s">
        <v>74</v>
      </c>
      <c r="P984" t="s">
        <v>74</v>
      </c>
      <c r="Q984" t="s">
        <v>74</v>
      </c>
      <c r="R984" t="s">
        <v>74</v>
      </c>
      <c r="S984" t="s">
        <v>74</v>
      </c>
      <c r="T984" t="s">
        <v>19272</v>
      </c>
      <c r="U984" t="s">
        <v>74</v>
      </c>
      <c r="V984" t="s">
        <v>19273</v>
      </c>
      <c r="W984" t="s">
        <v>19274</v>
      </c>
      <c r="X984" t="s">
        <v>19275</v>
      </c>
      <c r="Y984" t="s">
        <v>19276</v>
      </c>
      <c r="Z984" t="s">
        <v>19277</v>
      </c>
      <c r="AA984" t="s">
        <v>19278</v>
      </c>
      <c r="AB984" t="s">
        <v>74</v>
      </c>
      <c r="AC984" t="s">
        <v>19279</v>
      </c>
      <c r="AD984" t="s">
        <v>2463</v>
      </c>
      <c r="AE984" t="s">
        <v>19280</v>
      </c>
      <c r="AF984" t="s">
        <v>74</v>
      </c>
      <c r="AG984">
        <v>40</v>
      </c>
      <c r="AH984">
        <v>21</v>
      </c>
      <c r="AI984">
        <v>22</v>
      </c>
      <c r="AJ984">
        <v>0</v>
      </c>
      <c r="AK984">
        <v>25</v>
      </c>
      <c r="AL984" t="s">
        <v>895</v>
      </c>
      <c r="AM984" t="s">
        <v>896</v>
      </c>
      <c r="AN984" t="s">
        <v>897</v>
      </c>
      <c r="AO984" t="s">
        <v>5275</v>
      </c>
      <c r="AP984" t="s">
        <v>74</v>
      </c>
      <c r="AQ984" t="s">
        <v>74</v>
      </c>
      <c r="AR984" t="s">
        <v>5276</v>
      </c>
      <c r="AS984" t="s">
        <v>5277</v>
      </c>
      <c r="AT984" t="s">
        <v>3666</v>
      </c>
      <c r="AU984">
        <v>2021</v>
      </c>
      <c r="AV984">
        <v>8</v>
      </c>
      <c r="AW984">
        <v>7</v>
      </c>
      <c r="AX984" t="s">
        <v>74</v>
      </c>
      <c r="AY984" t="s">
        <v>74</v>
      </c>
      <c r="AZ984" t="s">
        <v>74</v>
      </c>
      <c r="BA984" t="s">
        <v>74</v>
      </c>
      <c r="BB984">
        <v>6024</v>
      </c>
      <c r="BC984">
        <v>6038</v>
      </c>
      <c r="BD984" t="s">
        <v>74</v>
      </c>
      <c r="BE984" t="s">
        <v>19281</v>
      </c>
      <c r="BF984" t="str">
        <f>HYPERLINK("http://dx.doi.org/10.1109/JIOT.2020.3033552","http://dx.doi.org/10.1109/JIOT.2020.3033552")</f>
        <v>http://dx.doi.org/10.1109/JIOT.2020.3033552</v>
      </c>
      <c r="BG984" t="s">
        <v>74</v>
      </c>
      <c r="BH984" t="s">
        <v>74</v>
      </c>
      <c r="BI984">
        <v>15</v>
      </c>
      <c r="BJ984" t="s">
        <v>901</v>
      </c>
      <c r="BK984" t="s">
        <v>902</v>
      </c>
      <c r="BL984" t="s">
        <v>903</v>
      </c>
      <c r="BM984" t="s">
        <v>19282</v>
      </c>
      <c r="BN984" t="s">
        <v>74</v>
      </c>
      <c r="BO984" t="s">
        <v>74</v>
      </c>
      <c r="BP984" t="s">
        <v>74</v>
      </c>
      <c r="BQ984" t="s">
        <v>74</v>
      </c>
      <c r="BR984" t="s">
        <v>106</v>
      </c>
      <c r="BS984" t="s">
        <v>19283</v>
      </c>
      <c r="BT984" t="str">
        <f>HYPERLINK("https%3A%2F%2Fwww.webofscience.com%2Fwos%2Fwoscc%2Ffull-record%2FWOS:000633436600074","View Full Record in Web of Science")</f>
        <v>View Full Record in Web of Science</v>
      </c>
    </row>
    <row r="985" spans="1:72" x14ac:dyDescent="0.25">
      <c r="A985" t="s">
        <v>72</v>
      </c>
      <c r="B985" t="s">
        <v>19284</v>
      </c>
      <c r="C985" t="s">
        <v>74</v>
      </c>
      <c r="D985" t="s">
        <v>74</v>
      </c>
      <c r="E985" t="s">
        <v>74</v>
      </c>
      <c r="F985" t="s">
        <v>19285</v>
      </c>
      <c r="G985" t="s">
        <v>74</v>
      </c>
      <c r="H985" t="s">
        <v>74</v>
      </c>
      <c r="I985" t="s">
        <v>19286</v>
      </c>
      <c r="J985" t="s">
        <v>12440</v>
      </c>
      <c r="K985" t="s">
        <v>74</v>
      </c>
      <c r="L985" t="s">
        <v>74</v>
      </c>
      <c r="M985" t="s">
        <v>78</v>
      </c>
      <c r="N985" t="s">
        <v>79</v>
      </c>
      <c r="O985" t="s">
        <v>74</v>
      </c>
      <c r="P985" t="s">
        <v>74</v>
      </c>
      <c r="Q985" t="s">
        <v>74</v>
      </c>
      <c r="R985" t="s">
        <v>74</v>
      </c>
      <c r="S985" t="s">
        <v>74</v>
      </c>
      <c r="T985" t="s">
        <v>19287</v>
      </c>
      <c r="U985" t="s">
        <v>74</v>
      </c>
      <c r="V985" t="s">
        <v>19288</v>
      </c>
      <c r="W985" t="s">
        <v>19289</v>
      </c>
      <c r="X985" t="s">
        <v>19290</v>
      </c>
      <c r="Y985" t="s">
        <v>19291</v>
      </c>
      <c r="Z985" t="s">
        <v>19292</v>
      </c>
      <c r="AA985" t="s">
        <v>19293</v>
      </c>
      <c r="AB985" t="s">
        <v>19294</v>
      </c>
      <c r="AC985" t="s">
        <v>19295</v>
      </c>
      <c r="AD985" t="s">
        <v>19296</v>
      </c>
      <c r="AE985" t="s">
        <v>19297</v>
      </c>
      <c r="AF985" t="s">
        <v>74</v>
      </c>
      <c r="AG985">
        <v>36</v>
      </c>
      <c r="AH985">
        <v>9</v>
      </c>
      <c r="AI985">
        <v>12</v>
      </c>
      <c r="AJ985">
        <v>2</v>
      </c>
      <c r="AK985">
        <v>42</v>
      </c>
      <c r="AL985" t="s">
        <v>5214</v>
      </c>
      <c r="AM985" t="s">
        <v>1320</v>
      </c>
      <c r="AN985" t="s">
        <v>12453</v>
      </c>
      <c r="AO985" t="s">
        <v>74</v>
      </c>
      <c r="AP985" t="s">
        <v>12454</v>
      </c>
      <c r="AQ985" t="s">
        <v>74</v>
      </c>
      <c r="AR985" t="s">
        <v>12455</v>
      </c>
      <c r="AS985" t="s">
        <v>12456</v>
      </c>
      <c r="AT985" t="s">
        <v>19298</v>
      </c>
      <c r="AU985">
        <v>2023</v>
      </c>
      <c r="AV985">
        <v>10</v>
      </c>
      <c r="AW985">
        <v>1</v>
      </c>
      <c r="AX985" t="s">
        <v>74</v>
      </c>
      <c r="AY985" t="s">
        <v>74</v>
      </c>
      <c r="AZ985" t="s">
        <v>74</v>
      </c>
      <c r="BA985" t="s">
        <v>74</v>
      </c>
      <c r="BB985" t="s">
        <v>74</v>
      </c>
      <c r="BC985" t="s">
        <v>74</v>
      </c>
      <c r="BD985">
        <v>11</v>
      </c>
      <c r="BE985" t="s">
        <v>19299</v>
      </c>
      <c r="BF985" t="str">
        <f>HYPERLINK("http://dx.doi.org/10.1186/s40537-023-00688-6","http://dx.doi.org/10.1186/s40537-023-00688-6")</f>
        <v>http://dx.doi.org/10.1186/s40537-023-00688-6</v>
      </c>
      <c r="BG985" t="s">
        <v>74</v>
      </c>
      <c r="BH985" t="s">
        <v>74</v>
      </c>
      <c r="BI985">
        <v>15</v>
      </c>
      <c r="BJ985" t="s">
        <v>925</v>
      </c>
      <c r="BK985" t="s">
        <v>902</v>
      </c>
      <c r="BL985" t="s">
        <v>103</v>
      </c>
      <c r="BM985" t="s">
        <v>19300</v>
      </c>
      <c r="BN985" t="s">
        <v>74</v>
      </c>
      <c r="BO985" t="s">
        <v>398</v>
      </c>
      <c r="BP985" t="s">
        <v>74</v>
      </c>
      <c r="BQ985" t="s">
        <v>74</v>
      </c>
      <c r="BR985" t="s">
        <v>106</v>
      </c>
      <c r="BS985" t="s">
        <v>19301</v>
      </c>
      <c r="BT985" t="str">
        <f>HYPERLINK("https%3A%2F%2Fwww.webofscience.com%2Fwos%2Fwoscc%2Ffull-record%2FWOS:000920014800001","View Full Record in Web of Science")</f>
        <v>View Full Record in Web of Science</v>
      </c>
    </row>
    <row r="986" spans="1:72" x14ac:dyDescent="0.25">
      <c r="A986" t="s">
        <v>72</v>
      </c>
      <c r="B986" t="s">
        <v>19302</v>
      </c>
      <c r="C986" t="s">
        <v>74</v>
      </c>
      <c r="D986" t="s">
        <v>74</v>
      </c>
      <c r="E986" t="s">
        <v>74</v>
      </c>
      <c r="F986" t="s">
        <v>19303</v>
      </c>
      <c r="G986" t="s">
        <v>74</v>
      </c>
      <c r="H986" t="s">
        <v>74</v>
      </c>
      <c r="I986" t="s">
        <v>19304</v>
      </c>
      <c r="J986" t="s">
        <v>5594</v>
      </c>
      <c r="K986" t="s">
        <v>74</v>
      </c>
      <c r="L986" t="s">
        <v>74</v>
      </c>
      <c r="M986" t="s">
        <v>78</v>
      </c>
      <c r="N986" t="s">
        <v>79</v>
      </c>
      <c r="O986" t="s">
        <v>74</v>
      </c>
      <c r="P986" t="s">
        <v>74</v>
      </c>
      <c r="Q986" t="s">
        <v>74</v>
      </c>
      <c r="R986" t="s">
        <v>74</v>
      </c>
      <c r="S986" t="s">
        <v>74</v>
      </c>
      <c r="T986" t="s">
        <v>19305</v>
      </c>
      <c r="U986" t="s">
        <v>74</v>
      </c>
      <c r="V986" t="s">
        <v>19306</v>
      </c>
      <c r="W986" t="s">
        <v>19307</v>
      </c>
      <c r="X986" t="s">
        <v>9671</v>
      </c>
      <c r="Y986" t="s">
        <v>19308</v>
      </c>
      <c r="Z986" t="s">
        <v>19309</v>
      </c>
      <c r="AA986" t="s">
        <v>19310</v>
      </c>
      <c r="AB986" t="s">
        <v>74</v>
      </c>
      <c r="AC986" t="s">
        <v>19311</v>
      </c>
      <c r="AD986" t="s">
        <v>19312</v>
      </c>
      <c r="AE986" t="s">
        <v>19313</v>
      </c>
      <c r="AF986" t="s">
        <v>74</v>
      </c>
      <c r="AG986">
        <v>34</v>
      </c>
      <c r="AH986">
        <v>2</v>
      </c>
      <c r="AI986">
        <v>3</v>
      </c>
      <c r="AJ986">
        <v>0</v>
      </c>
      <c r="AK986">
        <v>7</v>
      </c>
      <c r="AL986" t="s">
        <v>5604</v>
      </c>
      <c r="AM986" t="s">
        <v>1320</v>
      </c>
      <c r="AN986" t="s">
        <v>5605</v>
      </c>
      <c r="AO986" t="s">
        <v>5606</v>
      </c>
      <c r="AP986" t="s">
        <v>5607</v>
      </c>
      <c r="AQ986" t="s">
        <v>74</v>
      </c>
      <c r="AR986" t="s">
        <v>5608</v>
      </c>
      <c r="AS986" t="s">
        <v>5609</v>
      </c>
      <c r="AT986" t="s">
        <v>1375</v>
      </c>
      <c r="AU986">
        <v>2024</v>
      </c>
      <c r="AV986">
        <v>66</v>
      </c>
      <c r="AW986">
        <v>6</v>
      </c>
      <c r="AX986" t="s">
        <v>74</v>
      </c>
      <c r="AY986" t="s">
        <v>74</v>
      </c>
      <c r="AZ986" t="s">
        <v>74</v>
      </c>
      <c r="BA986" t="s">
        <v>74</v>
      </c>
      <c r="BB986">
        <v>3231</v>
      </c>
      <c r="BC986">
        <v>3259</v>
      </c>
      <c r="BD986" t="s">
        <v>74</v>
      </c>
      <c r="BE986" t="s">
        <v>19314</v>
      </c>
      <c r="BF986" t="str">
        <f>HYPERLINK("http://dx.doi.org/10.1007/s10115-023-02057-4","http://dx.doi.org/10.1007/s10115-023-02057-4")</f>
        <v>http://dx.doi.org/10.1007/s10115-023-02057-4</v>
      </c>
      <c r="BG986" t="s">
        <v>74</v>
      </c>
      <c r="BH986" t="s">
        <v>19315</v>
      </c>
      <c r="BI986">
        <v>29</v>
      </c>
      <c r="BJ986" t="s">
        <v>202</v>
      </c>
      <c r="BK986" t="s">
        <v>902</v>
      </c>
      <c r="BL986" t="s">
        <v>103</v>
      </c>
      <c r="BM986" t="s">
        <v>19316</v>
      </c>
      <c r="BN986" t="s">
        <v>74</v>
      </c>
      <c r="BO986" t="s">
        <v>74</v>
      </c>
      <c r="BP986" t="s">
        <v>74</v>
      </c>
      <c r="BQ986" t="s">
        <v>74</v>
      </c>
      <c r="BR986" t="s">
        <v>106</v>
      </c>
      <c r="BS986" t="s">
        <v>19317</v>
      </c>
      <c r="BT986" t="str">
        <f>HYPERLINK("https%3A%2F%2Fwww.webofscience.com%2Fwos%2Fwoscc%2Ffull-record%2FWOS:001152708700001","View Full Record in Web of Science")</f>
        <v>View Full Record in Web of Science</v>
      </c>
    </row>
    <row r="987" spans="1:72" x14ac:dyDescent="0.25">
      <c r="A987" t="s">
        <v>72</v>
      </c>
      <c r="B987" t="s">
        <v>19318</v>
      </c>
      <c r="C987" t="s">
        <v>74</v>
      </c>
      <c r="D987" t="s">
        <v>74</v>
      </c>
      <c r="E987" t="s">
        <v>74</v>
      </c>
      <c r="F987" t="s">
        <v>19319</v>
      </c>
      <c r="G987" t="s">
        <v>74</v>
      </c>
      <c r="H987" t="s">
        <v>74</v>
      </c>
      <c r="I987" t="s">
        <v>19320</v>
      </c>
      <c r="J987" t="s">
        <v>1572</v>
      </c>
      <c r="K987" t="s">
        <v>74</v>
      </c>
      <c r="L987" t="s">
        <v>74</v>
      </c>
      <c r="M987" t="s">
        <v>78</v>
      </c>
      <c r="N987" t="s">
        <v>79</v>
      </c>
      <c r="O987" t="s">
        <v>74</v>
      </c>
      <c r="P987" t="s">
        <v>74</v>
      </c>
      <c r="Q987" t="s">
        <v>74</v>
      </c>
      <c r="R987" t="s">
        <v>74</v>
      </c>
      <c r="S987" t="s">
        <v>74</v>
      </c>
      <c r="T987" t="s">
        <v>19321</v>
      </c>
      <c r="U987" t="s">
        <v>19322</v>
      </c>
      <c r="V987" t="s">
        <v>19323</v>
      </c>
      <c r="W987" t="s">
        <v>19324</v>
      </c>
      <c r="X987" t="s">
        <v>19325</v>
      </c>
      <c r="Y987" t="s">
        <v>19326</v>
      </c>
      <c r="Z987" t="s">
        <v>19327</v>
      </c>
      <c r="AA987" t="s">
        <v>74</v>
      </c>
      <c r="AB987" t="s">
        <v>74</v>
      </c>
      <c r="AC987" t="s">
        <v>19328</v>
      </c>
      <c r="AD987" t="s">
        <v>2463</v>
      </c>
      <c r="AE987" t="s">
        <v>19329</v>
      </c>
      <c r="AF987" t="s">
        <v>74</v>
      </c>
      <c r="AG987">
        <v>65</v>
      </c>
      <c r="AH987">
        <v>69</v>
      </c>
      <c r="AI987">
        <v>89</v>
      </c>
      <c r="AJ987">
        <v>1</v>
      </c>
      <c r="AK987">
        <v>130</v>
      </c>
      <c r="AL987" t="s">
        <v>2695</v>
      </c>
      <c r="AM987" t="s">
        <v>363</v>
      </c>
      <c r="AN987" t="s">
        <v>18136</v>
      </c>
      <c r="AO987" t="s">
        <v>1584</v>
      </c>
      <c r="AP987" t="s">
        <v>1585</v>
      </c>
      <c r="AQ987" t="s">
        <v>74</v>
      </c>
      <c r="AR987" t="s">
        <v>1586</v>
      </c>
      <c r="AS987" t="s">
        <v>1587</v>
      </c>
      <c r="AT987" t="s">
        <v>10167</v>
      </c>
      <c r="AU987">
        <v>2015</v>
      </c>
      <c r="AV987">
        <v>14</v>
      </c>
      <c r="AW987">
        <v>1</v>
      </c>
      <c r="AX987" t="s">
        <v>74</v>
      </c>
      <c r="AY987" t="s">
        <v>74</v>
      </c>
      <c r="AZ987" t="s">
        <v>74</v>
      </c>
      <c r="BA987" t="s">
        <v>74</v>
      </c>
      <c r="BB987">
        <v>1</v>
      </c>
      <c r="BC987">
        <v>13</v>
      </c>
      <c r="BD987" t="s">
        <v>74</v>
      </c>
      <c r="BE987" t="s">
        <v>19330</v>
      </c>
      <c r="BF987" t="str">
        <f>HYPERLINK("http://dx.doi.org/10.1016/j.elerap.2014.10.002","http://dx.doi.org/10.1016/j.elerap.2014.10.002")</f>
        <v>http://dx.doi.org/10.1016/j.elerap.2014.10.002</v>
      </c>
      <c r="BG987" t="s">
        <v>74</v>
      </c>
      <c r="BH987" t="s">
        <v>74</v>
      </c>
      <c r="BI987">
        <v>13</v>
      </c>
      <c r="BJ987" t="s">
        <v>1590</v>
      </c>
      <c r="BK987" t="s">
        <v>745</v>
      </c>
      <c r="BL987" t="s">
        <v>1591</v>
      </c>
      <c r="BM987" t="s">
        <v>19331</v>
      </c>
      <c r="BN987" t="s">
        <v>74</v>
      </c>
      <c r="BO987" t="s">
        <v>74</v>
      </c>
      <c r="BP987" t="s">
        <v>74</v>
      </c>
      <c r="BQ987" t="s">
        <v>74</v>
      </c>
      <c r="BR987" t="s">
        <v>106</v>
      </c>
      <c r="BS987" t="s">
        <v>19332</v>
      </c>
      <c r="BT987" t="str">
        <f>HYPERLINK("https%3A%2F%2Fwww.webofscience.com%2Fwos%2Fwoscc%2Ffull-record%2FWOS:000349612100001","View Full Record in Web of Science")</f>
        <v>View Full Record in Web of Science</v>
      </c>
    </row>
    <row r="988" spans="1:72" x14ac:dyDescent="0.25">
      <c r="A988" t="s">
        <v>108</v>
      </c>
      <c r="B988" t="s">
        <v>19333</v>
      </c>
      <c r="C988" t="s">
        <v>74</v>
      </c>
      <c r="D988" t="s">
        <v>74</v>
      </c>
      <c r="E988" t="s">
        <v>322</v>
      </c>
      <c r="F988" t="s">
        <v>19334</v>
      </c>
      <c r="G988" t="s">
        <v>74</v>
      </c>
      <c r="H988" t="s">
        <v>74</v>
      </c>
      <c r="I988" t="s">
        <v>19335</v>
      </c>
      <c r="J988" t="s">
        <v>4564</v>
      </c>
      <c r="K988" t="s">
        <v>74</v>
      </c>
      <c r="L988" t="s">
        <v>74</v>
      </c>
      <c r="M988" t="s">
        <v>78</v>
      </c>
      <c r="N988" t="s">
        <v>115</v>
      </c>
      <c r="O988" t="s">
        <v>4565</v>
      </c>
      <c r="P988" t="s">
        <v>4566</v>
      </c>
      <c r="Q988" t="s">
        <v>1983</v>
      </c>
      <c r="R988" t="s">
        <v>273</v>
      </c>
      <c r="S988" t="s">
        <v>74</v>
      </c>
      <c r="T988" t="s">
        <v>19336</v>
      </c>
      <c r="U988" t="s">
        <v>74</v>
      </c>
      <c r="V988" t="s">
        <v>19337</v>
      </c>
      <c r="W988" t="s">
        <v>19338</v>
      </c>
      <c r="X988" t="s">
        <v>74</v>
      </c>
      <c r="Y988" t="s">
        <v>19339</v>
      </c>
      <c r="Z988" t="s">
        <v>19340</v>
      </c>
      <c r="AA988" t="s">
        <v>74</v>
      </c>
      <c r="AB988" t="s">
        <v>74</v>
      </c>
      <c r="AC988" t="s">
        <v>74</v>
      </c>
      <c r="AD988" t="s">
        <v>74</v>
      </c>
      <c r="AE988" t="s">
        <v>74</v>
      </c>
      <c r="AF988" t="s">
        <v>74</v>
      </c>
      <c r="AG988">
        <v>44</v>
      </c>
      <c r="AH988">
        <v>5</v>
      </c>
      <c r="AI988">
        <v>5</v>
      </c>
      <c r="AJ988">
        <v>0</v>
      </c>
      <c r="AK988">
        <v>2</v>
      </c>
      <c r="AL988" t="s">
        <v>291</v>
      </c>
      <c r="AM988" t="s">
        <v>92</v>
      </c>
      <c r="AN988" t="s">
        <v>341</v>
      </c>
      <c r="AO988" t="s">
        <v>74</v>
      </c>
      <c r="AP988" t="s">
        <v>74</v>
      </c>
      <c r="AQ988" t="s">
        <v>4578</v>
      </c>
      <c r="AR988" t="s">
        <v>74</v>
      </c>
      <c r="AS988" t="s">
        <v>74</v>
      </c>
      <c r="AT988" t="s">
        <v>74</v>
      </c>
      <c r="AU988">
        <v>2022</v>
      </c>
      <c r="AV988" t="s">
        <v>74</v>
      </c>
      <c r="AW988" t="s">
        <v>74</v>
      </c>
      <c r="AX988" t="s">
        <v>74</v>
      </c>
      <c r="AY988" t="s">
        <v>74</v>
      </c>
      <c r="AZ988" t="s">
        <v>74</v>
      </c>
      <c r="BA988" t="s">
        <v>74</v>
      </c>
      <c r="BB988">
        <v>2640</v>
      </c>
      <c r="BC988">
        <v>2650</v>
      </c>
      <c r="BD988" t="s">
        <v>74</v>
      </c>
      <c r="BE988" t="s">
        <v>19341</v>
      </c>
      <c r="BF988" t="str">
        <f>HYPERLINK("http://dx.doi.org/10.1145/3511808.3557284","http://dx.doi.org/10.1145/3511808.3557284")</f>
        <v>http://dx.doi.org/10.1145/3511808.3557284</v>
      </c>
      <c r="BG988" t="s">
        <v>74</v>
      </c>
      <c r="BH988" t="s">
        <v>74</v>
      </c>
      <c r="BI988">
        <v>11</v>
      </c>
      <c r="BJ988" t="s">
        <v>852</v>
      </c>
      <c r="BK988" t="s">
        <v>203</v>
      </c>
      <c r="BL988" t="s">
        <v>103</v>
      </c>
      <c r="BM988" t="s">
        <v>4580</v>
      </c>
      <c r="BN988" t="s">
        <v>74</v>
      </c>
      <c r="BO988" t="s">
        <v>74</v>
      </c>
      <c r="BP988" t="s">
        <v>74</v>
      </c>
      <c r="BQ988" t="s">
        <v>74</v>
      </c>
      <c r="BR988" t="s">
        <v>106</v>
      </c>
      <c r="BS988" t="s">
        <v>19342</v>
      </c>
      <c r="BT988" t="str">
        <f>HYPERLINK("https%3A%2F%2Fwww.webofscience.com%2Fwos%2Fwoscc%2Ffull-record%2FWOS:001074639602060","View Full Record in Web of Science")</f>
        <v>View Full Record in Web of Science</v>
      </c>
    </row>
    <row r="989" spans="1:72" x14ac:dyDescent="0.25">
      <c r="A989" t="s">
        <v>72</v>
      </c>
      <c r="B989" t="s">
        <v>19343</v>
      </c>
      <c r="C989" t="s">
        <v>74</v>
      </c>
      <c r="D989" t="s">
        <v>74</v>
      </c>
      <c r="E989" t="s">
        <v>74</v>
      </c>
      <c r="F989" t="s">
        <v>19344</v>
      </c>
      <c r="G989" t="s">
        <v>74</v>
      </c>
      <c r="H989" t="s">
        <v>74</v>
      </c>
      <c r="I989" t="s">
        <v>19345</v>
      </c>
      <c r="J989" t="s">
        <v>13761</v>
      </c>
      <c r="K989" t="s">
        <v>74</v>
      </c>
      <c r="L989" t="s">
        <v>74</v>
      </c>
      <c r="M989" t="s">
        <v>78</v>
      </c>
      <c r="N989" t="s">
        <v>79</v>
      </c>
      <c r="O989" t="s">
        <v>74</v>
      </c>
      <c r="P989" t="s">
        <v>74</v>
      </c>
      <c r="Q989" t="s">
        <v>74</v>
      </c>
      <c r="R989" t="s">
        <v>74</v>
      </c>
      <c r="S989" t="s">
        <v>74</v>
      </c>
      <c r="T989" t="s">
        <v>19346</v>
      </c>
      <c r="U989" t="s">
        <v>19347</v>
      </c>
      <c r="V989" t="s">
        <v>19348</v>
      </c>
      <c r="W989" t="s">
        <v>19349</v>
      </c>
      <c r="X989" t="s">
        <v>19350</v>
      </c>
      <c r="Y989" t="s">
        <v>19351</v>
      </c>
      <c r="Z989" t="s">
        <v>19352</v>
      </c>
      <c r="AA989" t="s">
        <v>74</v>
      </c>
      <c r="AB989" t="s">
        <v>74</v>
      </c>
      <c r="AC989" t="s">
        <v>19353</v>
      </c>
      <c r="AD989" t="s">
        <v>19353</v>
      </c>
      <c r="AE989" t="s">
        <v>19354</v>
      </c>
      <c r="AF989" t="s">
        <v>74</v>
      </c>
      <c r="AG989">
        <v>67</v>
      </c>
      <c r="AH989">
        <v>0</v>
      </c>
      <c r="AI989">
        <v>0</v>
      </c>
      <c r="AJ989">
        <v>5</v>
      </c>
      <c r="AK989">
        <v>5</v>
      </c>
      <c r="AL989" t="s">
        <v>1136</v>
      </c>
      <c r="AM989" t="s">
        <v>1137</v>
      </c>
      <c r="AN989" t="s">
        <v>1138</v>
      </c>
      <c r="AO989" t="s">
        <v>13773</v>
      </c>
      <c r="AP989" t="s">
        <v>74</v>
      </c>
      <c r="AQ989" t="s">
        <v>74</v>
      </c>
      <c r="AR989" t="s">
        <v>13761</v>
      </c>
      <c r="AS989" t="s">
        <v>13774</v>
      </c>
      <c r="AT989" t="s">
        <v>1251</v>
      </c>
      <c r="AU989">
        <v>2026</v>
      </c>
      <c r="AV989">
        <v>16</v>
      </c>
      <c r="AW989">
        <v>2</v>
      </c>
      <c r="AX989" t="s">
        <v>74</v>
      </c>
      <c r="AY989" t="s">
        <v>74</v>
      </c>
      <c r="AZ989" t="s">
        <v>74</v>
      </c>
      <c r="BA989" t="s">
        <v>74</v>
      </c>
      <c r="BB989" t="s">
        <v>74</v>
      </c>
      <c r="BC989" t="s">
        <v>74</v>
      </c>
      <c r="BD989">
        <v>2.158244026145514E+16</v>
      </c>
      <c r="BE989" t="s">
        <v>19355</v>
      </c>
      <c r="BF989" t="str">
        <f>HYPERLINK("http://dx.doi.org/10.1177/21582440261455140","http://dx.doi.org/10.1177/21582440261455140")</f>
        <v>http://dx.doi.org/10.1177/21582440261455140</v>
      </c>
      <c r="BG989" t="s">
        <v>74</v>
      </c>
      <c r="BH989" t="s">
        <v>74</v>
      </c>
      <c r="BI989">
        <v>14</v>
      </c>
      <c r="BJ989" t="s">
        <v>2611</v>
      </c>
      <c r="BK989" t="s">
        <v>250</v>
      </c>
      <c r="BL989" t="s">
        <v>2612</v>
      </c>
      <c r="BM989" t="s">
        <v>19356</v>
      </c>
      <c r="BN989" t="s">
        <v>74</v>
      </c>
      <c r="BO989" t="s">
        <v>372</v>
      </c>
      <c r="BP989" t="s">
        <v>74</v>
      </c>
      <c r="BQ989" t="s">
        <v>74</v>
      </c>
      <c r="BR989" t="s">
        <v>106</v>
      </c>
      <c r="BS989" t="s">
        <v>19357</v>
      </c>
      <c r="BT989" t="str">
        <f>HYPERLINK("https%3A%2F%2Fwww.webofscience.com%2Fwos%2Fwoscc%2Ffull-record%2FWOS:001804886400001","View Full Record in Web of Science")</f>
        <v>View Full Record in Web of Science</v>
      </c>
    </row>
    <row r="990" spans="1:72" x14ac:dyDescent="0.25">
      <c r="A990" t="s">
        <v>72</v>
      </c>
      <c r="B990" t="s">
        <v>19358</v>
      </c>
      <c r="C990" t="s">
        <v>74</v>
      </c>
      <c r="D990" t="s">
        <v>74</v>
      </c>
      <c r="E990" t="s">
        <v>74</v>
      </c>
      <c r="F990" t="s">
        <v>19359</v>
      </c>
      <c r="G990" t="s">
        <v>74</v>
      </c>
      <c r="H990" t="s">
        <v>74</v>
      </c>
      <c r="I990" t="s">
        <v>19360</v>
      </c>
      <c r="J990" t="s">
        <v>11151</v>
      </c>
      <c r="K990" t="s">
        <v>74</v>
      </c>
      <c r="L990" t="s">
        <v>74</v>
      </c>
      <c r="M990" t="s">
        <v>78</v>
      </c>
      <c r="N990" t="s">
        <v>79</v>
      </c>
      <c r="O990" t="s">
        <v>74</v>
      </c>
      <c r="P990" t="s">
        <v>74</v>
      </c>
      <c r="Q990" t="s">
        <v>74</v>
      </c>
      <c r="R990" t="s">
        <v>74</v>
      </c>
      <c r="S990" t="s">
        <v>74</v>
      </c>
      <c r="T990" t="s">
        <v>19361</v>
      </c>
      <c r="U990" t="s">
        <v>2279</v>
      </c>
      <c r="V990" t="s">
        <v>19362</v>
      </c>
      <c r="W990" t="s">
        <v>19363</v>
      </c>
      <c r="X990" t="s">
        <v>19364</v>
      </c>
      <c r="Y990" t="s">
        <v>19365</v>
      </c>
      <c r="Z990" t="s">
        <v>19366</v>
      </c>
      <c r="AA990" t="s">
        <v>19367</v>
      </c>
      <c r="AB990" t="s">
        <v>19368</v>
      </c>
      <c r="AC990" t="s">
        <v>74</v>
      </c>
      <c r="AD990" t="s">
        <v>74</v>
      </c>
      <c r="AE990" t="s">
        <v>74</v>
      </c>
      <c r="AF990" t="s">
        <v>74</v>
      </c>
      <c r="AG990">
        <v>38</v>
      </c>
      <c r="AH990">
        <v>5</v>
      </c>
      <c r="AI990">
        <v>6</v>
      </c>
      <c r="AJ990">
        <v>0</v>
      </c>
      <c r="AK990">
        <v>28</v>
      </c>
      <c r="AL990" t="s">
        <v>178</v>
      </c>
      <c r="AM990" t="s">
        <v>92</v>
      </c>
      <c r="AN990" t="s">
        <v>179</v>
      </c>
      <c r="AO990" t="s">
        <v>11163</v>
      </c>
      <c r="AP990" t="s">
        <v>11164</v>
      </c>
      <c r="AQ990" t="s">
        <v>74</v>
      </c>
      <c r="AR990" t="s">
        <v>11165</v>
      </c>
      <c r="AS990" t="s">
        <v>11166</v>
      </c>
      <c r="AT990" t="s">
        <v>246</v>
      </c>
      <c r="AU990">
        <v>2018</v>
      </c>
      <c r="AV990">
        <v>103</v>
      </c>
      <c r="AW990">
        <v>1</v>
      </c>
      <c r="AX990" t="s">
        <v>74</v>
      </c>
      <c r="AY990" t="s">
        <v>74</v>
      </c>
      <c r="AZ990" t="s">
        <v>74</v>
      </c>
      <c r="BA990" t="s">
        <v>74</v>
      </c>
      <c r="BB990">
        <v>991</v>
      </c>
      <c r="BC990">
        <v>1010</v>
      </c>
      <c r="BD990" t="s">
        <v>74</v>
      </c>
      <c r="BE990" t="s">
        <v>19369</v>
      </c>
      <c r="BF990" t="str">
        <f>HYPERLINK("http://dx.doi.org/10.1007/s11277-018-5492-0","http://dx.doi.org/10.1007/s11277-018-5492-0")</f>
        <v>http://dx.doi.org/10.1007/s11277-018-5492-0</v>
      </c>
      <c r="BG990" t="s">
        <v>74</v>
      </c>
      <c r="BH990" t="s">
        <v>74</v>
      </c>
      <c r="BI990">
        <v>20</v>
      </c>
      <c r="BJ990" t="s">
        <v>4177</v>
      </c>
      <c r="BK990" t="s">
        <v>745</v>
      </c>
      <c r="BL990" t="s">
        <v>4177</v>
      </c>
      <c r="BM990" t="s">
        <v>19370</v>
      </c>
      <c r="BN990" t="s">
        <v>74</v>
      </c>
      <c r="BO990" t="s">
        <v>74</v>
      </c>
      <c r="BP990" t="s">
        <v>74</v>
      </c>
      <c r="BQ990" t="s">
        <v>74</v>
      </c>
      <c r="BR990" t="s">
        <v>106</v>
      </c>
      <c r="BS990" t="s">
        <v>19371</v>
      </c>
      <c r="BT990" t="str">
        <f>HYPERLINK("https%3A%2F%2Fwww.webofscience.com%2Fwos%2Fwoscc%2Ffull-record%2FWOS:000450754400069","View Full Record in Web of Science")</f>
        <v>View Full Record in Web of Science</v>
      </c>
    </row>
    <row r="991" spans="1:72" x14ac:dyDescent="0.25">
      <c r="A991" t="s">
        <v>72</v>
      </c>
      <c r="B991" t="s">
        <v>19372</v>
      </c>
      <c r="C991" t="s">
        <v>74</v>
      </c>
      <c r="D991" t="s">
        <v>74</v>
      </c>
      <c r="E991" t="s">
        <v>74</v>
      </c>
      <c r="F991" t="s">
        <v>19373</v>
      </c>
      <c r="G991" t="s">
        <v>74</v>
      </c>
      <c r="H991" t="s">
        <v>74</v>
      </c>
      <c r="I991" t="s">
        <v>19374</v>
      </c>
      <c r="J991" t="s">
        <v>19375</v>
      </c>
      <c r="K991" t="s">
        <v>74</v>
      </c>
      <c r="L991" t="s">
        <v>74</v>
      </c>
      <c r="M991" t="s">
        <v>78</v>
      </c>
      <c r="N991" t="s">
        <v>79</v>
      </c>
      <c r="O991" t="s">
        <v>74</v>
      </c>
      <c r="P991" t="s">
        <v>74</v>
      </c>
      <c r="Q991" t="s">
        <v>74</v>
      </c>
      <c r="R991" t="s">
        <v>74</v>
      </c>
      <c r="S991" t="s">
        <v>74</v>
      </c>
      <c r="T991" t="s">
        <v>74</v>
      </c>
      <c r="U991" t="s">
        <v>13131</v>
      </c>
      <c r="V991" t="s">
        <v>19376</v>
      </c>
      <c r="W991" t="s">
        <v>19377</v>
      </c>
      <c r="X991" t="s">
        <v>19378</v>
      </c>
      <c r="Y991" t="s">
        <v>19379</v>
      </c>
      <c r="Z991" t="s">
        <v>19380</v>
      </c>
      <c r="AA991" t="s">
        <v>74</v>
      </c>
      <c r="AB991" t="s">
        <v>74</v>
      </c>
      <c r="AC991" t="s">
        <v>19381</v>
      </c>
      <c r="AD991" t="s">
        <v>19382</v>
      </c>
      <c r="AE991" t="s">
        <v>19383</v>
      </c>
      <c r="AF991" t="s">
        <v>74</v>
      </c>
      <c r="AG991">
        <v>30</v>
      </c>
      <c r="AH991">
        <v>7</v>
      </c>
      <c r="AI991">
        <v>7</v>
      </c>
      <c r="AJ991">
        <v>1</v>
      </c>
      <c r="AK991">
        <v>13</v>
      </c>
      <c r="AL991" t="s">
        <v>2870</v>
      </c>
      <c r="AM991" t="s">
        <v>1320</v>
      </c>
      <c r="AN991" t="s">
        <v>2871</v>
      </c>
      <c r="AO991" t="s">
        <v>19384</v>
      </c>
      <c r="AP991" t="s">
        <v>19385</v>
      </c>
      <c r="AQ991" t="s">
        <v>74</v>
      </c>
      <c r="AR991" t="s">
        <v>19386</v>
      </c>
      <c r="AS991" t="s">
        <v>19387</v>
      </c>
      <c r="AT991" t="s">
        <v>19388</v>
      </c>
      <c r="AU991">
        <v>2020</v>
      </c>
      <c r="AV991">
        <v>2020</v>
      </c>
      <c r="AW991" t="s">
        <v>74</v>
      </c>
      <c r="AX991" t="s">
        <v>74</v>
      </c>
      <c r="AY991" t="s">
        <v>74</v>
      </c>
      <c r="AZ991" t="s">
        <v>74</v>
      </c>
      <c r="BA991" t="s">
        <v>74</v>
      </c>
      <c r="BB991" t="s">
        <v>74</v>
      </c>
      <c r="BC991" t="s">
        <v>74</v>
      </c>
      <c r="BD991">
        <v>8857576</v>
      </c>
      <c r="BE991" t="s">
        <v>19389</v>
      </c>
      <c r="BF991" t="str">
        <f>HYPERLINK("http://dx.doi.org/10.1155/2020/8857576","http://dx.doi.org/10.1155/2020/8857576")</f>
        <v>http://dx.doi.org/10.1155/2020/8857576</v>
      </c>
      <c r="BG991" t="s">
        <v>74</v>
      </c>
      <c r="BH991" t="s">
        <v>74</v>
      </c>
      <c r="BI991">
        <v>10</v>
      </c>
      <c r="BJ991" t="s">
        <v>901</v>
      </c>
      <c r="BK991" t="s">
        <v>902</v>
      </c>
      <c r="BL991" t="s">
        <v>903</v>
      </c>
      <c r="BM991" t="s">
        <v>19390</v>
      </c>
      <c r="BN991" t="s">
        <v>74</v>
      </c>
      <c r="BO991" t="s">
        <v>105</v>
      </c>
      <c r="BP991" t="s">
        <v>74</v>
      </c>
      <c r="BQ991" t="s">
        <v>74</v>
      </c>
      <c r="BR991" t="s">
        <v>106</v>
      </c>
      <c r="BS991" t="s">
        <v>19391</v>
      </c>
      <c r="BT991" t="str">
        <f>HYPERLINK("https%3A%2F%2Fwww.webofscience.com%2Fwos%2Fwoscc%2Ffull-record%2FWOS:000583266900005","View Full Record in Web of Science")</f>
        <v>View Full Record in Web of Science</v>
      </c>
    </row>
    <row r="992" spans="1:72" x14ac:dyDescent="0.25">
      <c r="A992" t="s">
        <v>72</v>
      </c>
      <c r="B992" t="s">
        <v>19392</v>
      </c>
      <c r="C992" t="s">
        <v>74</v>
      </c>
      <c r="D992" t="s">
        <v>74</v>
      </c>
      <c r="E992" t="s">
        <v>74</v>
      </c>
      <c r="F992" t="s">
        <v>19393</v>
      </c>
      <c r="G992" t="s">
        <v>74</v>
      </c>
      <c r="H992" t="s">
        <v>74</v>
      </c>
      <c r="I992" t="s">
        <v>19394</v>
      </c>
      <c r="J992" t="s">
        <v>2480</v>
      </c>
      <c r="K992" t="s">
        <v>74</v>
      </c>
      <c r="L992" t="s">
        <v>74</v>
      </c>
      <c r="M992" t="s">
        <v>78</v>
      </c>
      <c r="N992" t="s">
        <v>79</v>
      </c>
      <c r="O992" t="s">
        <v>74</v>
      </c>
      <c r="P992" t="s">
        <v>74</v>
      </c>
      <c r="Q992" t="s">
        <v>74</v>
      </c>
      <c r="R992" t="s">
        <v>74</v>
      </c>
      <c r="S992" t="s">
        <v>74</v>
      </c>
      <c r="T992" t="s">
        <v>19395</v>
      </c>
      <c r="U992" t="s">
        <v>19396</v>
      </c>
      <c r="V992" t="s">
        <v>19397</v>
      </c>
      <c r="W992" t="s">
        <v>19398</v>
      </c>
      <c r="X992" t="s">
        <v>19399</v>
      </c>
      <c r="Y992" t="s">
        <v>19400</v>
      </c>
      <c r="Z992" t="s">
        <v>19401</v>
      </c>
      <c r="AA992" t="s">
        <v>19402</v>
      </c>
      <c r="AB992" t="s">
        <v>19403</v>
      </c>
      <c r="AC992" t="s">
        <v>74</v>
      </c>
      <c r="AD992" t="s">
        <v>74</v>
      </c>
      <c r="AE992" t="s">
        <v>74</v>
      </c>
      <c r="AF992" t="s">
        <v>74</v>
      </c>
      <c r="AG992">
        <v>25</v>
      </c>
      <c r="AH992">
        <v>1</v>
      </c>
      <c r="AI992">
        <v>2</v>
      </c>
      <c r="AJ992">
        <v>0</v>
      </c>
      <c r="AK992">
        <v>17</v>
      </c>
      <c r="AL992" t="s">
        <v>178</v>
      </c>
      <c r="AM992" t="s">
        <v>1005</v>
      </c>
      <c r="AN992" t="s">
        <v>1006</v>
      </c>
      <c r="AO992" t="s">
        <v>2489</v>
      </c>
      <c r="AP992" t="s">
        <v>3079</v>
      </c>
      <c r="AQ992" t="s">
        <v>74</v>
      </c>
      <c r="AR992" t="s">
        <v>2490</v>
      </c>
      <c r="AS992" t="s">
        <v>2491</v>
      </c>
      <c r="AT992" t="s">
        <v>246</v>
      </c>
      <c r="AU992">
        <v>2014</v>
      </c>
      <c r="AV992">
        <v>73</v>
      </c>
      <c r="AW992">
        <v>2</v>
      </c>
      <c r="AX992" t="s">
        <v>74</v>
      </c>
      <c r="AY992" t="s">
        <v>74</v>
      </c>
      <c r="AZ992" t="s">
        <v>74</v>
      </c>
      <c r="BA992" t="s">
        <v>74</v>
      </c>
      <c r="BB992">
        <v>1029</v>
      </c>
      <c r="BC992">
        <v>1051</v>
      </c>
      <c r="BD992" t="s">
        <v>74</v>
      </c>
      <c r="BE992" t="s">
        <v>19404</v>
      </c>
      <c r="BF992" t="str">
        <f>HYPERLINK("http://dx.doi.org/10.1007/s11042-012-1254-2","http://dx.doi.org/10.1007/s11042-012-1254-2")</f>
        <v>http://dx.doi.org/10.1007/s11042-012-1254-2</v>
      </c>
      <c r="BG992" t="s">
        <v>74</v>
      </c>
      <c r="BH992" t="s">
        <v>74</v>
      </c>
      <c r="BI992">
        <v>23</v>
      </c>
      <c r="BJ992" t="s">
        <v>2493</v>
      </c>
      <c r="BK992" t="s">
        <v>902</v>
      </c>
      <c r="BL992" t="s">
        <v>953</v>
      </c>
      <c r="BM992" t="s">
        <v>19405</v>
      </c>
      <c r="BN992" t="s">
        <v>74</v>
      </c>
      <c r="BO992" t="s">
        <v>74</v>
      </c>
      <c r="BP992" t="s">
        <v>74</v>
      </c>
      <c r="BQ992" t="s">
        <v>74</v>
      </c>
      <c r="BR992" t="s">
        <v>106</v>
      </c>
      <c r="BS992" t="s">
        <v>19406</v>
      </c>
      <c r="BT992" t="str">
        <f>HYPERLINK("https%3A%2F%2Fwww.webofscience.com%2Fwos%2Fwoscc%2Ffull-record%2FWOS:000343080700025","View Full Record in Web of Science")</f>
        <v>View Full Record in Web of Science</v>
      </c>
    </row>
    <row r="993" spans="1:72" x14ac:dyDescent="0.25">
      <c r="A993" t="s">
        <v>72</v>
      </c>
      <c r="B993" t="s">
        <v>19407</v>
      </c>
      <c r="C993" t="s">
        <v>74</v>
      </c>
      <c r="D993" t="s">
        <v>74</v>
      </c>
      <c r="E993" t="s">
        <v>74</v>
      </c>
      <c r="F993" t="s">
        <v>19408</v>
      </c>
      <c r="G993" t="s">
        <v>74</v>
      </c>
      <c r="H993" t="s">
        <v>74</v>
      </c>
      <c r="I993" t="s">
        <v>19409</v>
      </c>
      <c r="J993" t="s">
        <v>19410</v>
      </c>
      <c r="K993" t="s">
        <v>74</v>
      </c>
      <c r="L993" t="s">
        <v>74</v>
      </c>
      <c r="M993" t="s">
        <v>78</v>
      </c>
      <c r="N993" t="s">
        <v>79</v>
      </c>
      <c r="O993" t="s">
        <v>74</v>
      </c>
      <c r="P993" t="s">
        <v>74</v>
      </c>
      <c r="Q993" t="s">
        <v>74</v>
      </c>
      <c r="R993" t="s">
        <v>74</v>
      </c>
      <c r="S993" t="s">
        <v>74</v>
      </c>
      <c r="T993" t="s">
        <v>19411</v>
      </c>
      <c r="U993" t="s">
        <v>19412</v>
      </c>
      <c r="V993" t="s">
        <v>19413</v>
      </c>
      <c r="W993" t="s">
        <v>19414</v>
      </c>
      <c r="X993" t="s">
        <v>19415</v>
      </c>
      <c r="Y993" t="s">
        <v>19416</v>
      </c>
      <c r="Z993" t="s">
        <v>19417</v>
      </c>
      <c r="AA993" t="s">
        <v>19418</v>
      </c>
      <c r="AB993" t="s">
        <v>19419</v>
      </c>
      <c r="AC993" t="s">
        <v>19420</v>
      </c>
      <c r="AD993" t="s">
        <v>19421</v>
      </c>
      <c r="AE993" t="s">
        <v>19422</v>
      </c>
      <c r="AF993" t="s">
        <v>74</v>
      </c>
      <c r="AG993">
        <v>58</v>
      </c>
      <c r="AH993">
        <v>2</v>
      </c>
      <c r="AI993">
        <v>3</v>
      </c>
      <c r="AJ993">
        <v>2</v>
      </c>
      <c r="AK993">
        <v>17</v>
      </c>
      <c r="AL993" t="s">
        <v>310</v>
      </c>
      <c r="AM993" t="s">
        <v>311</v>
      </c>
      <c r="AN993" t="s">
        <v>312</v>
      </c>
      <c r="AO993" t="s">
        <v>19423</v>
      </c>
      <c r="AP993" t="s">
        <v>74</v>
      </c>
      <c r="AQ993" t="s">
        <v>74</v>
      </c>
      <c r="AR993" t="s">
        <v>19424</v>
      </c>
      <c r="AS993" t="s">
        <v>19425</v>
      </c>
      <c r="AT993" t="s">
        <v>15115</v>
      </c>
      <c r="AU993">
        <v>2020</v>
      </c>
      <c r="AV993">
        <v>7</v>
      </c>
      <c r="AW993">
        <v>1</v>
      </c>
      <c r="AX993" t="s">
        <v>74</v>
      </c>
      <c r="AY993" t="s">
        <v>74</v>
      </c>
      <c r="AZ993" t="s">
        <v>74</v>
      </c>
      <c r="BA993" t="s">
        <v>74</v>
      </c>
      <c r="BB993">
        <v>511</v>
      </c>
      <c r="BC993">
        <v>531</v>
      </c>
      <c r="BD993" t="s">
        <v>74</v>
      </c>
      <c r="BE993" t="s">
        <v>19426</v>
      </c>
      <c r="BF993" t="str">
        <f>HYPERLINK("http://dx.doi.org/10.1080/21681376.2020.1811753","http://dx.doi.org/10.1080/21681376.2020.1811753")</f>
        <v>http://dx.doi.org/10.1080/21681376.2020.1811753</v>
      </c>
      <c r="BG993" t="s">
        <v>74</v>
      </c>
      <c r="BH993" t="s">
        <v>74</v>
      </c>
      <c r="BI993">
        <v>21</v>
      </c>
      <c r="BJ993" t="s">
        <v>17471</v>
      </c>
      <c r="BK993" t="s">
        <v>102</v>
      </c>
      <c r="BL993" t="s">
        <v>17471</v>
      </c>
      <c r="BM993" t="s">
        <v>19427</v>
      </c>
      <c r="BN993" t="s">
        <v>74</v>
      </c>
      <c r="BO993" t="s">
        <v>398</v>
      </c>
      <c r="BP993" t="s">
        <v>74</v>
      </c>
      <c r="BQ993" t="s">
        <v>74</v>
      </c>
      <c r="BR993" t="s">
        <v>106</v>
      </c>
      <c r="BS993" t="s">
        <v>19428</v>
      </c>
      <c r="BT993" t="str">
        <f>HYPERLINK("https%3A%2F%2Fwww.webofscience.com%2Fwos%2Fwoscc%2Ffull-record%2FWOS:000590850200001","View Full Record in Web of Science")</f>
        <v>View Full Record in Web of Science</v>
      </c>
    </row>
    <row r="994" spans="1:72" x14ac:dyDescent="0.25">
      <c r="A994" t="s">
        <v>72</v>
      </c>
      <c r="B994" t="s">
        <v>19429</v>
      </c>
      <c r="C994" t="s">
        <v>74</v>
      </c>
      <c r="D994" t="s">
        <v>74</v>
      </c>
      <c r="E994" t="s">
        <v>74</v>
      </c>
      <c r="F994" t="s">
        <v>19430</v>
      </c>
      <c r="G994" t="s">
        <v>74</v>
      </c>
      <c r="H994" t="s">
        <v>74</v>
      </c>
      <c r="I994" t="s">
        <v>19431</v>
      </c>
      <c r="J994" t="s">
        <v>19432</v>
      </c>
      <c r="K994" t="s">
        <v>74</v>
      </c>
      <c r="L994" t="s">
        <v>74</v>
      </c>
      <c r="M994" t="s">
        <v>78</v>
      </c>
      <c r="N994" t="s">
        <v>726</v>
      </c>
      <c r="O994" t="s">
        <v>74</v>
      </c>
      <c r="P994" t="s">
        <v>74</v>
      </c>
      <c r="Q994" t="s">
        <v>74</v>
      </c>
      <c r="R994" t="s">
        <v>74</v>
      </c>
      <c r="S994" t="s">
        <v>74</v>
      </c>
      <c r="T994" t="s">
        <v>19433</v>
      </c>
      <c r="U994" t="s">
        <v>19434</v>
      </c>
      <c r="V994" t="s">
        <v>19435</v>
      </c>
      <c r="W994" t="s">
        <v>19436</v>
      </c>
      <c r="X994" t="s">
        <v>19437</v>
      </c>
      <c r="Y994" t="s">
        <v>19438</v>
      </c>
      <c r="Z994" t="s">
        <v>19439</v>
      </c>
      <c r="AA994" t="s">
        <v>19440</v>
      </c>
      <c r="AB994" t="s">
        <v>19441</v>
      </c>
      <c r="AC994" t="s">
        <v>19442</v>
      </c>
      <c r="AD994" t="s">
        <v>19443</v>
      </c>
      <c r="AE994" t="s">
        <v>19444</v>
      </c>
      <c r="AF994" t="s">
        <v>74</v>
      </c>
      <c r="AG994">
        <v>123</v>
      </c>
      <c r="AH994">
        <v>73</v>
      </c>
      <c r="AI994">
        <v>88</v>
      </c>
      <c r="AJ994">
        <v>0</v>
      </c>
      <c r="AK994">
        <v>72</v>
      </c>
      <c r="AL994" t="s">
        <v>2579</v>
      </c>
      <c r="AM994" t="s">
        <v>737</v>
      </c>
      <c r="AN994" t="s">
        <v>2580</v>
      </c>
      <c r="AO994" t="s">
        <v>19445</v>
      </c>
      <c r="AP994" t="s">
        <v>19446</v>
      </c>
      <c r="AQ994" t="s">
        <v>74</v>
      </c>
      <c r="AR994" t="s">
        <v>19447</v>
      </c>
      <c r="AS994" t="s">
        <v>19448</v>
      </c>
      <c r="AT994" t="s">
        <v>1950</v>
      </c>
      <c r="AU994">
        <v>2010</v>
      </c>
      <c r="AV994">
        <v>22</v>
      </c>
      <c r="AW994">
        <v>1</v>
      </c>
      <c r="AX994" t="s">
        <v>74</v>
      </c>
      <c r="AY994" t="s">
        <v>74</v>
      </c>
      <c r="AZ994" t="s">
        <v>74</v>
      </c>
      <c r="BA994" t="s">
        <v>74</v>
      </c>
      <c r="BB994">
        <v>44</v>
      </c>
      <c r="BC994">
        <v>69</v>
      </c>
      <c r="BD994" t="s">
        <v>74</v>
      </c>
      <c r="BE994" t="s">
        <v>19449</v>
      </c>
      <c r="BF994" t="str">
        <f>HYPERLINK("http://dx.doi.org/10.1093/intqhc/mzp057","http://dx.doi.org/10.1093/intqhc/mzp057")</f>
        <v>http://dx.doi.org/10.1093/intqhc/mzp057</v>
      </c>
      <c r="BG994" t="s">
        <v>74</v>
      </c>
      <c r="BH994" t="s">
        <v>74</v>
      </c>
      <c r="BI994">
        <v>26</v>
      </c>
      <c r="BJ994" t="s">
        <v>19450</v>
      </c>
      <c r="BK994" t="s">
        <v>745</v>
      </c>
      <c r="BL994" t="s">
        <v>19451</v>
      </c>
      <c r="BM994" t="s">
        <v>19452</v>
      </c>
      <c r="BN994">
        <v>19951964</v>
      </c>
      <c r="BO994" t="s">
        <v>74</v>
      </c>
      <c r="BP994" t="s">
        <v>74</v>
      </c>
      <c r="BQ994" t="s">
        <v>74</v>
      </c>
      <c r="BR994" t="s">
        <v>106</v>
      </c>
      <c r="BS994" t="s">
        <v>19453</v>
      </c>
      <c r="BT994" t="str">
        <f>HYPERLINK("https%3A%2F%2Fwww.webofscience.com%2Fwos%2Fwoscc%2Ffull-record%2FWOS:000273500200008","View Full Record in Web of Science")</f>
        <v>View Full Record in Web of Science</v>
      </c>
    </row>
    <row r="995" spans="1:72" x14ac:dyDescent="0.25">
      <c r="A995" t="s">
        <v>108</v>
      </c>
      <c r="B995" t="s">
        <v>19454</v>
      </c>
      <c r="C995" t="s">
        <v>74</v>
      </c>
      <c r="D995" t="s">
        <v>19455</v>
      </c>
      <c r="E995" t="s">
        <v>74</v>
      </c>
      <c r="F995" t="s">
        <v>19456</v>
      </c>
      <c r="G995" t="s">
        <v>74</v>
      </c>
      <c r="H995" t="s">
        <v>74</v>
      </c>
      <c r="I995" t="s">
        <v>19457</v>
      </c>
      <c r="J995" t="s">
        <v>19458</v>
      </c>
      <c r="K995" t="s">
        <v>147</v>
      </c>
      <c r="L995" t="s">
        <v>74</v>
      </c>
      <c r="M995" t="s">
        <v>78</v>
      </c>
      <c r="N995" t="s">
        <v>115</v>
      </c>
      <c r="O995" t="s">
        <v>19459</v>
      </c>
      <c r="P995" t="s">
        <v>19460</v>
      </c>
      <c r="Q995" t="s">
        <v>19461</v>
      </c>
      <c r="R995" t="s">
        <v>19462</v>
      </c>
      <c r="S995" t="s">
        <v>74</v>
      </c>
      <c r="T995" t="s">
        <v>19463</v>
      </c>
      <c r="U995" t="s">
        <v>74</v>
      </c>
      <c r="V995" t="s">
        <v>19464</v>
      </c>
      <c r="W995" t="s">
        <v>19465</v>
      </c>
      <c r="X995" t="s">
        <v>19466</v>
      </c>
      <c r="Y995" t="s">
        <v>19467</v>
      </c>
      <c r="Z995" t="s">
        <v>19468</v>
      </c>
      <c r="AA995" t="s">
        <v>74</v>
      </c>
      <c r="AB995" t="s">
        <v>74</v>
      </c>
      <c r="AC995" t="s">
        <v>19469</v>
      </c>
      <c r="AD995" t="s">
        <v>19470</v>
      </c>
      <c r="AE995" t="s">
        <v>19471</v>
      </c>
      <c r="AF995" t="s">
        <v>74</v>
      </c>
      <c r="AG995">
        <v>18</v>
      </c>
      <c r="AH995">
        <v>0</v>
      </c>
      <c r="AI995">
        <v>0</v>
      </c>
      <c r="AJ995">
        <v>0</v>
      </c>
      <c r="AK995">
        <v>0</v>
      </c>
      <c r="AL995" t="s">
        <v>129</v>
      </c>
      <c r="AM995" t="s">
        <v>130</v>
      </c>
      <c r="AN995" t="s">
        <v>131</v>
      </c>
      <c r="AO995" t="s">
        <v>159</v>
      </c>
      <c r="AP995" t="s">
        <v>133</v>
      </c>
      <c r="AQ995" t="s">
        <v>19472</v>
      </c>
      <c r="AR995" t="s">
        <v>161</v>
      </c>
      <c r="AS995" t="s">
        <v>74</v>
      </c>
      <c r="AT995" t="s">
        <v>74</v>
      </c>
      <c r="AU995">
        <v>2026</v>
      </c>
      <c r="AV995">
        <v>16328</v>
      </c>
      <c r="AW995" t="s">
        <v>74</v>
      </c>
      <c r="AX995" t="s">
        <v>74</v>
      </c>
      <c r="AY995" t="s">
        <v>74</v>
      </c>
      <c r="AZ995" t="s">
        <v>74</v>
      </c>
      <c r="BA995" t="s">
        <v>74</v>
      </c>
      <c r="BB995">
        <v>139</v>
      </c>
      <c r="BC995">
        <v>151</v>
      </c>
      <c r="BD995" t="s">
        <v>74</v>
      </c>
      <c r="BE995" t="s">
        <v>19473</v>
      </c>
      <c r="BF995" t="str">
        <f>HYPERLINK("http://dx.doi.org/10.1007/978-3-032-11358-0_12","http://dx.doi.org/10.1007/978-3-032-11358-0_12")</f>
        <v>http://dx.doi.org/10.1007/978-3-032-11358-0_12</v>
      </c>
      <c r="BG995" t="s">
        <v>74</v>
      </c>
      <c r="BH995" t="s">
        <v>74</v>
      </c>
      <c r="BI995">
        <v>13</v>
      </c>
      <c r="BJ995" t="s">
        <v>1399</v>
      </c>
      <c r="BK995" t="s">
        <v>203</v>
      </c>
      <c r="BL995" t="s">
        <v>103</v>
      </c>
      <c r="BM995" t="s">
        <v>19474</v>
      </c>
      <c r="BN995" t="s">
        <v>74</v>
      </c>
      <c r="BO995" t="s">
        <v>74</v>
      </c>
      <c r="BP995" t="s">
        <v>74</v>
      </c>
      <c r="BQ995" t="s">
        <v>74</v>
      </c>
      <c r="BR995" t="s">
        <v>106</v>
      </c>
      <c r="BS995" t="s">
        <v>19475</v>
      </c>
      <c r="BT995" t="str">
        <f>HYPERLINK("https%3A%2F%2Fwww.webofscience.com%2Fwos%2Fwoscc%2Ffull-record%2FWOS:001754952900012","View Full Record in Web of Science")</f>
        <v>View Full Record in Web of Science</v>
      </c>
    </row>
    <row r="996" spans="1:72" x14ac:dyDescent="0.25">
      <c r="A996" t="s">
        <v>72</v>
      </c>
      <c r="B996" t="s">
        <v>19476</v>
      </c>
      <c r="C996" t="s">
        <v>74</v>
      </c>
      <c r="D996" t="s">
        <v>74</v>
      </c>
      <c r="E996" t="s">
        <v>74</v>
      </c>
      <c r="F996" t="s">
        <v>19477</v>
      </c>
      <c r="G996" t="s">
        <v>74</v>
      </c>
      <c r="H996" t="s">
        <v>74</v>
      </c>
      <c r="I996" t="s">
        <v>19478</v>
      </c>
      <c r="J996" t="s">
        <v>19479</v>
      </c>
      <c r="K996" t="s">
        <v>74</v>
      </c>
      <c r="L996" t="s">
        <v>74</v>
      </c>
      <c r="M996" t="s">
        <v>78</v>
      </c>
      <c r="N996" t="s">
        <v>79</v>
      </c>
      <c r="O996" t="s">
        <v>74</v>
      </c>
      <c r="P996" t="s">
        <v>74</v>
      </c>
      <c r="Q996" t="s">
        <v>74</v>
      </c>
      <c r="R996" t="s">
        <v>74</v>
      </c>
      <c r="S996" t="s">
        <v>74</v>
      </c>
      <c r="T996" t="s">
        <v>19480</v>
      </c>
      <c r="U996" t="s">
        <v>74</v>
      </c>
      <c r="V996" t="s">
        <v>19481</v>
      </c>
      <c r="W996" t="s">
        <v>19482</v>
      </c>
      <c r="X996" t="s">
        <v>19483</v>
      </c>
      <c r="Y996" t="s">
        <v>19484</v>
      </c>
      <c r="Z996" t="s">
        <v>74</v>
      </c>
      <c r="AA996" t="s">
        <v>19485</v>
      </c>
      <c r="AB996" t="s">
        <v>19486</v>
      </c>
      <c r="AC996" t="s">
        <v>74</v>
      </c>
      <c r="AD996" t="s">
        <v>74</v>
      </c>
      <c r="AE996" t="s">
        <v>74</v>
      </c>
      <c r="AF996" t="s">
        <v>74</v>
      </c>
      <c r="AG996">
        <v>18</v>
      </c>
      <c r="AH996">
        <v>3</v>
      </c>
      <c r="AI996">
        <v>4</v>
      </c>
      <c r="AJ996">
        <v>0</v>
      </c>
      <c r="AK996">
        <v>5</v>
      </c>
      <c r="AL996" t="s">
        <v>4168</v>
      </c>
      <c r="AM996" t="s">
        <v>4169</v>
      </c>
      <c r="AN996" t="s">
        <v>4170</v>
      </c>
      <c r="AO996" t="s">
        <v>19487</v>
      </c>
      <c r="AP996" t="s">
        <v>19488</v>
      </c>
      <c r="AQ996" t="s">
        <v>74</v>
      </c>
      <c r="AR996" t="s">
        <v>19489</v>
      </c>
      <c r="AS996" t="s">
        <v>19490</v>
      </c>
      <c r="AT996" t="s">
        <v>74</v>
      </c>
      <c r="AU996">
        <v>2022</v>
      </c>
      <c r="AV996">
        <v>9</v>
      </c>
      <c r="AW996">
        <v>3</v>
      </c>
      <c r="AX996" t="s">
        <v>74</v>
      </c>
      <c r="AY996" t="s">
        <v>74</v>
      </c>
      <c r="AZ996" t="s">
        <v>247</v>
      </c>
      <c r="BA996" t="s">
        <v>74</v>
      </c>
      <c r="BB996" t="s">
        <v>74</v>
      </c>
      <c r="BC996" t="s">
        <v>74</v>
      </c>
      <c r="BD996" t="s">
        <v>74</v>
      </c>
      <c r="BE996" t="s">
        <v>19491</v>
      </c>
      <c r="BF996" t="str">
        <f>HYPERLINK("http://dx.doi.org/10.4018/IJBAN.292059","http://dx.doi.org/10.4018/IJBAN.292059")</f>
        <v>http://dx.doi.org/10.4018/IJBAN.292059</v>
      </c>
      <c r="BG996" t="s">
        <v>74</v>
      </c>
      <c r="BH996" t="s">
        <v>74</v>
      </c>
      <c r="BI996">
        <v>17</v>
      </c>
      <c r="BJ996" t="s">
        <v>19492</v>
      </c>
      <c r="BK996" t="s">
        <v>102</v>
      </c>
      <c r="BL996" t="s">
        <v>2588</v>
      </c>
      <c r="BM996" t="s">
        <v>19493</v>
      </c>
      <c r="BN996" t="s">
        <v>74</v>
      </c>
      <c r="BO996" t="s">
        <v>105</v>
      </c>
      <c r="BP996" t="s">
        <v>74</v>
      </c>
      <c r="BQ996" t="s">
        <v>74</v>
      </c>
      <c r="BR996" t="s">
        <v>106</v>
      </c>
      <c r="BS996" t="s">
        <v>19494</v>
      </c>
      <c r="BT996" t="str">
        <f>HYPERLINK("https%3A%2F%2Fwww.webofscience.com%2Fwos%2Fwoscc%2Ffull-record%2FWOS:000836694400001","View Full Record in Web of Science")</f>
        <v>View Full Record in Web of Science</v>
      </c>
    </row>
    <row r="997" spans="1:72" x14ac:dyDescent="0.25">
      <c r="A997" t="s">
        <v>72</v>
      </c>
      <c r="B997" t="s">
        <v>19495</v>
      </c>
      <c r="C997" t="s">
        <v>74</v>
      </c>
      <c r="D997" t="s">
        <v>74</v>
      </c>
      <c r="E997" t="s">
        <v>74</v>
      </c>
      <c r="F997" t="s">
        <v>19496</v>
      </c>
      <c r="G997" t="s">
        <v>74</v>
      </c>
      <c r="H997" t="s">
        <v>74</v>
      </c>
      <c r="I997" t="s">
        <v>19497</v>
      </c>
      <c r="J997" t="s">
        <v>3240</v>
      </c>
      <c r="K997" t="s">
        <v>74</v>
      </c>
      <c r="L997" t="s">
        <v>74</v>
      </c>
      <c r="M997" t="s">
        <v>78</v>
      </c>
      <c r="N997" t="s">
        <v>79</v>
      </c>
      <c r="O997" t="s">
        <v>74</v>
      </c>
      <c r="P997" t="s">
        <v>74</v>
      </c>
      <c r="Q997" t="s">
        <v>74</v>
      </c>
      <c r="R997" t="s">
        <v>74</v>
      </c>
      <c r="S997" t="s">
        <v>74</v>
      </c>
      <c r="T997" t="s">
        <v>19498</v>
      </c>
      <c r="U997" t="s">
        <v>19499</v>
      </c>
      <c r="V997" t="s">
        <v>19500</v>
      </c>
      <c r="W997" t="s">
        <v>19501</v>
      </c>
      <c r="X997" t="s">
        <v>19502</v>
      </c>
      <c r="Y997" t="s">
        <v>19503</v>
      </c>
      <c r="Z997" t="s">
        <v>19504</v>
      </c>
      <c r="AA997" t="s">
        <v>74</v>
      </c>
      <c r="AB997" t="s">
        <v>74</v>
      </c>
      <c r="AC997" t="s">
        <v>19505</v>
      </c>
      <c r="AD997" t="s">
        <v>19506</v>
      </c>
      <c r="AE997" t="s">
        <v>19507</v>
      </c>
      <c r="AF997" t="s">
        <v>74</v>
      </c>
      <c r="AG997">
        <v>48</v>
      </c>
      <c r="AH997">
        <v>14</v>
      </c>
      <c r="AI997">
        <v>19</v>
      </c>
      <c r="AJ997">
        <v>1</v>
      </c>
      <c r="AK997">
        <v>40</v>
      </c>
      <c r="AL997" t="s">
        <v>362</v>
      </c>
      <c r="AM997" t="s">
        <v>363</v>
      </c>
      <c r="AN997" t="s">
        <v>364</v>
      </c>
      <c r="AO997" t="s">
        <v>3252</v>
      </c>
      <c r="AP997" t="s">
        <v>3253</v>
      </c>
      <c r="AQ997" t="s">
        <v>74</v>
      </c>
      <c r="AR997" t="s">
        <v>3254</v>
      </c>
      <c r="AS997" t="s">
        <v>3255</v>
      </c>
      <c r="AT997" t="s">
        <v>2351</v>
      </c>
      <c r="AU997">
        <v>2016</v>
      </c>
      <c r="AV997">
        <v>105</v>
      </c>
      <c r="AW997" t="s">
        <v>74</v>
      </c>
      <c r="AX997" t="s">
        <v>74</v>
      </c>
      <c r="AY997" t="s">
        <v>74</v>
      </c>
      <c r="AZ997" t="s">
        <v>74</v>
      </c>
      <c r="BA997" t="s">
        <v>74</v>
      </c>
      <c r="BB997">
        <v>83</v>
      </c>
      <c r="BC997">
        <v>95</v>
      </c>
      <c r="BD997" t="s">
        <v>74</v>
      </c>
      <c r="BE997" t="s">
        <v>19508</v>
      </c>
      <c r="BF997" t="str">
        <f>HYPERLINK("http://dx.doi.org/10.1016/j.knosys.2016.05.010","http://dx.doi.org/10.1016/j.knosys.2016.05.010")</f>
        <v>http://dx.doi.org/10.1016/j.knosys.2016.05.010</v>
      </c>
      <c r="BG997" t="s">
        <v>74</v>
      </c>
      <c r="BH997" t="s">
        <v>74</v>
      </c>
      <c r="BI997">
        <v>13</v>
      </c>
      <c r="BJ997" t="s">
        <v>807</v>
      </c>
      <c r="BK997" t="s">
        <v>902</v>
      </c>
      <c r="BL997" t="s">
        <v>103</v>
      </c>
      <c r="BM997" t="s">
        <v>19509</v>
      </c>
      <c r="BN997" t="s">
        <v>74</v>
      </c>
      <c r="BO997" t="s">
        <v>346</v>
      </c>
      <c r="BP997" t="s">
        <v>74</v>
      </c>
      <c r="BQ997" t="s">
        <v>74</v>
      </c>
      <c r="BR997" t="s">
        <v>106</v>
      </c>
      <c r="BS997" t="s">
        <v>19510</v>
      </c>
      <c r="BT997" t="str">
        <f>HYPERLINK("https%3A%2F%2Fwww.webofscience.com%2Fwos%2Fwoscc%2Ffull-record%2FWOS:000378961200008","View Full Record in Web of Science")</f>
        <v>View Full Record in Web of Science</v>
      </c>
    </row>
    <row r="998" spans="1:72" x14ac:dyDescent="0.25">
      <c r="A998" t="s">
        <v>72</v>
      </c>
      <c r="B998" t="s">
        <v>19511</v>
      </c>
      <c r="C998" t="s">
        <v>74</v>
      </c>
      <c r="D998" t="s">
        <v>74</v>
      </c>
      <c r="E998" t="s">
        <v>74</v>
      </c>
      <c r="F998" t="s">
        <v>19512</v>
      </c>
      <c r="G998" t="s">
        <v>74</v>
      </c>
      <c r="H998" t="s">
        <v>74</v>
      </c>
      <c r="I998" t="s">
        <v>19513</v>
      </c>
      <c r="J998" t="s">
        <v>19514</v>
      </c>
      <c r="K998" t="s">
        <v>74</v>
      </c>
      <c r="L998" t="s">
        <v>74</v>
      </c>
      <c r="M998" t="s">
        <v>78</v>
      </c>
      <c r="N998" t="s">
        <v>7584</v>
      </c>
      <c r="O998" t="s">
        <v>19515</v>
      </c>
      <c r="P998" t="s">
        <v>19516</v>
      </c>
      <c r="Q998" t="s">
        <v>13151</v>
      </c>
      <c r="R998" t="s">
        <v>19517</v>
      </c>
      <c r="S998" t="s">
        <v>74</v>
      </c>
      <c r="T998" t="s">
        <v>74</v>
      </c>
      <c r="U998" t="s">
        <v>19518</v>
      </c>
      <c r="V998" t="s">
        <v>19519</v>
      </c>
      <c r="W998" t="s">
        <v>19520</v>
      </c>
      <c r="X998" t="s">
        <v>19521</v>
      </c>
      <c r="Y998" t="s">
        <v>19522</v>
      </c>
      <c r="Z998" t="s">
        <v>19523</v>
      </c>
      <c r="AA998" t="s">
        <v>74</v>
      </c>
      <c r="AB998" t="s">
        <v>19524</v>
      </c>
      <c r="AC998" t="s">
        <v>74</v>
      </c>
      <c r="AD998" t="s">
        <v>74</v>
      </c>
      <c r="AE998" t="s">
        <v>74</v>
      </c>
      <c r="AF998" t="s">
        <v>74</v>
      </c>
      <c r="AG998">
        <v>10</v>
      </c>
      <c r="AH998">
        <v>2</v>
      </c>
      <c r="AI998">
        <v>2</v>
      </c>
      <c r="AJ998">
        <v>0</v>
      </c>
      <c r="AK998">
        <v>2</v>
      </c>
      <c r="AL998" t="s">
        <v>310</v>
      </c>
      <c r="AM998" t="s">
        <v>311</v>
      </c>
      <c r="AN998" t="s">
        <v>17167</v>
      </c>
      <c r="AO998" t="s">
        <v>19525</v>
      </c>
      <c r="AP998" t="s">
        <v>74</v>
      </c>
      <c r="AQ998" t="s">
        <v>74</v>
      </c>
      <c r="AR998" t="s">
        <v>19526</v>
      </c>
      <c r="AS998" t="s">
        <v>19527</v>
      </c>
      <c r="AT998" t="s">
        <v>368</v>
      </c>
      <c r="AU998">
        <v>2006</v>
      </c>
      <c r="AV998">
        <v>43</v>
      </c>
      <c r="AW998">
        <v>2</v>
      </c>
      <c r="AX998" t="s">
        <v>74</v>
      </c>
      <c r="AY998" t="s">
        <v>74</v>
      </c>
      <c r="AZ998" t="s">
        <v>74</v>
      </c>
      <c r="BA998" t="s">
        <v>74</v>
      </c>
      <c r="BB998">
        <v>137</v>
      </c>
      <c r="BC998">
        <v>149</v>
      </c>
      <c r="BD998" t="s">
        <v>74</v>
      </c>
      <c r="BE998" t="s">
        <v>19528</v>
      </c>
      <c r="BF998" t="str">
        <f>HYPERLINK("http://dx.doi.org/10.1080/14703290600650434","http://dx.doi.org/10.1080/14703290600650434")</f>
        <v>http://dx.doi.org/10.1080/14703290600650434</v>
      </c>
      <c r="BG998" t="s">
        <v>74</v>
      </c>
      <c r="BH998" t="s">
        <v>74</v>
      </c>
      <c r="BI998">
        <v>13</v>
      </c>
      <c r="BJ998" t="s">
        <v>318</v>
      </c>
      <c r="BK998" t="s">
        <v>19529</v>
      </c>
      <c r="BL998" t="s">
        <v>318</v>
      </c>
      <c r="BM998" t="s">
        <v>19530</v>
      </c>
      <c r="BN998" t="s">
        <v>74</v>
      </c>
      <c r="BO998" t="s">
        <v>74</v>
      </c>
      <c r="BP998" t="s">
        <v>74</v>
      </c>
      <c r="BQ998" t="s">
        <v>74</v>
      </c>
      <c r="BR998" t="s">
        <v>106</v>
      </c>
      <c r="BS998" t="s">
        <v>19531</v>
      </c>
      <c r="BT998" t="str">
        <f>HYPERLINK("https%3A%2F%2Fwww.webofscience.com%2Fwos%2Fwoscc%2Ffull-record%2FWOS:000239153100004","View Full Record in Web of Science")</f>
        <v>View Full Record in Web of Science</v>
      </c>
    </row>
    <row r="999" spans="1:72" x14ac:dyDescent="0.25">
      <c r="A999" t="s">
        <v>2400</v>
      </c>
      <c r="B999" t="s">
        <v>19532</v>
      </c>
      <c r="C999" t="s">
        <v>74</v>
      </c>
      <c r="D999" t="s">
        <v>74</v>
      </c>
      <c r="E999" t="s">
        <v>74</v>
      </c>
      <c r="F999" t="s">
        <v>19532</v>
      </c>
      <c r="G999" t="s">
        <v>74</v>
      </c>
      <c r="H999" t="s">
        <v>74</v>
      </c>
      <c r="I999" t="s">
        <v>19533</v>
      </c>
      <c r="J999" t="s">
        <v>19534</v>
      </c>
      <c r="K999" t="s">
        <v>114</v>
      </c>
      <c r="L999" t="s">
        <v>74</v>
      </c>
      <c r="M999" t="s">
        <v>78</v>
      </c>
      <c r="N999" t="s">
        <v>7584</v>
      </c>
      <c r="O999" t="s">
        <v>11584</v>
      </c>
      <c r="P999" t="s">
        <v>19535</v>
      </c>
      <c r="Q999" t="s">
        <v>2214</v>
      </c>
      <c r="R999" t="s">
        <v>19536</v>
      </c>
      <c r="S999" t="s">
        <v>74</v>
      </c>
      <c r="T999" t="s">
        <v>74</v>
      </c>
      <c r="U999" t="s">
        <v>74</v>
      </c>
      <c r="V999" t="s">
        <v>19537</v>
      </c>
      <c r="W999" t="s">
        <v>19538</v>
      </c>
      <c r="X999" t="s">
        <v>10288</v>
      </c>
      <c r="Y999" t="s">
        <v>19539</v>
      </c>
      <c r="Z999" t="s">
        <v>19540</v>
      </c>
      <c r="AA999" t="s">
        <v>74</v>
      </c>
      <c r="AB999" t="s">
        <v>74</v>
      </c>
      <c r="AC999" t="s">
        <v>74</v>
      </c>
      <c r="AD999" t="s">
        <v>74</v>
      </c>
      <c r="AE999" t="s">
        <v>74</v>
      </c>
      <c r="AF999" t="s">
        <v>74</v>
      </c>
      <c r="AG999">
        <v>8</v>
      </c>
      <c r="AH999">
        <v>0</v>
      </c>
      <c r="AI999">
        <v>0</v>
      </c>
      <c r="AJ999">
        <v>0</v>
      </c>
      <c r="AK999">
        <v>0</v>
      </c>
      <c r="AL999" t="s">
        <v>197</v>
      </c>
      <c r="AM999" t="s">
        <v>198</v>
      </c>
      <c r="AN999" t="s">
        <v>199</v>
      </c>
      <c r="AO999" t="s">
        <v>132</v>
      </c>
      <c r="AP999" t="s">
        <v>133</v>
      </c>
      <c r="AQ999" t="s">
        <v>19541</v>
      </c>
      <c r="AR999" t="s">
        <v>135</v>
      </c>
      <c r="AS999" t="s">
        <v>74</v>
      </c>
      <c r="AT999" t="s">
        <v>74</v>
      </c>
      <c r="AU999">
        <v>2005</v>
      </c>
      <c r="AV999">
        <v>3801</v>
      </c>
      <c r="AW999" t="s">
        <v>74</v>
      </c>
      <c r="AX999" t="s">
        <v>74</v>
      </c>
      <c r="AY999" t="s">
        <v>74</v>
      </c>
      <c r="AZ999" t="s">
        <v>74</v>
      </c>
      <c r="BA999" t="s">
        <v>74</v>
      </c>
      <c r="BB999">
        <v>470</v>
      </c>
      <c r="BC999">
        <v>475</v>
      </c>
      <c r="BD999" t="s">
        <v>74</v>
      </c>
      <c r="BE999" t="s">
        <v>74</v>
      </c>
      <c r="BF999" t="s">
        <v>74</v>
      </c>
      <c r="BG999" t="s">
        <v>74</v>
      </c>
      <c r="BH999" t="s">
        <v>74</v>
      </c>
      <c r="BI999">
        <v>6</v>
      </c>
      <c r="BJ999" t="s">
        <v>461</v>
      </c>
      <c r="BK999" t="s">
        <v>12228</v>
      </c>
      <c r="BL999" t="s">
        <v>103</v>
      </c>
      <c r="BM999" t="s">
        <v>19542</v>
      </c>
      <c r="BN999" t="s">
        <v>74</v>
      </c>
      <c r="BO999" t="s">
        <v>74</v>
      </c>
      <c r="BP999" t="s">
        <v>74</v>
      </c>
      <c r="BQ999" t="s">
        <v>74</v>
      </c>
      <c r="BR999" t="s">
        <v>106</v>
      </c>
      <c r="BS999" t="s">
        <v>19543</v>
      </c>
      <c r="BT999" t="str">
        <f>HYPERLINK("https%3A%2F%2Fwww.webofscience.com%2Fwos%2Fwoscc%2Ffull-record%2FWOS:000234873700069","View Full Record in Web of Science")</f>
        <v>View Full Record in Web of Science</v>
      </c>
    </row>
    <row r="1000" spans="1:72" x14ac:dyDescent="0.25">
      <c r="A1000" t="s">
        <v>72</v>
      </c>
      <c r="B1000" t="s">
        <v>19544</v>
      </c>
      <c r="C1000" t="s">
        <v>74</v>
      </c>
      <c r="D1000" t="s">
        <v>74</v>
      </c>
      <c r="E1000" t="s">
        <v>74</v>
      </c>
      <c r="F1000" t="s">
        <v>19545</v>
      </c>
      <c r="G1000" t="s">
        <v>74</v>
      </c>
      <c r="H1000" t="s">
        <v>74</v>
      </c>
      <c r="I1000" t="s">
        <v>19546</v>
      </c>
      <c r="J1000" t="s">
        <v>19547</v>
      </c>
      <c r="K1000" t="s">
        <v>74</v>
      </c>
      <c r="L1000" t="s">
        <v>74</v>
      </c>
      <c r="M1000" t="s">
        <v>78</v>
      </c>
      <c r="N1000" t="s">
        <v>79</v>
      </c>
      <c r="O1000" t="s">
        <v>74</v>
      </c>
      <c r="P1000" t="s">
        <v>74</v>
      </c>
      <c r="Q1000" t="s">
        <v>74</v>
      </c>
      <c r="R1000" t="s">
        <v>74</v>
      </c>
      <c r="S1000" t="s">
        <v>74</v>
      </c>
      <c r="T1000" t="s">
        <v>74</v>
      </c>
      <c r="U1000" t="s">
        <v>19548</v>
      </c>
      <c r="V1000" t="s">
        <v>19549</v>
      </c>
      <c r="W1000" t="s">
        <v>19550</v>
      </c>
      <c r="X1000" t="s">
        <v>74</v>
      </c>
      <c r="Y1000" t="s">
        <v>19551</v>
      </c>
      <c r="Z1000" t="s">
        <v>19552</v>
      </c>
      <c r="AA1000" t="s">
        <v>19553</v>
      </c>
      <c r="AB1000" t="s">
        <v>19554</v>
      </c>
      <c r="AC1000" t="s">
        <v>74</v>
      </c>
      <c r="AD1000" t="s">
        <v>74</v>
      </c>
      <c r="AE1000" t="s">
        <v>74</v>
      </c>
      <c r="AF1000" t="s">
        <v>74</v>
      </c>
      <c r="AG1000">
        <v>24</v>
      </c>
      <c r="AH1000">
        <v>2</v>
      </c>
      <c r="AI1000">
        <v>2</v>
      </c>
      <c r="AJ1000">
        <v>1</v>
      </c>
      <c r="AK1000">
        <v>26</v>
      </c>
      <c r="AL1000" t="s">
        <v>1319</v>
      </c>
      <c r="AM1000" t="s">
        <v>1320</v>
      </c>
      <c r="AN1000" t="s">
        <v>1321</v>
      </c>
      <c r="AO1000" t="s">
        <v>19555</v>
      </c>
      <c r="AP1000" t="s">
        <v>19556</v>
      </c>
      <c r="AQ1000" t="s">
        <v>74</v>
      </c>
      <c r="AR1000" t="s">
        <v>19557</v>
      </c>
      <c r="AS1000" t="s">
        <v>19558</v>
      </c>
      <c r="AT1000" t="s">
        <v>19559</v>
      </c>
      <c r="AU1000">
        <v>2022</v>
      </c>
      <c r="AV1000">
        <v>2022</v>
      </c>
      <c r="AW1000" t="s">
        <v>74</v>
      </c>
      <c r="AX1000" t="s">
        <v>74</v>
      </c>
      <c r="AY1000" t="s">
        <v>74</v>
      </c>
      <c r="AZ1000" t="s">
        <v>74</v>
      </c>
      <c r="BA1000" t="s">
        <v>74</v>
      </c>
      <c r="BB1000" t="s">
        <v>74</v>
      </c>
      <c r="BC1000" t="s">
        <v>74</v>
      </c>
      <c r="BD1000">
        <v>9943965</v>
      </c>
      <c r="BE1000" t="s">
        <v>19560</v>
      </c>
      <c r="BF1000" t="str">
        <f>HYPERLINK("http://dx.doi.org/10.1155/2022/9943965","http://dx.doi.org/10.1155/2022/9943965")</f>
        <v>http://dx.doi.org/10.1155/2022/9943965</v>
      </c>
      <c r="BG1000" t="s">
        <v>74</v>
      </c>
      <c r="BH1000" t="s">
        <v>74</v>
      </c>
      <c r="BI1000">
        <v>8</v>
      </c>
      <c r="BJ1000" t="s">
        <v>10152</v>
      </c>
      <c r="BK1000" t="s">
        <v>902</v>
      </c>
      <c r="BL1000" t="s">
        <v>103</v>
      </c>
      <c r="BM1000" t="s">
        <v>19561</v>
      </c>
      <c r="BN1000" t="s">
        <v>74</v>
      </c>
      <c r="BO1000" t="s">
        <v>105</v>
      </c>
      <c r="BP1000" t="s">
        <v>74</v>
      </c>
      <c r="BQ1000" t="s">
        <v>74</v>
      </c>
      <c r="BR1000" t="s">
        <v>106</v>
      </c>
      <c r="BS1000" t="s">
        <v>19562</v>
      </c>
      <c r="BT1000" t="str">
        <f>HYPERLINK("https%3A%2F%2Fwww.webofscience.com%2Fwos%2Fwoscc%2Ffull-record%2FWOS:000892084800002","View Full Record in Web of Science")</f>
        <v>View Full Record in Web of Science</v>
      </c>
    </row>
    <row r="1001" spans="1:72" x14ac:dyDescent="0.25">
      <c r="A1001" t="s">
        <v>72</v>
      </c>
      <c r="B1001" t="s">
        <v>19563</v>
      </c>
      <c r="C1001" t="s">
        <v>74</v>
      </c>
      <c r="D1001" t="s">
        <v>74</v>
      </c>
      <c r="E1001" t="s">
        <v>74</v>
      </c>
      <c r="F1001" t="s">
        <v>19564</v>
      </c>
      <c r="G1001" t="s">
        <v>74</v>
      </c>
      <c r="H1001" t="s">
        <v>74</v>
      </c>
      <c r="I1001" t="s">
        <v>19565</v>
      </c>
      <c r="J1001" t="s">
        <v>19566</v>
      </c>
      <c r="K1001" t="s">
        <v>74</v>
      </c>
      <c r="L1001" t="s">
        <v>74</v>
      </c>
      <c r="M1001" t="s">
        <v>19567</v>
      </c>
      <c r="N1001" t="s">
        <v>79</v>
      </c>
      <c r="O1001" t="s">
        <v>74</v>
      </c>
      <c r="P1001" t="s">
        <v>74</v>
      </c>
      <c r="Q1001" t="s">
        <v>74</v>
      </c>
      <c r="R1001" t="s">
        <v>74</v>
      </c>
      <c r="S1001" t="s">
        <v>74</v>
      </c>
      <c r="T1001" t="s">
        <v>19568</v>
      </c>
      <c r="U1001" t="s">
        <v>19569</v>
      </c>
      <c r="V1001" t="s">
        <v>19570</v>
      </c>
      <c r="W1001" t="s">
        <v>19571</v>
      </c>
      <c r="X1001" t="s">
        <v>19572</v>
      </c>
      <c r="Y1001" t="s">
        <v>19573</v>
      </c>
      <c r="Z1001" t="s">
        <v>19574</v>
      </c>
      <c r="AA1001" t="s">
        <v>74</v>
      </c>
      <c r="AB1001" t="s">
        <v>74</v>
      </c>
      <c r="AC1001" t="s">
        <v>74</v>
      </c>
      <c r="AD1001" t="s">
        <v>74</v>
      </c>
      <c r="AE1001" t="s">
        <v>74</v>
      </c>
      <c r="AF1001" t="s">
        <v>74</v>
      </c>
      <c r="AG1001">
        <v>9</v>
      </c>
      <c r="AH1001">
        <v>1</v>
      </c>
      <c r="AI1001">
        <v>3</v>
      </c>
      <c r="AJ1001">
        <v>0</v>
      </c>
      <c r="AK1001">
        <v>13</v>
      </c>
      <c r="AL1001" t="s">
        <v>4837</v>
      </c>
      <c r="AM1001" t="s">
        <v>4838</v>
      </c>
      <c r="AN1001" t="s">
        <v>4839</v>
      </c>
      <c r="AO1001" t="s">
        <v>19575</v>
      </c>
      <c r="AP1001" t="s">
        <v>19576</v>
      </c>
      <c r="AQ1001" t="s">
        <v>74</v>
      </c>
      <c r="AR1001" t="s">
        <v>19566</v>
      </c>
      <c r="AS1001" t="s">
        <v>19577</v>
      </c>
      <c r="AT1001" t="s">
        <v>246</v>
      </c>
      <c r="AU1001">
        <v>2016</v>
      </c>
      <c r="AV1001">
        <v>18</v>
      </c>
      <c r="AW1001" t="s">
        <v>19578</v>
      </c>
      <c r="AX1001" t="s">
        <v>74</v>
      </c>
      <c r="AY1001" t="s">
        <v>74</v>
      </c>
      <c r="AZ1001" t="s">
        <v>74</v>
      </c>
      <c r="BA1001" t="s">
        <v>74</v>
      </c>
      <c r="BB1001">
        <v>573</v>
      </c>
      <c r="BC1001">
        <v>578</v>
      </c>
      <c r="BD1001" t="s">
        <v>74</v>
      </c>
      <c r="BE1001" t="s">
        <v>19579</v>
      </c>
      <c r="BF1001" t="str">
        <f>HYPERLINK("http://dx.doi.org/10.1007/s10269-016-2669-6","http://dx.doi.org/10.1007/s10269-016-2669-6")</f>
        <v>http://dx.doi.org/10.1007/s10269-016-2669-6</v>
      </c>
      <c r="BG1001" t="s">
        <v>74</v>
      </c>
      <c r="BH1001" t="s">
        <v>74</v>
      </c>
      <c r="BI1001">
        <v>6</v>
      </c>
      <c r="BJ1001" t="s">
        <v>19580</v>
      </c>
      <c r="BK1001" t="s">
        <v>902</v>
      </c>
      <c r="BL1001" t="s">
        <v>19580</v>
      </c>
      <c r="BM1001" t="s">
        <v>19581</v>
      </c>
      <c r="BN1001" t="s">
        <v>74</v>
      </c>
      <c r="BO1001" t="s">
        <v>74</v>
      </c>
      <c r="BP1001" t="s">
        <v>74</v>
      </c>
      <c r="BQ1001" t="s">
        <v>74</v>
      </c>
      <c r="BR1001" t="s">
        <v>106</v>
      </c>
      <c r="BS1001" t="s">
        <v>19582</v>
      </c>
      <c r="BT1001" t="str">
        <f>HYPERLINK("https%3A%2F%2Fwww.webofscience.com%2Fwos%2Fwoscc%2Ffull-record%2FWOS:000392432000003","View Full Record in Web of Science")</f>
        <v>View Full Record in Web of Science</v>
      </c>
    </row>
  </sheetData>
  <pageMargins left="0.75" right="0.75" top="1" bottom="1" header="0.5" footer="0.5"/>
  <pageSetup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savedrecs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FIRAT KIZILTEPE</cp:lastModifiedBy>
  <dcterms:created xsi:type="dcterms:W3CDTF">2026-09-19T21:20:02Z</dcterms:created>
  <dcterms:modified xsi:type="dcterms:W3CDTF">2026-09-19T21:20:02Z</dcterms:modified>
</cp:coreProperties>
</file>